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heme/themeOverride1.xml" ContentType="application/vnd.openxmlformats-officedocument.themeOverride+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theme/themeOverride2.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victor.levi\Documents\MATLAB\work\me18_pwr\"/>
    </mc:Choice>
  </mc:AlternateContent>
  <xr:revisionPtr revIDLastSave="0" documentId="13_ncr:1_{1DA6EFC9-D73E-4614-83D6-286194AF37E1}" xr6:coauthVersionLast="47" xr6:coauthVersionMax="47" xr10:uidLastSave="{00000000-0000-0000-0000-000000000000}"/>
  <bookViews>
    <workbookView xWindow="735" yWindow="1035" windowWidth="25605" windowHeight="12165" tabRatio="828" firstSheet="1" activeTab="1" xr2:uid="{00000000-000D-0000-FFFF-FFFF00000000}"/>
  </bookViews>
  <sheets>
    <sheet name="README" sheetId="45" state="hidden" r:id="rId1"/>
    <sheet name="BLE - Peripheral" sheetId="10" r:id="rId2"/>
    <sheet name="BLE - Central" sheetId="33" state="hidden" r:id="rId3"/>
    <sheet name="Input arguments" sheetId="6" state="hidden" r:id="rId4"/>
    <sheet name="0V_None" sheetId="26" state="hidden" r:id="rId5"/>
    <sheet name="LegacyAdvertisement" sheetId="11" state="hidden" r:id="rId6"/>
    <sheet name="ConnectedPeriph" sheetId="22" state="hidden" r:id="rId7"/>
    <sheet name="legadv_evk_data" sheetId="53" state="hidden" r:id="rId8"/>
    <sheet name="connec_evk_data" sheetId="54" state="hidden" r:id="rId9"/>
    <sheet name="legadv_wlp_data" sheetId="56" state="hidden" r:id="rId10"/>
    <sheet name="connec_wlp_data" sheetId="55" state="hidden" r:id="rId11"/>
    <sheet name="3V_Scanning" sheetId="34" state="hidden" r:id="rId12"/>
    <sheet name="3p6V_Scanning" sheetId="38" state="hidden" r:id="rId13"/>
    <sheet name="1p8V_Scanning" sheetId="37" state="hidden" r:id="rId14"/>
    <sheet name="3V_ConnectedCentral" sheetId="39" state="hidden" r:id="rId15"/>
    <sheet name="1p8V_ConnectedCentral" sheetId="40" state="hidden" r:id="rId16"/>
    <sheet name="3p6V_ConnectedCentral" sheetId="41" state="hidden" r:id="rId17"/>
    <sheet name="Notes" sheetId="14" state="hidden" r:id="rId18"/>
    <sheet name="DataSourceSelection - Periph" sheetId="25" state="hidden" r:id="rId19"/>
    <sheet name="DataForDisplay - Peripheral" sheetId="15" state="hidden" r:id="rId20"/>
    <sheet name="DataForDisplay - Central" sheetId="35" state="hidden" r:id="rId21"/>
    <sheet name="DataSourceSelection - Central" sheetId="36" state="hidden" r:id="rId22"/>
    <sheet name="Guide lines to update" sheetId="46" state="hidden"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5" l="1"/>
  <c r="F4" i="25"/>
  <c r="J34" i="22"/>
  <c r="K27" i="22" s="1"/>
  <c r="J34" i="11"/>
  <c r="K27" i="11" s="1"/>
  <c r="J33" i="11"/>
  <c r="F29" i="22"/>
  <c r="J33" i="22"/>
  <c r="J32" i="22"/>
  <c r="J31" i="22"/>
  <c r="J30" i="22"/>
  <c r="J29" i="22"/>
  <c r="J31" i="11"/>
  <c r="J32" i="11"/>
  <c r="J30" i="11"/>
  <c r="J29" i="11"/>
  <c r="I24" i="22" a="1"/>
  <c r="I11" i="22" a="1"/>
  <c r="I7" i="22" a="1"/>
  <c r="J7" i="22" a="1"/>
  <c r="J11" i="22" a="1"/>
  <c r="J6" i="22" a="1"/>
  <c r="H8" i="22" a="1"/>
  <c r="I24" i="11" a="1"/>
  <c r="I19" i="11" a="1"/>
  <c r="I18" i="11" a="1"/>
  <c r="I17" i="11" a="1"/>
  <c r="I16" i="11" a="1"/>
  <c r="K15" i="11" a="1"/>
  <c r="K14" i="11" a="1"/>
  <c r="K13" i="11" a="1"/>
  <c r="K12" i="11" a="1"/>
  <c r="J11" i="11" a="1"/>
  <c r="J10" i="11" a="1"/>
  <c r="H7" i="11" a="1"/>
  <c r="K23" i="22" a="1"/>
  <c r="J10" i="22" a="1"/>
  <c r="K10" i="22" a="1"/>
  <c r="K11" i="22" a="1"/>
  <c r="J9" i="22" a="1"/>
  <c r="I6" i="22" a="1"/>
  <c r="H11" i="22" a="1"/>
  <c r="K23" i="11" a="1"/>
  <c r="K19" i="11" a="1"/>
  <c r="K18" i="11" a="1"/>
  <c r="K17" i="11" a="1"/>
  <c r="K16" i="11" a="1"/>
  <c r="J15" i="11" a="1"/>
  <c r="J14" i="11" a="1"/>
  <c r="J13" i="11" a="1"/>
  <c r="J12" i="11" a="1"/>
  <c r="H11" i="11" a="1"/>
  <c r="H10" i="11" a="1"/>
  <c r="H9" i="11" a="1"/>
  <c r="I7" i="11" a="1"/>
  <c r="K6" i="11" a="1"/>
  <c r="K7" i="22" a="1"/>
  <c r="J8" i="22" a="1"/>
  <c r="H7" i="22" a="1"/>
  <c r="I23" i="11" a="1"/>
  <c r="H18" i="11" a="1"/>
  <c r="I15" i="11" a="1"/>
  <c r="I13" i="11" a="1"/>
  <c r="K11" i="11" a="1"/>
  <c r="K9" i="11" a="1"/>
  <c r="K7" i="11" a="1"/>
  <c r="J9" i="11" a="1"/>
  <c r="H6" i="11" a="1"/>
  <c r="J23" i="22" a="1"/>
  <c r="I9" i="22" a="1"/>
  <c r="I10" i="22" a="1"/>
  <c r="K9" i="22" a="1"/>
  <c r="I8" i="22" a="1"/>
  <c r="H9" i="22" a="1"/>
  <c r="H6" i="22" a="1"/>
  <c r="J23" i="11" a="1"/>
  <c r="J19" i="11" a="1"/>
  <c r="J18" i="11" a="1"/>
  <c r="J17" i="11" a="1"/>
  <c r="J16" i="11" a="1"/>
  <c r="H15" i="11" a="1"/>
  <c r="H14" i="11" a="1"/>
  <c r="H13" i="11" a="1"/>
  <c r="I11" i="11" a="1"/>
  <c r="I10" i="11" a="1"/>
  <c r="I9" i="11" a="1"/>
  <c r="I8" i="11" a="1"/>
  <c r="J7" i="11" a="1"/>
  <c r="J6" i="11" a="1"/>
  <c r="I23" i="22" a="1"/>
  <c r="K8" i="22" a="1"/>
  <c r="K6" i="22" a="1"/>
  <c r="I25" i="11" a="1"/>
  <c r="H19" i="11" a="1"/>
  <c r="H17" i="11" a="1"/>
  <c r="I14" i="11" a="1"/>
  <c r="I12" i="11" a="1"/>
  <c r="K10" i="11" a="1"/>
  <c r="K8" i="11" a="1"/>
  <c r="I6" i="11" a="1"/>
  <c r="J8" i="11" a="1"/>
  <c r="I25" i="22" a="1"/>
  <c r="I25" i="22" l="1"/>
  <c r="I24" i="22"/>
  <c r="C10" i="22"/>
  <c r="K23" i="22"/>
  <c r="F27" i="22" s="1"/>
  <c r="J23" i="22"/>
  <c r="I23" i="22"/>
  <c r="I8" i="22"/>
  <c r="J9" i="22"/>
  <c r="J11" i="22"/>
  <c r="D11" i="22" s="1"/>
  <c r="J8" i="22"/>
  <c r="D8" i="22" s="1"/>
  <c r="K9" i="22"/>
  <c r="K11" i="22"/>
  <c r="J7" i="22"/>
  <c r="D7" i="22" s="1"/>
  <c r="K8" i="22"/>
  <c r="I10" i="22"/>
  <c r="K10" i="22"/>
  <c r="I7" i="22"/>
  <c r="K7" i="22"/>
  <c r="I9" i="22"/>
  <c r="J10" i="22"/>
  <c r="D10" i="22" s="1"/>
  <c r="I11" i="22"/>
  <c r="K6" i="22"/>
  <c r="J6" i="22"/>
  <c r="D6" i="22" s="1"/>
  <c r="D9" i="22"/>
  <c r="I6" i="22"/>
  <c r="H11" i="22"/>
  <c r="C11" i="22" s="1"/>
  <c r="H8" i="22"/>
  <c r="C8" i="22" s="1"/>
  <c r="H7" i="22"/>
  <c r="C7" i="22" s="1"/>
  <c r="H9" i="22"/>
  <c r="C9" i="22" s="1"/>
  <c r="H6" i="22"/>
  <c r="C6" i="22" s="1"/>
  <c r="I25" i="11"/>
  <c r="I24" i="11"/>
  <c r="K23" i="11"/>
  <c r="J23" i="11"/>
  <c r="I23" i="11"/>
  <c r="H19" i="11"/>
  <c r="J19" i="11"/>
  <c r="K19" i="11"/>
  <c r="I19" i="11"/>
  <c r="H18" i="11"/>
  <c r="C18" i="11" s="1"/>
  <c r="J18" i="11"/>
  <c r="K18" i="11"/>
  <c r="I18" i="11"/>
  <c r="H17" i="11"/>
  <c r="J17" i="11"/>
  <c r="K17" i="11"/>
  <c r="I17" i="11"/>
  <c r="J16" i="11"/>
  <c r="D16" i="11" s="1"/>
  <c r="K16" i="11"/>
  <c r="I16" i="11"/>
  <c r="H15" i="11"/>
  <c r="J15" i="11"/>
  <c r="K15" i="11"/>
  <c r="I15" i="11"/>
  <c r="H14" i="11"/>
  <c r="C14" i="11" s="1"/>
  <c r="J14" i="11"/>
  <c r="K14" i="11"/>
  <c r="I14" i="11"/>
  <c r="H13" i="11"/>
  <c r="J13" i="11"/>
  <c r="D13" i="11" s="1"/>
  <c r="K13" i="11"/>
  <c r="I13" i="11"/>
  <c r="J12" i="11"/>
  <c r="D12" i="11" s="1"/>
  <c r="K12" i="11"/>
  <c r="I12" i="11"/>
  <c r="H11" i="11"/>
  <c r="J11" i="11"/>
  <c r="K11" i="11"/>
  <c r="I11" i="11"/>
  <c r="H10" i="11"/>
  <c r="C10" i="11" s="1"/>
  <c r="J10" i="11"/>
  <c r="K10" i="11"/>
  <c r="I10" i="11"/>
  <c r="H9" i="11"/>
  <c r="J9" i="11"/>
  <c r="K9" i="11"/>
  <c r="I9" i="11"/>
  <c r="J8" i="11"/>
  <c r="D8" i="11" s="1"/>
  <c r="K8" i="11"/>
  <c r="I8" i="11"/>
  <c r="H7" i="11"/>
  <c r="K7" i="11"/>
  <c r="J7" i="11"/>
  <c r="D7" i="11" s="1"/>
  <c r="I7" i="11"/>
  <c r="K6" i="11"/>
  <c r="J6" i="11"/>
  <c r="I6" i="11"/>
  <c r="H6" i="11"/>
  <c r="C6" i="11" s="1"/>
  <c r="F29" i="11"/>
  <c r="C22" i="25"/>
  <c r="C17" i="25"/>
  <c r="B7" i="25"/>
  <c r="B6" i="25"/>
  <c r="B5" i="25"/>
  <c r="C16" i="11" l="1"/>
  <c r="C12" i="11"/>
  <c r="C8" i="11"/>
  <c r="C24" i="25"/>
  <c r="D6" i="11"/>
  <c r="C19" i="11"/>
  <c r="D9" i="11"/>
  <c r="D14" i="11"/>
  <c r="D19" i="11"/>
  <c r="C15" i="11"/>
  <c r="D18" i="11"/>
  <c r="C9" i="11"/>
  <c r="C11" i="11"/>
  <c r="C17" i="11"/>
  <c r="D11" i="11"/>
  <c r="D17" i="11"/>
  <c r="F27" i="11"/>
  <c r="C7" i="11"/>
  <c r="C13" i="11"/>
  <c r="D10" i="11"/>
  <c r="D15" i="11"/>
  <c r="R16" i="33" l="1"/>
  <c r="K16" i="33"/>
  <c r="D16" i="33"/>
  <c r="Z23" i="33" l="1"/>
  <c r="Y23" i="33" s="1"/>
  <c r="X19" i="33"/>
  <c r="AC19" i="33"/>
  <c r="AC23" i="33" s="1"/>
  <c r="X20" i="33"/>
  <c r="AC20" i="33"/>
  <c r="X21" i="33"/>
  <c r="AC21" i="33"/>
  <c r="AC22" i="33"/>
  <c r="Z25" i="10"/>
  <c r="Y25" i="10" s="1"/>
  <c r="M128" i="15" l="1"/>
  <c r="M127" i="15"/>
  <c r="K127" i="15"/>
  <c r="M126" i="15"/>
  <c r="N91" i="15"/>
  <c r="M91" i="15"/>
  <c r="L91" i="15"/>
  <c r="M85" i="15"/>
  <c r="M84" i="15"/>
  <c r="K84" i="15"/>
  <c r="M83" i="15"/>
  <c r="N48" i="15"/>
  <c r="M48" i="15"/>
  <c r="L48" i="15"/>
  <c r="M41" i="15"/>
  <c r="K41" i="15"/>
  <c r="M42" i="15"/>
  <c r="M40" i="15"/>
  <c r="A110" i="15"/>
  <c r="A111" i="15"/>
  <c r="A24" i="15"/>
  <c r="A25" i="15"/>
  <c r="A67" i="15"/>
  <c r="A68" i="15"/>
  <c r="D9" i="34" l="1"/>
  <c r="D11" i="41"/>
  <c r="C11" i="41"/>
  <c r="E11" i="41" s="1"/>
  <c r="B11" i="41"/>
  <c r="D10" i="41"/>
  <c r="B10" i="41"/>
  <c r="D9" i="41"/>
  <c r="C9" i="41"/>
  <c r="B9" i="41"/>
  <c r="B8" i="41"/>
  <c r="D7" i="41"/>
  <c r="C7" i="41"/>
  <c r="E7" i="41" s="1"/>
  <c r="B7" i="41"/>
  <c r="D6" i="41"/>
  <c r="C6" i="41"/>
  <c r="B6" i="41"/>
  <c r="E9" i="41"/>
  <c r="D11" i="40"/>
  <c r="C11" i="40"/>
  <c r="E11" i="40" s="1"/>
  <c r="B11" i="40"/>
  <c r="D10" i="40"/>
  <c r="B10" i="40"/>
  <c r="D9" i="40"/>
  <c r="C9" i="40"/>
  <c r="B9" i="40"/>
  <c r="B8" i="40"/>
  <c r="D7" i="40"/>
  <c r="C7" i="40"/>
  <c r="E7" i="40" s="1"/>
  <c r="B7" i="40"/>
  <c r="D6" i="40"/>
  <c r="C6" i="40"/>
  <c r="B6" i="40"/>
  <c r="E9" i="40"/>
  <c r="E6" i="40"/>
  <c r="B8" i="36"/>
  <c r="D8" i="39"/>
  <c r="D8" i="41" s="1"/>
  <c r="C8" i="39"/>
  <c r="C8" i="41" s="1"/>
  <c r="B35" i="39"/>
  <c r="B34" i="39"/>
  <c r="C10" i="39" s="1"/>
  <c r="C10" i="41" s="1"/>
  <c r="E10" i="41" s="1"/>
  <c r="E11" i="39"/>
  <c r="E9" i="39"/>
  <c r="E7" i="39"/>
  <c r="E6" i="39"/>
  <c r="F12" i="33"/>
  <c r="F11" i="10"/>
  <c r="E8" i="41" l="1"/>
  <c r="C8" i="40"/>
  <c r="D8" i="40"/>
  <c r="C10" i="40"/>
  <c r="C23" i="41"/>
  <c r="E6" i="41"/>
  <c r="E10" i="39"/>
  <c r="E8" i="39"/>
  <c r="C23" i="39"/>
  <c r="D11" i="38"/>
  <c r="D10" i="38"/>
  <c r="D9" i="38"/>
  <c r="D8" i="38"/>
  <c r="D6" i="38"/>
  <c r="C11" i="38"/>
  <c r="B11" i="38"/>
  <c r="E10" i="38"/>
  <c r="C10" i="38"/>
  <c r="B10" i="38"/>
  <c r="B9" i="38"/>
  <c r="E8" i="38"/>
  <c r="C8" i="38"/>
  <c r="B8" i="38"/>
  <c r="B7" i="38"/>
  <c r="E6" i="38"/>
  <c r="C6" i="38"/>
  <c r="B6" i="38"/>
  <c r="D11" i="37"/>
  <c r="D10" i="37"/>
  <c r="D9" i="37"/>
  <c r="D8" i="37"/>
  <c r="D6" i="37"/>
  <c r="C11" i="37"/>
  <c r="B11" i="37"/>
  <c r="C10" i="37"/>
  <c r="B10" i="37"/>
  <c r="B9" i="37"/>
  <c r="C8" i="37"/>
  <c r="B8" i="37"/>
  <c r="B7" i="37"/>
  <c r="C6" i="37"/>
  <c r="E6" i="37" s="1"/>
  <c r="B6" i="37"/>
  <c r="C33" i="34"/>
  <c r="F10" i="33"/>
  <c r="E8" i="37" l="1"/>
  <c r="E24" i="41"/>
  <c r="E25" i="41" s="1"/>
  <c r="C27" i="41" s="1"/>
  <c r="C28" i="41" s="1"/>
  <c r="C29" i="41" s="1"/>
  <c r="E11" i="37"/>
  <c r="E11" i="38"/>
  <c r="C23" i="40"/>
  <c r="E8" i="40"/>
  <c r="E10" i="40"/>
  <c r="E24" i="39"/>
  <c r="E25" i="39" s="1"/>
  <c r="E10" i="37"/>
  <c r="E24" i="40" l="1"/>
  <c r="E25" i="40" s="1"/>
  <c r="C27" i="40" s="1"/>
  <c r="C28" i="40" s="1"/>
  <c r="C29" i="40" s="1"/>
  <c r="C27" i="39"/>
  <c r="C28" i="39" s="1"/>
  <c r="C29" i="39" s="1"/>
  <c r="C26" i="36"/>
  <c r="C21" i="36"/>
  <c r="C16" i="36"/>
  <c r="B6" i="36"/>
  <c r="B7" i="36"/>
  <c r="B9" i="36"/>
  <c r="B10" i="36"/>
  <c r="B11" i="36"/>
  <c r="B5" i="36"/>
  <c r="F4" i="36"/>
  <c r="E4" i="36"/>
  <c r="D4" i="36"/>
  <c r="C27" i="36" s="1"/>
  <c r="A97" i="35"/>
  <c r="A96" i="35"/>
  <c r="A95" i="35"/>
  <c r="A94" i="35"/>
  <c r="A93" i="35"/>
  <c r="A92" i="35"/>
  <c r="A91" i="35"/>
  <c r="A90" i="35"/>
  <c r="A89" i="35"/>
  <c r="A88" i="35"/>
  <c r="A87" i="35"/>
  <c r="A86" i="35"/>
  <c r="A85" i="35"/>
  <c r="A84" i="35"/>
  <c r="A60" i="35"/>
  <c r="A59" i="35"/>
  <c r="A58" i="35"/>
  <c r="A57" i="35"/>
  <c r="A56" i="35"/>
  <c r="A55" i="35"/>
  <c r="A54" i="35"/>
  <c r="A53" i="35"/>
  <c r="A52" i="35"/>
  <c r="A51" i="35"/>
  <c r="A50" i="35"/>
  <c r="A49" i="35"/>
  <c r="A48" i="35"/>
  <c r="A47" i="35"/>
  <c r="A23" i="35"/>
  <c r="A22" i="35"/>
  <c r="A21" i="35"/>
  <c r="A20" i="35"/>
  <c r="A19" i="35"/>
  <c r="A18" i="35"/>
  <c r="A17" i="35"/>
  <c r="A16" i="35"/>
  <c r="A15" i="35"/>
  <c r="A14" i="35"/>
  <c r="A13" i="35"/>
  <c r="A12" i="35"/>
  <c r="A11" i="35"/>
  <c r="A10" i="35"/>
  <c r="M111" i="35"/>
  <c r="M110" i="35" s="1"/>
  <c r="N79" i="35"/>
  <c r="M79" i="35"/>
  <c r="L79" i="35"/>
  <c r="M74" i="35"/>
  <c r="M73" i="35" s="1"/>
  <c r="N42" i="35"/>
  <c r="M42" i="35"/>
  <c r="L42" i="35"/>
  <c r="M37" i="35"/>
  <c r="M36" i="35" s="1"/>
  <c r="N5" i="35"/>
  <c r="M5" i="35"/>
  <c r="L5" i="35"/>
  <c r="C7" i="34"/>
  <c r="E6" i="34"/>
  <c r="D9" i="33"/>
  <c r="C9" i="34" s="1"/>
  <c r="Q45" i="33"/>
  <c r="J45" i="33"/>
  <c r="C45" i="33"/>
  <c r="C17" i="36" l="1"/>
  <c r="C22" i="36"/>
  <c r="C7" i="38"/>
  <c r="C7" i="37"/>
  <c r="C37" i="34"/>
  <c r="C38" i="34" s="1"/>
  <c r="C9" i="37"/>
  <c r="E9" i="37" s="1"/>
  <c r="C9" i="38"/>
  <c r="E9" i="38" s="1"/>
  <c r="C23" i="36"/>
  <c r="C28" i="36"/>
  <c r="C18" i="36"/>
  <c r="E9" i="34"/>
  <c r="C23" i="34"/>
  <c r="E8" i="34"/>
  <c r="R18" i="10"/>
  <c r="D18" i="10"/>
  <c r="K18" i="10"/>
  <c r="C29" i="36"/>
  <c r="C19" i="36"/>
  <c r="C24" i="36"/>
  <c r="D7" i="34" l="1"/>
  <c r="D7" i="37" s="1"/>
  <c r="E7" i="37" s="1"/>
  <c r="E24" i="37" s="1"/>
  <c r="C23" i="37"/>
  <c r="C23" i="38"/>
  <c r="E7" i="34" l="1"/>
  <c r="D7" i="38"/>
  <c r="E7" i="38" s="1"/>
  <c r="E24" i="38" s="1"/>
  <c r="E25" i="38" s="1"/>
  <c r="C27" i="38" s="1"/>
  <c r="C28" i="38" s="1"/>
  <c r="C29" i="38" s="1"/>
  <c r="E25" i="37"/>
  <c r="C27" i="37" s="1"/>
  <c r="C28" i="37" s="1"/>
  <c r="C29" i="37" s="1"/>
  <c r="E24" i="34" l="1"/>
  <c r="X23" i="10"/>
  <c r="X22" i="10"/>
  <c r="X21" i="10"/>
  <c r="AC23" i="10"/>
  <c r="A97" i="15"/>
  <c r="A98" i="15"/>
  <c r="A99" i="15"/>
  <c r="A100" i="15"/>
  <c r="A101" i="15"/>
  <c r="A102" i="15"/>
  <c r="A103" i="15"/>
  <c r="A104" i="15"/>
  <c r="A105" i="15"/>
  <c r="A106" i="15"/>
  <c r="A107" i="15"/>
  <c r="A108" i="15"/>
  <c r="A109" i="15"/>
  <c r="A96" i="15"/>
  <c r="A66" i="15"/>
  <c r="A59" i="15"/>
  <c r="A60" i="15"/>
  <c r="A61" i="15"/>
  <c r="A62" i="15"/>
  <c r="A63" i="15"/>
  <c r="A64" i="15"/>
  <c r="A65" i="15"/>
  <c r="C27" i="25"/>
  <c r="C29" i="25" s="1"/>
  <c r="E11" i="22"/>
  <c r="E9" i="22"/>
  <c r="E7" i="22"/>
  <c r="E6" i="22"/>
  <c r="L29" i="33"/>
  <c r="Q22" i="33"/>
  <c r="F29" i="33"/>
  <c r="F20" i="33"/>
  <c r="M21" i="33"/>
  <c r="D27" i="33"/>
  <c r="L24" i="33"/>
  <c r="S29" i="33"/>
  <c r="S28" i="33"/>
  <c r="K32" i="33"/>
  <c r="D32" i="33"/>
  <c r="M20" i="33"/>
  <c r="T31" i="33"/>
  <c r="F28" i="33"/>
  <c r="M23" i="33"/>
  <c r="L20" i="33"/>
  <c r="K19" i="33"/>
  <c r="C32" i="33"/>
  <c r="J25" i="33"/>
  <c r="D29" i="33"/>
  <c r="C35" i="33"/>
  <c r="M26" i="33"/>
  <c r="Q30" i="33"/>
  <c r="K27" i="33"/>
  <c r="D25" i="33"/>
  <c r="S22" i="33"/>
  <c r="C39" i="33"/>
  <c r="E21" i="33"/>
  <c r="M29" i="33"/>
  <c r="S32" i="33"/>
  <c r="K20" i="33"/>
  <c r="K25" i="33"/>
  <c r="R40" i="33"/>
  <c r="K22" i="33"/>
  <c r="D22" i="33"/>
  <c r="J39" i="33"/>
  <c r="L23" i="33"/>
  <c r="T30" i="33"/>
  <c r="Q32" i="33"/>
  <c r="C20" i="33"/>
  <c r="Q25" i="33"/>
  <c r="T25" i="33"/>
  <c r="L30" i="33"/>
  <c r="T37" i="33"/>
  <c r="F21" i="33"/>
  <c r="F22" i="33"/>
  <c r="J21" i="33"/>
  <c r="D31" i="33"/>
  <c r="R35" i="33"/>
  <c r="T26" i="33"/>
  <c r="C25" i="33"/>
  <c r="M28" i="33"/>
  <c r="Q27" i="33"/>
  <c r="T23" i="33"/>
  <c r="Q35" i="33"/>
  <c r="T28" i="33"/>
  <c r="R29" i="33"/>
  <c r="C31" i="33"/>
  <c r="E27" i="33"/>
  <c r="K24" i="33"/>
  <c r="Q31" i="33"/>
  <c r="J41" i="33"/>
  <c r="F19" i="33"/>
  <c r="J29" i="33"/>
  <c r="C28" i="33"/>
  <c r="L22" i="33"/>
  <c r="S21" i="33"/>
  <c r="T22" i="33"/>
  <c r="D19" i="33"/>
  <c r="T24" i="33"/>
  <c r="R20" i="33"/>
  <c r="C30" i="33"/>
  <c r="Q23" i="33"/>
  <c r="D21" i="33"/>
  <c r="S26" i="33"/>
  <c r="J22" i="33"/>
  <c r="R23" i="33"/>
  <c r="D35" i="33"/>
  <c r="C41" i="33"/>
  <c r="J19" i="33"/>
  <c r="J30" i="33"/>
  <c r="L32" i="33"/>
  <c r="K31" i="33"/>
  <c r="L21" i="33"/>
  <c r="R19" i="33"/>
  <c r="Q37" i="33"/>
  <c r="E32" i="33"/>
  <c r="J32" i="33"/>
  <c r="R26" i="33"/>
  <c r="J31" i="33"/>
  <c r="D28" i="33"/>
  <c r="S30" i="33"/>
  <c r="L25" i="33"/>
  <c r="T20" i="33"/>
  <c r="K35" i="33"/>
  <c r="C26" i="33"/>
  <c r="T32" i="33"/>
  <c r="D20" i="33"/>
  <c r="T29" i="33"/>
  <c r="L27" i="33"/>
  <c r="T36" i="33"/>
  <c r="E31" i="33"/>
  <c r="D24" i="33"/>
  <c r="M37" i="33"/>
  <c r="C19" i="33"/>
  <c r="J28" i="33"/>
  <c r="M30" i="33"/>
  <c r="K26" i="33"/>
  <c r="T27" i="33"/>
  <c r="K23" i="33"/>
  <c r="Q26" i="33"/>
  <c r="E30" i="33"/>
  <c r="R24" i="33"/>
  <c r="M22" i="33"/>
  <c r="Q21" i="33"/>
  <c r="L28" i="33"/>
  <c r="F31" i="33"/>
  <c r="M31" i="33"/>
  <c r="R25" i="33"/>
  <c r="K29" i="33"/>
  <c r="R32" i="33"/>
  <c r="J26" i="33"/>
  <c r="K21" i="33"/>
  <c r="J40" i="33"/>
  <c r="C27" i="33"/>
  <c r="C24" i="33"/>
  <c r="S20" i="33"/>
  <c r="F36" i="33"/>
  <c r="E25" i="33"/>
  <c r="Q41" i="33"/>
  <c r="Q19" i="33"/>
  <c r="M25" i="33"/>
  <c r="S31" i="33"/>
  <c r="M19" i="33"/>
  <c r="S24" i="33"/>
  <c r="L19" i="33"/>
  <c r="C21" i="33"/>
  <c r="E20" i="33"/>
  <c r="Q29" i="33"/>
  <c r="J36" i="33"/>
  <c r="F27" i="33"/>
  <c r="F25" i="33"/>
  <c r="K30" i="33"/>
  <c r="Q24" i="33"/>
  <c r="S19" i="33"/>
  <c r="D23" i="33"/>
  <c r="C36" i="33"/>
  <c r="F26" i="33"/>
  <c r="J27" i="33"/>
  <c r="C23" i="33"/>
  <c r="C22" i="33"/>
  <c r="Q40" i="33"/>
  <c r="C29" i="33"/>
  <c r="R30" i="33"/>
  <c r="S23" i="33"/>
  <c r="F30" i="33"/>
  <c r="R28" i="33"/>
  <c r="R31" i="33"/>
  <c r="M27" i="33"/>
  <c r="F24" i="33"/>
  <c r="M32" i="33"/>
  <c r="S25" i="33"/>
  <c r="R22" i="33"/>
  <c r="J23" i="33"/>
  <c r="J35" i="33"/>
  <c r="E22" i="33"/>
  <c r="L26" i="33"/>
  <c r="C40" i="33"/>
  <c r="J20" i="33"/>
  <c r="R21" i="33"/>
  <c r="S27" i="33"/>
  <c r="J37" i="33"/>
  <c r="Q39" i="33"/>
  <c r="R27" i="33"/>
  <c r="R39" i="33"/>
  <c r="E26" i="33"/>
  <c r="L31" i="33"/>
  <c r="E19" i="33"/>
  <c r="E29" i="33"/>
  <c r="F32" i="33"/>
  <c r="T21" i="33"/>
  <c r="Q20" i="33"/>
  <c r="Q36" i="33"/>
  <c r="E24" i="33"/>
  <c r="J24" i="33"/>
  <c r="Q28" i="33"/>
  <c r="D26" i="33"/>
  <c r="E28" i="33"/>
  <c r="D30" i="33"/>
  <c r="M36" i="33"/>
  <c r="K28" i="33"/>
  <c r="C37" i="33"/>
  <c r="E23" i="33"/>
  <c r="M24" i="33"/>
  <c r="T19" i="33"/>
  <c r="K39" i="33"/>
  <c r="F23" i="33"/>
  <c r="C19" i="25" l="1"/>
  <c r="AA20" i="33"/>
  <c r="AA21" i="33"/>
  <c r="E25" i="34"/>
  <c r="C20" i="26"/>
  <c r="E8" i="22"/>
  <c r="E10" i="22"/>
  <c r="Q47" i="10"/>
  <c r="J47" i="10"/>
  <c r="C47" i="10"/>
  <c r="AC21" i="10"/>
  <c r="C25" i="25"/>
  <c r="C20" i="25"/>
  <c r="K40" i="33"/>
  <c r="C30" i="25"/>
  <c r="F37" i="33"/>
  <c r="C27" i="34" l="1"/>
  <c r="E21" i="26"/>
  <c r="E22" i="26" s="1"/>
  <c r="A54" i="15"/>
  <c r="A55" i="15"/>
  <c r="A56" i="15"/>
  <c r="A57" i="15"/>
  <c r="A58" i="15"/>
  <c r="A53" i="15"/>
  <c r="N5" i="15"/>
  <c r="M5" i="15"/>
  <c r="L5" i="15"/>
  <c r="A11" i="15"/>
  <c r="A12" i="15"/>
  <c r="A13" i="15"/>
  <c r="A14" i="15"/>
  <c r="A15" i="15"/>
  <c r="A16" i="15"/>
  <c r="A17" i="15"/>
  <c r="A18" i="15"/>
  <c r="A19" i="15"/>
  <c r="A20" i="15"/>
  <c r="A21" i="15"/>
  <c r="A22" i="15"/>
  <c r="A23" i="15"/>
  <c r="A10" i="15"/>
  <c r="J24" i="10"/>
  <c r="D21" i="10"/>
  <c r="R26" i="10"/>
  <c r="R25" i="10"/>
  <c r="T22" i="10"/>
  <c r="K26" i="10"/>
  <c r="D25" i="10"/>
  <c r="K36" i="10"/>
  <c r="J36" i="10"/>
  <c r="T23" i="10"/>
  <c r="C35" i="10"/>
  <c r="E26" i="10"/>
  <c r="Q39" i="10"/>
  <c r="J43" i="10"/>
  <c r="E36" i="10"/>
  <c r="J25" i="10"/>
  <c r="Q26" i="10"/>
  <c r="R35" i="10"/>
  <c r="K22" i="10"/>
  <c r="J22" i="10"/>
  <c r="Q24" i="10"/>
  <c r="C26" i="10"/>
  <c r="Q21" i="10"/>
  <c r="C42" i="10"/>
  <c r="C38" i="10"/>
  <c r="C24" i="10"/>
  <c r="C36" i="10"/>
  <c r="F35" i="10"/>
  <c r="J35" i="10"/>
  <c r="L35" i="10"/>
  <c r="M26" i="10"/>
  <c r="Q42" i="10"/>
  <c r="R22" i="10"/>
  <c r="D26" i="10"/>
  <c r="C22" i="10"/>
  <c r="K21" i="10"/>
  <c r="T21" i="10"/>
  <c r="C41" i="10"/>
  <c r="M25" i="10"/>
  <c r="C21" i="10"/>
  <c r="S22" i="10"/>
  <c r="S35" i="10"/>
  <c r="J37" i="10"/>
  <c r="L22" i="10"/>
  <c r="Q41" i="10"/>
  <c r="K35" i="10"/>
  <c r="Q22" i="10"/>
  <c r="D39" i="33"/>
  <c r="F36" i="10"/>
  <c r="M21" i="10"/>
  <c r="D35" i="10"/>
  <c r="K24" i="10"/>
  <c r="Q25" i="10"/>
  <c r="J23" i="10"/>
  <c r="J42" i="10"/>
  <c r="S21" i="10"/>
  <c r="R24" i="10"/>
  <c r="E22" i="10"/>
  <c r="Q35" i="10"/>
  <c r="D22" i="10"/>
  <c r="D36" i="10"/>
  <c r="K25" i="10"/>
  <c r="D27" i="10"/>
  <c r="J39" i="10"/>
  <c r="S25" i="10"/>
  <c r="T36" i="10"/>
  <c r="L24" i="10"/>
  <c r="E35" i="10"/>
  <c r="J26" i="10"/>
  <c r="R21" i="10"/>
  <c r="C43" i="10"/>
  <c r="R36" i="10"/>
  <c r="M22" i="10"/>
  <c r="L36" i="10"/>
  <c r="E24" i="10"/>
  <c r="M36" i="10"/>
  <c r="S36" i="10"/>
  <c r="L26" i="10"/>
  <c r="S24" i="10"/>
  <c r="T24" i="10"/>
  <c r="M35" i="10"/>
  <c r="E25" i="10"/>
  <c r="J41" i="10"/>
  <c r="C23" i="10"/>
  <c r="S26" i="10"/>
  <c r="Q23" i="10"/>
  <c r="Q36" i="10"/>
  <c r="L25" i="10"/>
  <c r="D24" i="10"/>
  <c r="T25" i="10"/>
  <c r="J38" i="10"/>
  <c r="C37" i="10"/>
  <c r="M24" i="10"/>
  <c r="Q38" i="10"/>
  <c r="Q37" i="10"/>
  <c r="R41" i="33"/>
  <c r="C39" i="10"/>
  <c r="L21" i="10"/>
  <c r="R23" i="10"/>
  <c r="E21" i="10"/>
  <c r="T26" i="10"/>
  <c r="K41" i="33"/>
  <c r="Q43" i="10"/>
  <c r="J21" i="10"/>
  <c r="T35" i="10"/>
  <c r="C25" i="10"/>
  <c r="E98" i="15" l="1"/>
  <c r="E99" i="15"/>
  <c r="E100" i="15"/>
  <c r="E97" i="15"/>
  <c r="E101" i="15"/>
  <c r="E110" i="15"/>
  <c r="E111" i="15"/>
  <c r="E96" i="15"/>
  <c r="N95" i="15" s="1"/>
  <c r="N96" i="15" s="1"/>
  <c r="E54" i="15"/>
  <c r="E57" i="15"/>
  <c r="E56" i="15"/>
  <c r="E58" i="15"/>
  <c r="E68" i="15"/>
  <c r="E67" i="15"/>
  <c r="E53" i="15"/>
  <c r="D53" i="15"/>
  <c r="E24" i="15"/>
  <c r="E25" i="15"/>
  <c r="AA19" i="33"/>
  <c r="D110" i="15"/>
  <c r="M123" i="15" s="1"/>
  <c r="M122" i="15" s="1"/>
  <c r="B110" i="15"/>
  <c r="K123" i="15" s="1"/>
  <c r="D111" i="15"/>
  <c r="M125" i="15" s="1"/>
  <c r="M124" i="15" s="1"/>
  <c r="C111" i="15"/>
  <c r="C110" i="15"/>
  <c r="B111" i="15"/>
  <c r="K125" i="15" s="1"/>
  <c r="C24" i="15"/>
  <c r="D25" i="15"/>
  <c r="M39" i="15" s="1"/>
  <c r="M38" i="15" s="1"/>
  <c r="B25" i="15"/>
  <c r="K39" i="15" s="1"/>
  <c r="B24" i="15"/>
  <c r="K37" i="15" s="1"/>
  <c r="C25" i="15"/>
  <c r="D24" i="15"/>
  <c r="M37" i="15" s="1"/>
  <c r="C67" i="15"/>
  <c r="D68" i="15"/>
  <c r="M82" i="15" s="1"/>
  <c r="M81" i="15" s="1"/>
  <c r="B68" i="15"/>
  <c r="K82" i="15" s="1"/>
  <c r="D67" i="15"/>
  <c r="M80" i="15" s="1"/>
  <c r="M79" i="15" s="1"/>
  <c r="C68" i="15"/>
  <c r="B67" i="15"/>
  <c r="K80" i="15" s="1"/>
  <c r="C28" i="34"/>
  <c r="E59" i="35"/>
  <c r="B54" i="35"/>
  <c r="C49" i="35"/>
  <c r="B57" i="35"/>
  <c r="C48" i="35"/>
  <c r="B96" i="35"/>
  <c r="D88" i="35"/>
  <c r="M91" i="35" s="1"/>
  <c r="M90" i="35" s="1"/>
  <c r="D87" i="35"/>
  <c r="M89" i="35" s="1"/>
  <c r="M88" i="35" s="1"/>
  <c r="B18" i="35"/>
  <c r="B13" i="35"/>
  <c r="K15" i="35" s="1"/>
  <c r="C23" i="35"/>
  <c r="E52" i="35"/>
  <c r="E51" i="35"/>
  <c r="B59" i="35"/>
  <c r="C53" i="35"/>
  <c r="D49" i="35"/>
  <c r="M50" i="35" s="1"/>
  <c r="M49" i="35" s="1"/>
  <c r="C57" i="35"/>
  <c r="E91" i="35"/>
  <c r="D86" i="35"/>
  <c r="C84" i="35"/>
  <c r="L83" i="35" s="1"/>
  <c r="L84" i="35" s="1"/>
  <c r="E85" i="35"/>
  <c r="D89" i="35"/>
  <c r="M93" i="35" s="1"/>
  <c r="M92" i="35" s="1"/>
  <c r="E89" i="35"/>
  <c r="B93" i="35"/>
  <c r="D93" i="35"/>
  <c r="D19" i="35"/>
  <c r="E19" i="35"/>
  <c r="E12" i="35"/>
  <c r="D17" i="35"/>
  <c r="B19" i="35"/>
  <c r="B17" i="35"/>
  <c r="E20" i="35"/>
  <c r="C51" i="35"/>
  <c r="B52" i="35"/>
  <c r="K56" i="35" s="1"/>
  <c r="B47" i="35"/>
  <c r="K46" i="35" s="1"/>
  <c r="B50" i="35"/>
  <c r="K52" i="35" s="1"/>
  <c r="D50" i="35"/>
  <c r="M52" i="35" s="1"/>
  <c r="M51" i="35" s="1"/>
  <c r="D55" i="35"/>
  <c r="C88" i="35"/>
  <c r="D91" i="35"/>
  <c r="D11" i="35"/>
  <c r="M11" i="35" s="1"/>
  <c r="M10" i="35" s="1"/>
  <c r="D15" i="35"/>
  <c r="M19" i="35" s="1"/>
  <c r="M18" i="35" s="1"/>
  <c r="C17" i="35"/>
  <c r="C54" i="35"/>
  <c r="D54" i="35"/>
  <c r="B53" i="35"/>
  <c r="B49" i="35"/>
  <c r="K50" i="35" s="1"/>
  <c r="D56" i="35"/>
  <c r="E50" i="35"/>
  <c r="E49" i="35"/>
  <c r="C59" i="35"/>
  <c r="C95" i="35"/>
  <c r="E87" i="35"/>
  <c r="D85" i="35"/>
  <c r="M85" i="35" s="1"/>
  <c r="M84" i="35" s="1"/>
  <c r="B87" i="35"/>
  <c r="K89" i="35" s="1"/>
  <c r="B88" i="35"/>
  <c r="K91" i="35" s="1"/>
  <c r="B91" i="35"/>
  <c r="C91" i="35"/>
  <c r="C93" i="35"/>
  <c r="D95" i="35"/>
  <c r="D21" i="35"/>
  <c r="E21" i="35"/>
  <c r="B15" i="35"/>
  <c r="K19" i="35" s="1"/>
  <c r="D10" i="35"/>
  <c r="M9" i="35" s="1"/>
  <c r="M8" i="35" s="1"/>
  <c r="E18" i="35"/>
  <c r="E22" i="35"/>
  <c r="E14" i="35"/>
  <c r="B58" i="35"/>
  <c r="E57" i="35"/>
  <c r="B56" i="35"/>
  <c r="C56" i="35"/>
  <c r="C50" i="35"/>
  <c r="D58" i="35"/>
  <c r="D53" i="35"/>
  <c r="D47" i="35"/>
  <c r="M46" i="35" s="1"/>
  <c r="M45" i="35" s="1"/>
  <c r="C97" i="35"/>
  <c r="D90" i="35"/>
  <c r="E86" i="35"/>
  <c r="C89" i="35"/>
  <c r="E92" i="35"/>
  <c r="E94" i="35"/>
  <c r="B86" i="35"/>
  <c r="K87" i="35" s="1"/>
  <c r="D97" i="35"/>
  <c r="B10" i="35"/>
  <c r="K9" i="35" s="1"/>
  <c r="E23" i="35"/>
  <c r="E16" i="35"/>
  <c r="B14" i="35"/>
  <c r="K17" i="35" s="1"/>
  <c r="E11" i="35"/>
  <c r="D20" i="35"/>
  <c r="C13" i="35"/>
  <c r="C58" i="35"/>
  <c r="B92" i="35"/>
  <c r="B89" i="35"/>
  <c r="K93" i="35" s="1"/>
  <c r="C96" i="35"/>
  <c r="D92" i="35"/>
  <c r="D94" i="35"/>
  <c r="E96" i="35"/>
  <c r="C87" i="35"/>
  <c r="C11" i="35"/>
  <c r="C18" i="35"/>
  <c r="C15" i="35"/>
  <c r="C20" i="35"/>
  <c r="D22" i="35"/>
  <c r="B21" i="35"/>
  <c r="B11" i="35"/>
  <c r="K11" i="35" s="1"/>
  <c r="B51" i="35"/>
  <c r="K54" i="35" s="1"/>
  <c r="C60" i="35"/>
  <c r="E56" i="35"/>
  <c r="C55" i="35"/>
  <c r="E55" i="35"/>
  <c r="B85" i="35"/>
  <c r="K85" i="35" s="1"/>
  <c r="E93" i="35"/>
  <c r="E90" i="35"/>
  <c r="B95" i="35"/>
  <c r="C94" i="35"/>
  <c r="D96" i="35"/>
  <c r="B90" i="35"/>
  <c r="B16" i="35"/>
  <c r="D12" i="35"/>
  <c r="B20" i="35"/>
  <c r="D18" i="35"/>
  <c r="C22" i="35"/>
  <c r="B23" i="35"/>
  <c r="C16" i="35"/>
  <c r="B55" i="35"/>
  <c r="D48" i="35"/>
  <c r="M48" i="35" s="1"/>
  <c r="M47" i="35" s="1"/>
  <c r="E58" i="35"/>
  <c r="E48" i="35"/>
  <c r="D57" i="35"/>
  <c r="C90" i="35"/>
  <c r="E95" i="35"/>
  <c r="C92" i="35"/>
  <c r="B97" i="35"/>
  <c r="C19" i="35"/>
  <c r="E13" i="35"/>
  <c r="C12" i="35"/>
  <c r="B22" i="35"/>
  <c r="E10" i="35"/>
  <c r="D14" i="35"/>
  <c r="M17" i="35" s="1"/>
  <c r="M16" i="35" s="1"/>
  <c r="B12" i="35"/>
  <c r="K13" i="35" s="1"/>
  <c r="D23" i="35"/>
  <c r="E54" i="35"/>
  <c r="B60" i="35"/>
  <c r="D52" i="35"/>
  <c r="M56" i="35" s="1"/>
  <c r="M55" i="35" s="1"/>
  <c r="C47" i="35"/>
  <c r="L46" i="35" s="1"/>
  <c r="L47" i="35" s="1"/>
  <c r="E60" i="35"/>
  <c r="C52" i="35"/>
  <c r="D59" i="35"/>
  <c r="B84" i="35"/>
  <c r="K83" i="35" s="1"/>
  <c r="E97" i="35"/>
  <c r="B94" i="35"/>
  <c r="E84" i="35"/>
  <c r="N83" i="35" s="1"/>
  <c r="N84" i="35" s="1"/>
  <c r="E88" i="35"/>
  <c r="C86" i="35"/>
  <c r="C21" i="35"/>
  <c r="D16" i="35"/>
  <c r="C10" i="35"/>
  <c r="L9" i="35" s="1"/>
  <c r="L10" i="35" s="1"/>
  <c r="C14" i="35"/>
  <c r="E15" i="35"/>
  <c r="E17" i="35"/>
  <c r="D60" i="35"/>
  <c r="E47" i="35"/>
  <c r="N46" i="35" s="1"/>
  <c r="N47" i="35" s="1"/>
  <c r="B48" i="35"/>
  <c r="K48" i="35" s="1"/>
  <c r="D51" i="35"/>
  <c r="M54" i="35" s="1"/>
  <c r="M53" i="35" s="1"/>
  <c r="E53" i="35"/>
  <c r="C85" i="35"/>
  <c r="D84" i="35"/>
  <c r="M83" i="35" s="1"/>
  <c r="M82" i="35" s="1"/>
  <c r="D13" i="35"/>
  <c r="M15" i="35" s="1"/>
  <c r="M14" i="35" s="1"/>
  <c r="B96" i="15"/>
  <c r="K95" i="15" s="1"/>
  <c r="B99" i="15"/>
  <c r="K101" i="15" s="1"/>
  <c r="B98" i="15"/>
  <c r="K99" i="15" s="1"/>
  <c r="B100" i="15"/>
  <c r="K103" i="15" s="1"/>
  <c r="B97" i="15"/>
  <c r="K97" i="15" s="1"/>
  <c r="B101" i="15"/>
  <c r="K105" i="15" s="1"/>
  <c r="C96" i="15"/>
  <c r="L95" i="15" s="1"/>
  <c r="L96" i="15" s="1"/>
  <c r="D96" i="15"/>
  <c r="M95" i="15" s="1"/>
  <c r="M94" i="15" s="1"/>
  <c r="C99" i="15"/>
  <c r="D101" i="15"/>
  <c r="M105" i="15" s="1"/>
  <c r="M104" i="15" s="1"/>
  <c r="C100" i="15"/>
  <c r="D97" i="15"/>
  <c r="M97" i="15" s="1"/>
  <c r="M96" i="15" s="1"/>
  <c r="C97" i="15"/>
  <c r="C98" i="15"/>
  <c r="D99" i="15"/>
  <c r="M101" i="15" s="1"/>
  <c r="M100" i="15" s="1"/>
  <c r="D100" i="15"/>
  <c r="M103" i="15" s="1"/>
  <c r="M102" i="15" s="1"/>
  <c r="C101" i="15"/>
  <c r="B56" i="15"/>
  <c r="K58" i="15" s="1"/>
  <c r="B57" i="15"/>
  <c r="K60" i="15" s="1"/>
  <c r="B55" i="15"/>
  <c r="K56" i="15" s="1"/>
  <c r="B58" i="15"/>
  <c r="K62" i="15" s="1"/>
  <c r="B54" i="15"/>
  <c r="K54" i="15" s="1"/>
  <c r="B53" i="15"/>
  <c r="K52" i="15" s="1"/>
  <c r="B12" i="15"/>
  <c r="K13" i="15" s="1"/>
  <c r="B13" i="15"/>
  <c r="K15" i="15" s="1"/>
  <c r="B14" i="15"/>
  <c r="K17" i="15" s="1"/>
  <c r="B11" i="15"/>
  <c r="K11" i="15" s="1"/>
  <c r="B15" i="15"/>
  <c r="K19" i="15" s="1"/>
  <c r="B10" i="15"/>
  <c r="K9" i="15" s="1"/>
  <c r="S23" i="10"/>
  <c r="D40" i="33"/>
  <c r="K23" i="10"/>
  <c r="AA24" i="33" l="1"/>
  <c r="AA25" i="33" s="1"/>
  <c r="AA26" i="33" s="1"/>
  <c r="N97" i="15"/>
  <c r="N98" i="15" s="1"/>
  <c r="L97" i="15"/>
  <c r="L98" i="15" s="1"/>
  <c r="M36" i="15"/>
  <c r="C29" i="34"/>
  <c r="L11" i="35"/>
  <c r="L12" i="35" s="1"/>
  <c r="M13" i="35"/>
  <c r="M12" i="35" s="1"/>
  <c r="M87" i="35"/>
  <c r="M86" i="35" s="1"/>
  <c r="N85" i="35"/>
  <c r="N86" i="35" s="1"/>
  <c r="L48" i="35"/>
  <c r="L49" i="35" s="1"/>
  <c r="L85" i="35"/>
  <c r="L86" i="35" s="1"/>
  <c r="N48" i="35"/>
  <c r="N49" i="35" s="1"/>
  <c r="D98" i="15"/>
  <c r="M99" i="15" s="1"/>
  <c r="M98" i="15" s="1"/>
  <c r="D41" i="33"/>
  <c r="D23" i="10"/>
  <c r="M23" i="10"/>
  <c r="L23" i="10"/>
  <c r="E55" i="15" l="1"/>
  <c r="N99" i="15"/>
  <c r="L99" i="15"/>
  <c r="L50" i="35"/>
  <c r="L51" i="35" s="1"/>
  <c r="N50" i="35"/>
  <c r="N51" i="35" s="1"/>
  <c r="L13" i="35"/>
  <c r="N87" i="35"/>
  <c r="L87" i="35"/>
  <c r="E23" i="10"/>
  <c r="L100" i="15" l="1"/>
  <c r="L101" i="15"/>
  <c r="N100" i="15"/>
  <c r="N101" i="15"/>
  <c r="L52" i="35"/>
  <c r="L53" i="35" s="1"/>
  <c r="N52" i="35"/>
  <c r="N53" i="35" s="1"/>
  <c r="L14" i="35"/>
  <c r="L15" i="35"/>
  <c r="L88" i="35"/>
  <c r="L89" i="35"/>
  <c r="N88" i="35"/>
  <c r="N89" i="35"/>
  <c r="N102" i="15" l="1"/>
  <c r="N103" i="15"/>
  <c r="L102" i="15"/>
  <c r="L103" i="15"/>
  <c r="L54" i="35"/>
  <c r="L55" i="35" s="1"/>
  <c r="N54" i="35"/>
  <c r="N56" i="35" s="1"/>
  <c r="N57" i="35" s="1"/>
  <c r="L16" i="35"/>
  <c r="L17" i="35"/>
  <c r="L90" i="35"/>
  <c r="L91" i="35"/>
  <c r="N90" i="35"/>
  <c r="N91" i="35"/>
  <c r="C23" i="11" l="1"/>
  <c r="L104" i="15"/>
  <c r="L105" i="15"/>
  <c r="L106" i="15" s="1"/>
  <c r="N104" i="15"/>
  <c r="N105" i="15"/>
  <c r="N106" i="15" s="1"/>
  <c r="L56" i="35"/>
  <c r="L57" i="35" s="1"/>
  <c r="N55" i="35"/>
  <c r="L18" i="35"/>
  <c r="L19" i="35"/>
  <c r="L20" i="35" s="1"/>
  <c r="L92" i="35"/>
  <c r="L93" i="35"/>
  <c r="L94" i="35" s="1"/>
  <c r="N92" i="35"/>
  <c r="N93" i="35"/>
  <c r="N94" i="35" s="1"/>
  <c r="M52" i="15"/>
  <c r="M51" i="15" s="1"/>
  <c r="C54" i="15"/>
  <c r="D54" i="15"/>
  <c r="M54" i="15" s="1"/>
  <c r="M53" i="15" s="1"/>
  <c r="C55" i="15"/>
  <c r="D55" i="15"/>
  <c r="M56" i="15" s="1"/>
  <c r="M55" i="15" s="1"/>
  <c r="C56" i="15"/>
  <c r="D56" i="15"/>
  <c r="M58" i="15" s="1"/>
  <c r="M57" i="15" s="1"/>
  <c r="C57" i="15"/>
  <c r="D57" i="15"/>
  <c r="M60" i="15" s="1"/>
  <c r="M59" i="15" s="1"/>
  <c r="C58" i="15"/>
  <c r="D58" i="15"/>
  <c r="M62" i="15" s="1"/>
  <c r="M61" i="15" s="1"/>
  <c r="D15" i="15"/>
  <c r="M19" i="15" s="1"/>
  <c r="M18" i="15" s="1"/>
  <c r="D14" i="15"/>
  <c r="M17" i="15" s="1"/>
  <c r="M16" i="15" s="1"/>
  <c r="D13" i="15"/>
  <c r="M15" i="15" s="1"/>
  <c r="M14" i="15" s="1"/>
  <c r="D12" i="15"/>
  <c r="M13" i="15" s="1"/>
  <c r="M12" i="15" s="1"/>
  <c r="D11" i="15"/>
  <c r="M11" i="15" s="1"/>
  <c r="M10" i="15" s="1"/>
  <c r="D10" i="15"/>
  <c r="M9" i="15" s="1"/>
  <c r="M8" i="15" s="1"/>
  <c r="C15" i="15"/>
  <c r="C14" i="15"/>
  <c r="C13" i="15"/>
  <c r="C12" i="15"/>
  <c r="C11" i="15"/>
  <c r="E19" i="11"/>
  <c r="E18" i="11"/>
  <c r="E17" i="11"/>
  <c r="E16" i="11"/>
  <c r="E15" i="11"/>
  <c r="E14" i="11"/>
  <c r="E13" i="11"/>
  <c r="E12" i="11"/>
  <c r="E11" i="11"/>
  <c r="E10" i="11"/>
  <c r="E9" i="11"/>
  <c r="E8" i="11"/>
  <c r="E7" i="11"/>
  <c r="E6" i="11"/>
  <c r="AC24" i="10"/>
  <c r="AC22" i="10"/>
  <c r="F23" i="10"/>
  <c r="F24" i="10"/>
  <c r="F25" i="10"/>
  <c r="F21" i="10"/>
  <c r="F22" i="10"/>
  <c r="F26" i="10"/>
  <c r="E13" i="15" l="1"/>
  <c r="E14" i="15"/>
  <c r="E12" i="15"/>
  <c r="E15" i="15"/>
  <c r="E11" i="15"/>
  <c r="E10" i="15"/>
  <c r="N9" i="15" s="1"/>
  <c r="N10" i="15" s="1"/>
  <c r="E24" i="11"/>
  <c r="AC25" i="10"/>
  <c r="N9" i="35"/>
  <c r="N10" i="35" s="1"/>
  <c r="C53" i="15"/>
  <c r="L52" i="15" s="1"/>
  <c r="L53" i="15" s="1"/>
  <c r="C10" i="15"/>
  <c r="L9" i="15" s="1"/>
  <c r="L10" i="15" s="1"/>
  <c r="C27" i="11" l="1"/>
  <c r="E25" i="11"/>
  <c r="L54" i="15"/>
  <c r="N11" i="35"/>
  <c r="N12" i="35" s="1"/>
  <c r="N52" i="15"/>
  <c r="N53" i="15" s="1"/>
  <c r="L11" i="15"/>
  <c r="L12" i="15" s="1"/>
  <c r="N11" i="15"/>
  <c r="N12" i="15" s="1"/>
  <c r="L55" i="15" l="1"/>
  <c r="L56" i="15"/>
  <c r="N54" i="15"/>
  <c r="N13" i="35"/>
  <c r="AA27" i="33"/>
  <c r="C28" i="11"/>
  <c r="L13" i="15"/>
  <c r="L15" i="15" s="1"/>
  <c r="N13" i="15"/>
  <c r="D42" i="10"/>
  <c r="N55" i="15" l="1"/>
  <c r="N56" i="15"/>
  <c r="L57" i="15"/>
  <c r="L58" i="15"/>
  <c r="N14" i="35"/>
  <c r="N15" i="35"/>
  <c r="C29" i="11"/>
  <c r="L14" i="15"/>
  <c r="L16" i="15"/>
  <c r="L17" i="15"/>
  <c r="N14" i="15"/>
  <c r="N15" i="15"/>
  <c r="N57" i="15" l="1"/>
  <c r="N58" i="15"/>
  <c r="L59" i="15"/>
  <c r="L60" i="15"/>
  <c r="N16" i="35"/>
  <c r="N17" i="35"/>
  <c r="L18" i="15"/>
  <c r="L19" i="15"/>
  <c r="N16" i="15"/>
  <c r="N17" i="15"/>
  <c r="L61" i="15" l="1"/>
  <c r="L62" i="15"/>
  <c r="L63" i="15" s="1"/>
  <c r="N59" i="15"/>
  <c r="N60" i="15"/>
  <c r="N18" i="35"/>
  <c r="N19" i="35"/>
  <c r="N20" i="35" s="1"/>
  <c r="L20" i="15"/>
  <c r="N19" i="15"/>
  <c r="N18" i="15"/>
  <c r="N61" i="15" l="1"/>
  <c r="N62" i="15"/>
  <c r="N63" i="15" s="1"/>
  <c r="N20" i="15"/>
  <c r="C28" i="10"/>
  <c r="K23" i="35" l="1"/>
  <c r="B17" i="15"/>
  <c r="K23" i="15" s="1"/>
  <c r="C32" i="10"/>
  <c r="C30" i="10"/>
  <c r="Q28" i="10"/>
  <c r="K27" i="35" l="1"/>
  <c r="K97" i="35"/>
  <c r="K31" i="35"/>
  <c r="B21" i="15"/>
  <c r="K31" i="15" s="1"/>
  <c r="B103" i="15"/>
  <c r="K109" i="15" s="1"/>
  <c r="B19" i="15"/>
  <c r="K27" i="15" s="1"/>
  <c r="Q31" i="10"/>
  <c r="Q34" i="10"/>
  <c r="C34" i="10"/>
  <c r="R32" i="10"/>
  <c r="J33" i="10"/>
  <c r="C31" i="10"/>
  <c r="J31" i="10"/>
  <c r="J30" i="10"/>
  <c r="Q30" i="10"/>
  <c r="J28" i="10"/>
  <c r="K32" i="10"/>
  <c r="J27" i="10"/>
  <c r="C29" i="10"/>
  <c r="J32" i="10"/>
  <c r="Q27" i="10"/>
  <c r="C33" i="10"/>
  <c r="J34" i="10"/>
  <c r="Q33" i="10"/>
  <c r="C27" i="10"/>
  <c r="D32" i="10"/>
  <c r="J29" i="10"/>
  <c r="Q32" i="10"/>
  <c r="Q29" i="10"/>
  <c r="K68" i="35" l="1"/>
  <c r="K72" i="35"/>
  <c r="K101" i="35"/>
  <c r="K33" i="35"/>
  <c r="K70" i="35"/>
  <c r="K62" i="35"/>
  <c r="K60" i="35"/>
  <c r="K107" i="35"/>
  <c r="K95" i="35"/>
  <c r="K25" i="35"/>
  <c r="K99" i="35"/>
  <c r="K103" i="35"/>
  <c r="K29" i="35"/>
  <c r="K64" i="35"/>
  <c r="K58" i="35"/>
  <c r="K105" i="35"/>
  <c r="K35" i="35"/>
  <c r="K21" i="35"/>
  <c r="K109" i="35"/>
  <c r="K66" i="35"/>
  <c r="B105" i="15"/>
  <c r="K113" i="15" s="1"/>
  <c r="B22" i="15"/>
  <c r="K33" i="15" s="1"/>
  <c r="B23" i="15"/>
  <c r="K35" i="15" s="1"/>
  <c r="B107" i="15"/>
  <c r="K117" i="15" s="1"/>
  <c r="B66" i="15"/>
  <c r="K78" i="15" s="1"/>
  <c r="B109" i="15"/>
  <c r="K121" i="15" s="1"/>
  <c r="B61" i="15"/>
  <c r="K68" i="15" s="1"/>
  <c r="B63" i="15"/>
  <c r="K72" i="15" s="1"/>
  <c r="B108" i="15"/>
  <c r="K119" i="15" s="1"/>
  <c r="B64" i="15"/>
  <c r="K74" i="15" s="1"/>
  <c r="B102" i="15"/>
  <c r="K107" i="15" s="1"/>
  <c r="B104" i="15"/>
  <c r="K111" i="15" s="1"/>
  <c r="B18" i="15"/>
  <c r="K25" i="15" s="1"/>
  <c r="B59" i="15"/>
  <c r="K64" i="15" s="1"/>
  <c r="B20" i="15"/>
  <c r="K29" i="15" s="1"/>
  <c r="B16" i="15"/>
  <c r="K21" i="15" s="1"/>
  <c r="B106" i="15"/>
  <c r="K115" i="15" s="1"/>
  <c r="B60" i="15"/>
  <c r="K66" i="15" s="1"/>
  <c r="B62" i="15"/>
  <c r="K70" i="15" s="1"/>
  <c r="B65" i="15"/>
  <c r="K76" i="15" s="1"/>
  <c r="C64" i="15"/>
  <c r="C107" i="15"/>
  <c r="C21" i="15"/>
  <c r="R33" i="10"/>
  <c r="K33" i="10"/>
  <c r="D33" i="10"/>
  <c r="C65" i="15" l="1"/>
  <c r="C22" i="15"/>
  <c r="C108" i="15"/>
  <c r="E34" i="10"/>
  <c r="S34" i="10"/>
  <c r="L34" i="10"/>
  <c r="D66" i="15" l="1"/>
  <c r="M78" i="15" s="1"/>
  <c r="M77" i="15" s="1"/>
  <c r="M109" i="35"/>
  <c r="M108" i="35" s="1"/>
  <c r="M72" i="35"/>
  <c r="M71" i="35" s="1"/>
  <c r="M35" i="35"/>
  <c r="M34" i="35" s="1"/>
  <c r="D23" i="15"/>
  <c r="M35" i="15" s="1"/>
  <c r="M34" i="15" s="1"/>
  <c r="D109" i="15"/>
  <c r="M121" i="15" s="1"/>
  <c r="M120" i="15" s="1"/>
  <c r="K27" i="10"/>
  <c r="R27" i="10"/>
  <c r="L95" i="35" l="1"/>
  <c r="L96" i="35" s="1"/>
  <c r="L58" i="35"/>
  <c r="L59" i="35" s="1"/>
  <c r="L21" i="35"/>
  <c r="L22" i="35" s="1"/>
  <c r="C16" i="15"/>
  <c r="L21" i="15" s="1"/>
  <c r="L22" i="15" s="1"/>
  <c r="C102" i="15"/>
  <c r="L107" i="15" s="1"/>
  <c r="L108" i="15" s="1"/>
  <c r="C59" i="15"/>
  <c r="L64" i="15" s="1"/>
  <c r="L65" i="15" s="1"/>
  <c r="E28" i="10"/>
  <c r="L28" i="10"/>
  <c r="S28" i="10"/>
  <c r="M97" i="35" l="1"/>
  <c r="M96" i="35" s="1"/>
  <c r="M23" i="35"/>
  <c r="M22" i="35" s="1"/>
  <c r="M60" i="35"/>
  <c r="M59" i="35" s="1"/>
  <c r="D60" i="15"/>
  <c r="M66" i="15" s="1"/>
  <c r="M65" i="15" s="1"/>
  <c r="D17" i="15"/>
  <c r="M23" i="15" s="1"/>
  <c r="M22" i="15" s="1"/>
  <c r="D103" i="15"/>
  <c r="M109" i="15" s="1"/>
  <c r="M108" i="15" s="1"/>
  <c r="D28" i="10"/>
  <c r="R28" i="10"/>
  <c r="K28" i="10"/>
  <c r="L23" i="35" l="1"/>
  <c r="L24" i="35" s="1"/>
  <c r="L97" i="35"/>
  <c r="L98" i="35" s="1"/>
  <c r="L60" i="35"/>
  <c r="L61" i="35" s="1"/>
  <c r="C60" i="15"/>
  <c r="L66" i="15" s="1"/>
  <c r="L67" i="15" s="1"/>
  <c r="C17" i="15"/>
  <c r="L23" i="15" s="1"/>
  <c r="L24" i="15" s="1"/>
  <c r="C103" i="15"/>
  <c r="L109" i="15" s="1"/>
  <c r="L110" i="15" s="1"/>
  <c r="K30" i="10"/>
  <c r="R30" i="10"/>
  <c r="D30" i="10"/>
  <c r="C19" i="15" l="1"/>
  <c r="C62" i="15"/>
  <c r="C105" i="15"/>
  <c r="L27" i="10"/>
  <c r="S27" i="10"/>
  <c r="E27" i="10"/>
  <c r="M95" i="35" l="1"/>
  <c r="M94" i="35" s="1"/>
  <c r="M58" i="35"/>
  <c r="M57" i="35" s="1"/>
  <c r="M21" i="35"/>
  <c r="M20" i="35" s="1"/>
  <c r="D102" i="15"/>
  <c r="M107" i="15" s="1"/>
  <c r="M106" i="15" s="1"/>
  <c r="D59" i="15"/>
  <c r="M64" i="15" s="1"/>
  <c r="M63" i="15" s="1"/>
  <c r="D16" i="15"/>
  <c r="M21" i="15" s="1"/>
  <c r="M20" i="15" s="1"/>
  <c r="R31" i="10"/>
  <c r="D31" i="10"/>
  <c r="K31" i="10"/>
  <c r="C106" i="15" l="1"/>
  <c r="C20" i="15"/>
  <c r="C63" i="15"/>
  <c r="M28" i="10"/>
  <c r="F28" i="10"/>
  <c r="T28" i="10"/>
  <c r="E103" i="15" l="1"/>
  <c r="E60" i="15"/>
  <c r="E17" i="15"/>
  <c r="F30" i="10"/>
  <c r="T30" i="10"/>
  <c r="M30" i="10"/>
  <c r="E105" i="15" l="1"/>
  <c r="E62" i="15"/>
  <c r="E19" i="15"/>
  <c r="M27" i="10"/>
  <c r="T27" i="10"/>
  <c r="F27" i="10"/>
  <c r="E102" i="15" l="1"/>
  <c r="N107" i="15" s="1"/>
  <c r="E59" i="15"/>
  <c r="N64" i="15" s="1"/>
  <c r="E16" i="15"/>
  <c r="N21" i="15" s="1"/>
  <c r="N58" i="35"/>
  <c r="N21" i="35"/>
  <c r="N95" i="35"/>
  <c r="K34" i="10"/>
  <c r="D34" i="10"/>
  <c r="R34" i="10"/>
  <c r="N108" i="15" l="1"/>
  <c r="N109" i="15"/>
  <c r="N110" i="15" s="1"/>
  <c r="N65" i="15"/>
  <c r="N66" i="15"/>
  <c r="N67" i="15" s="1"/>
  <c r="N96" i="35"/>
  <c r="N97" i="35"/>
  <c r="N98" i="35" s="1"/>
  <c r="N22" i="35"/>
  <c r="N23" i="35"/>
  <c r="N24" i="35" s="1"/>
  <c r="N59" i="35"/>
  <c r="N60" i="35"/>
  <c r="N61" i="35" s="1"/>
  <c r="C66" i="15"/>
  <c r="C23" i="15"/>
  <c r="C109" i="15"/>
  <c r="N22" i="15"/>
  <c r="N23" i="15"/>
  <c r="N24" i="15" s="1"/>
  <c r="F32" i="10"/>
  <c r="M32" i="10"/>
  <c r="T32" i="10"/>
  <c r="E107" i="15" l="1"/>
  <c r="E64" i="15"/>
  <c r="E21" i="15"/>
  <c r="E33" i="10"/>
  <c r="S33" i="10"/>
  <c r="L33" i="10"/>
  <c r="M70" i="35" l="1"/>
  <c r="M69" i="35" s="1"/>
  <c r="M33" i="35"/>
  <c r="M32" i="35" s="1"/>
  <c r="M107" i="35"/>
  <c r="M106" i="35" s="1"/>
  <c r="D22" i="15"/>
  <c r="M33" i="15" s="1"/>
  <c r="M32" i="15" s="1"/>
  <c r="D65" i="15"/>
  <c r="M76" i="15" s="1"/>
  <c r="M75" i="15" s="1"/>
  <c r="D108" i="15"/>
  <c r="M119" i="15" s="1"/>
  <c r="M118" i="15" s="1"/>
  <c r="E29" i="10"/>
  <c r="L29" i="10"/>
  <c r="S29" i="10"/>
  <c r="M62" i="35" l="1"/>
  <c r="M61" i="35" s="1"/>
  <c r="M99" i="35"/>
  <c r="M98" i="35" s="1"/>
  <c r="M25" i="35"/>
  <c r="M24" i="35" s="1"/>
  <c r="D104" i="15"/>
  <c r="M111" i="15" s="1"/>
  <c r="M110" i="15" s="1"/>
  <c r="D61" i="15"/>
  <c r="M68" i="15" s="1"/>
  <c r="M67" i="15" s="1"/>
  <c r="D18" i="15"/>
  <c r="M25" i="15" s="1"/>
  <c r="M24" i="15" s="1"/>
  <c r="F34" i="10"/>
  <c r="T34" i="10"/>
  <c r="M34" i="10"/>
  <c r="E109" i="15" l="1"/>
  <c r="E66" i="15"/>
  <c r="E23" i="15"/>
  <c r="M29" i="10"/>
  <c r="F29" i="10"/>
  <c r="T29" i="10"/>
  <c r="E104" i="15" l="1"/>
  <c r="N111" i="15" s="1"/>
  <c r="E61" i="15"/>
  <c r="N68" i="15" s="1"/>
  <c r="E18" i="15"/>
  <c r="N25" i="15" s="1"/>
  <c r="N62" i="35"/>
  <c r="N25" i="35"/>
  <c r="N99" i="35"/>
  <c r="M33" i="10"/>
  <c r="F33" i="10"/>
  <c r="T33" i="10"/>
  <c r="E108" i="15" l="1"/>
  <c r="E65" i="15"/>
  <c r="E22" i="15"/>
  <c r="N112" i="15"/>
  <c r="N113" i="15"/>
  <c r="N114" i="15" s="1"/>
  <c r="N69" i="15"/>
  <c r="N70" i="15"/>
  <c r="N71" i="15" s="1"/>
  <c r="N100" i="35"/>
  <c r="N101" i="35"/>
  <c r="N102" i="35" s="1"/>
  <c r="N26" i="35"/>
  <c r="N27" i="35"/>
  <c r="N28" i="35" s="1"/>
  <c r="N63" i="35"/>
  <c r="N64" i="35"/>
  <c r="N65" i="35" s="1"/>
  <c r="N26" i="15"/>
  <c r="N27" i="15"/>
  <c r="N28" i="15" s="1"/>
  <c r="D29" i="10"/>
  <c r="K29" i="10"/>
  <c r="R29" i="10"/>
  <c r="L99" i="35" l="1"/>
  <c r="L25" i="35"/>
  <c r="L62" i="35"/>
  <c r="C104" i="15"/>
  <c r="L111" i="15" s="1"/>
  <c r="C61" i="15"/>
  <c r="L68" i="15" s="1"/>
  <c r="C18" i="15"/>
  <c r="L25" i="15" s="1"/>
  <c r="C23" i="22"/>
  <c r="S30" i="10"/>
  <c r="L30" i="10"/>
  <c r="D37" i="10"/>
  <c r="K37" i="10"/>
  <c r="R37" i="10"/>
  <c r="E30" i="10"/>
  <c r="L112" i="15" l="1"/>
  <c r="L113" i="15"/>
  <c r="L69" i="15"/>
  <c r="L70" i="15"/>
  <c r="M64" i="35"/>
  <c r="M63" i="35" s="1"/>
  <c r="M101" i="35"/>
  <c r="M100" i="35" s="1"/>
  <c r="M27" i="35"/>
  <c r="M26" i="35" s="1"/>
  <c r="L63" i="35"/>
  <c r="L64" i="35"/>
  <c r="L26" i="35"/>
  <c r="L27" i="35"/>
  <c r="L100" i="35"/>
  <c r="L101" i="35"/>
  <c r="D19" i="15"/>
  <c r="M27" i="15" s="1"/>
  <c r="M26" i="15" s="1"/>
  <c r="D62" i="15"/>
  <c r="M70" i="15" s="1"/>
  <c r="M69" i="15" s="1"/>
  <c r="D105" i="15"/>
  <c r="M113" i="15" s="1"/>
  <c r="M112" i="15" s="1"/>
  <c r="L26" i="15"/>
  <c r="L27" i="15"/>
  <c r="L31" i="10"/>
  <c r="S31" i="10"/>
  <c r="E31" i="10"/>
  <c r="L114" i="15" l="1"/>
  <c r="L115" i="15"/>
  <c r="L71" i="15"/>
  <c r="L72" i="15"/>
  <c r="M103" i="35"/>
  <c r="M102" i="35" s="1"/>
  <c r="M66" i="35"/>
  <c r="M65" i="35" s="1"/>
  <c r="M29" i="35"/>
  <c r="M28" i="35" s="1"/>
  <c r="L28" i="35"/>
  <c r="L29" i="35"/>
  <c r="L65" i="35"/>
  <c r="L66" i="35"/>
  <c r="L102" i="35"/>
  <c r="L103" i="35"/>
  <c r="D106" i="15"/>
  <c r="M115" i="15" s="1"/>
  <c r="M114" i="15" s="1"/>
  <c r="D63" i="15"/>
  <c r="M72" i="15" s="1"/>
  <c r="M71" i="15" s="1"/>
  <c r="D20" i="15"/>
  <c r="M29" i="15" s="1"/>
  <c r="M28" i="15" s="1"/>
  <c r="L28" i="15"/>
  <c r="L29" i="15"/>
  <c r="L32" i="10"/>
  <c r="E32" i="10"/>
  <c r="S32" i="10"/>
  <c r="L116" i="15" l="1"/>
  <c r="L117" i="15"/>
  <c r="L73" i="15"/>
  <c r="L74" i="15"/>
  <c r="M31" i="35"/>
  <c r="M30" i="35" s="1"/>
  <c r="M105" i="35"/>
  <c r="M104" i="35" s="1"/>
  <c r="M68" i="35"/>
  <c r="M67" i="35" s="1"/>
  <c r="L30" i="35"/>
  <c r="L31" i="35"/>
  <c r="L67" i="35"/>
  <c r="L68" i="35"/>
  <c r="L104" i="35"/>
  <c r="L105" i="35"/>
  <c r="D21" i="15"/>
  <c r="M31" i="15" s="1"/>
  <c r="M30" i="15" s="1"/>
  <c r="D107" i="15"/>
  <c r="M117" i="15" s="1"/>
  <c r="M116" i="15" s="1"/>
  <c r="D64" i="15"/>
  <c r="M74" i="15" s="1"/>
  <c r="M73" i="15" s="1"/>
  <c r="L30" i="15"/>
  <c r="L31" i="15"/>
  <c r="F31" i="10"/>
  <c r="T31" i="10"/>
  <c r="M31" i="10"/>
  <c r="E106" i="15" l="1"/>
  <c r="E63" i="15"/>
  <c r="N72" i="15" s="1"/>
  <c r="E20" i="15"/>
  <c r="N29" i="15" s="1"/>
  <c r="L118" i="15"/>
  <c r="L119" i="15"/>
  <c r="L75" i="15"/>
  <c r="L76" i="15"/>
  <c r="N66" i="35"/>
  <c r="N103" i="35"/>
  <c r="N29" i="35"/>
  <c r="L32" i="35"/>
  <c r="L33" i="35"/>
  <c r="L69" i="35"/>
  <c r="L70" i="35"/>
  <c r="L106" i="35"/>
  <c r="L107" i="35"/>
  <c r="N115" i="15"/>
  <c r="E24" i="22"/>
  <c r="L32" i="15"/>
  <c r="L33" i="15"/>
  <c r="L35" i="15" s="1"/>
  <c r="L37" i="15" s="1"/>
  <c r="L39" i="15" s="1"/>
  <c r="L41" i="15" s="1"/>
  <c r="M38" i="10"/>
  <c r="T38" i="10"/>
  <c r="F38" i="10"/>
  <c r="C27" i="22" l="1"/>
  <c r="N116" i="15"/>
  <c r="N117" i="15"/>
  <c r="L120" i="15"/>
  <c r="L121" i="15"/>
  <c r="N73" i="15"/>
  <c r="N74" i="15"/>
  <c r="L77" i="15"/>
  <c r="L78" i="15"/>
  <c r="L42" i="15"/>
  <c r="L40" i="15"/>
  <c r="L38" i="15"/>
  <c r="L34" i="35"/>
  <c r="L35" i="35"/>
  <c r="N30" i="35"/>
  <c r="N31" i="35"/>
  <c r="L71" i="35"/>
  <c r="L72" i="35"/>
  <c r="N104" i="35"/>
  <c r="N105" i="35"/>
  <c r="L108" i="35"/>
  <c r="L109" i="35"/>
  <c r="N67" i="35"/>
  <c r="N68" i="35"/>
  <c r="E25" i="22"/>
  <c r="N30" i="15"/>
  <c r="N31" i="15"/>
  <c r="L34" i="15"/>
  <c r="K41" i="10"/>
  <c r="T39" i="10"/>
  <c r="M39" i="10"/>
  <c r="F39" i="10"/>
  <c r="AA22" i="10" l="1"/>
  <c r="L122" i="15"/>
  <c r="L123" i="15"/>
  <c r="N118" i="15"/>
  <c r="N119" i="15"/>
  <c r="L79" i="15"/>
  <c r="L80" i="15"/>
  <c r="N75" i="15"/>
  <c r="N76" i="15"/>
  <c r="N106" i="35"/>
  <c r="N107" i="35"/>
  <c r="L74" i="35"/>
  <c r="L73" i="35"/>
  <c r="N69" i="35"/>
  <c r="N70" i="35"/>
  <c r="N32" i="35"/>
  <c r="N33" i="35"/>
  <c r="L111" i="35"/>
  <c r="L110" i="35"/>
  <c r="L37" i="35"/>
  <c r="L36" i="35"/>
  <c r="L36" i="15"/>
  <c r="N32" i="15"/>
  <c r="N33" i="15"/>
  <c r="R41" i="10"/>
  <c r="D41" i="10"/>
  <c r="N120" i="15" l="1"/>
  <c r="N121" i="15"/>
  <c r="L125" i="15"/>
  <c r="L124" i="15"/>
  <c r="L82" i="15"/>
  <c r="L81" i="15"/>
  <c r="N77" i="15"/>
  <c r="N78" i="15"/>
  <c r="N34" i="35"/>
  <c r="N35" i="35"/>
  <c r="N36" i="35" s="1"/>
  <c r="N37" i="35" s="1"/>
  <c r="N71" i="35"/>
  <c r="N72" i="35"/>
  <c r="N73" i="35" s="1"/>
  <c r="N74" i="35" s="1"/>
  <c r="N108" i="35"/>
  <c r="N109" i="35"/>
  <c r="N110" i="35" s="1"/>
  <c r="N111" i="35" s="1"/>
  <c r="AA23" i="10"/>
  <c r="AA21" i="10"/>
  <c r="N34" i="15"/>
  <c r="N35" i="15"/>
  <c r="N37" i="15" s="1"/>
  <c r="C28" i="22"/>
  <c r="K42" i="10"/>
  <c r="R42" i="10"/>
  <c r="AA26" i="10" l="1"/>
  <c r="AA27" i="10" s="1"/>
  <c r="AA28" i="10" s="1"/>
  <c r="AA29" i="10" s="1"/>
  <c r="L126" i="15"/>
  <c r="L127" i="15"/>
  <c r="L128" i="15" s="1"/>
  <c r="N122" i="15"/>
  <c r="N123" i="15"/>
  <c r="L84" i="15"/>
  <c r="L85" i="15" s="1"/>
  <c r="L83" i="15"/>
  <c r="N79" i="15"/>
  <c r="N80" i="15"/>
  <c r="N38" i="15"/>
  <c r="N39" i="15"/>
  <c r="N41" i="15" s="1"/>
  <c r="N36" i="15"/>
  <c r="C29" i="22"/>
  <c r="R43" i="10"/>
  <c r="K43" i="10"/>
  <c r="D43" i="10"/>
  <c r="N124" i="15" l="1"/>
  <c r="N125" i="15"/>
  <c r="N81" i="15"/>
  <c r="N82" i="15"/>
  <c r="N40" i="15"/>
  <c r="N42" i="15"/>
  <c r="N127" i="15" l="1"/>
  <c r="N128" i="15" s="1"/>
  <c r="N126" i="15"/>
  <c r="N84" i="15"/>
  <c r="N85" i="15" s="1"/>
  <c r="N83"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<sst xmlns="http://schemas.openxmlformats.org/spreadsheetml/2006/main" count="1132" uniqueCount="246">
  <si>
    <t>Supply Voltage</t>
  </si>
  <si>
    <t>Hardware</t>
  </si>
  <si>
    <t>Software</t>
  </si>
  <si>
    <t>State</t>
  </si>
  <si>
    <t xml:space="preserve">Preparation for Recieve </t>
  </si>
  <si>
    <t>Recieve (RX)</t>
  </si>
  <si>
    <t>RX to TX transition</t>
  </si>
  <si>
    <t>Transmit (TX)</t>
  </si>
  <si>
    <t>Connection Interval [ms]</t>
  </si>
  <si>
    <t>TX to RX transition</t>
  </si>
  <si>
    <t>Advertising Interval [ms]</t>
  </si>
  <si>
    <t>Shutdown</t>
  </si>
  <si>
    <t>Battery capacity [mAh]</t>
  </si>
  <si>
    <t>Wake Up &amp; Pre-processing</t>
  </si>
  <si>
    <t>Radio Preparation</t>
  </si>
  <si>
    <t>Wake Up &amp; Pre-Processing</t>
  </si>
  <si>
    <t>Post-Processing</t>
  </si>
  <si>
    <t>Standby Current [uA]</t>
  </si>
  <si>
    <t>Hours</t>
  </si>
  <si>
    <t>Minutes</t>
  </si>
  <si>
    <t>Battery Life</t>
  </si>
  <si>
    <t>Days</t>
  </si>
  <si>
    <t>Years</t>
  </si>
  <si>
    <r>
      <t>Time 
[</t>
    </r>
    <r>
      <rPr>
        <sz val="10"/>
        <rFont val="Calibri"/>
        <family val="2"/>
      </rPr>
      <t>µ</t>
    </r>
    <r>
      <rPr>
        <sz val="10"/>
        <rFont val="Arial"/>
        <family val="2"/>
      </rPr>
      <t>s]</t>
    </r>
  </si>
  <si>
    <t>Time
[µs]</t>
  </si>
  <si>
    <t>Current [mA]</t>
  </si>
  <si>
    <t>Custom Application</t>
  </si>
  <si>
    <t>Avg. Current</t>
  </si>
  <si>
    <t>Unit</t>
  </si>
  <si>
    <t>Mode</t>
  </si>
  <si>
    <t>Average current</t>
  </si>
  <si>
    <t>%</t>
  </si>
  <si>
    <t>Average current draw during connection:</t>
  </si>
  <si>
    <t>Expected battery life:</t>
  </si>
  <si>
    <t>use case calculator - per day</t>
  </si>
  <si>
    <t>Combined activities</t>
  </si>
  <si>
    <t>Time * Current</t>
  </si>
  <si>
    <t>Average Current draw during advertising event [uA]</t>
  </si>
  <si>
    <t>uA</t>
  </si>
  <si>
    <t>LAUNCHXL-CC2640R2</t>
  </si>
  <si>
    <t>Bluetooth low energy consumption</t>
  </si>
  <si>
    <t>RF Configuration</t>
  </si>
  <si>
    <t>Total time of connection event [us]</t>
  </si>
  <si>
    <t>Total time * current [us*mA]</t>
  </si>
  <si>
    <t>Output Power [dBm]</t>
  </si>
  <si>
    <t>Connection data length [#bytes]</t>
  </si>
  <si>
    <t>Revision</t>
  </si>
  <si>
    <t>Date</t>
  </si>
  <si>
    <t>Voltage</t>
  </si>
  <si>
    <t>RF config</t>
  </si>
  <si>
    <t>Pout_diff</t>
  </si>
  <si>
    <t>Pout_SE</t>
  </si>
  <si>
    <t>Diff.</t>
  </si>
  <si>
    <t>S.E.</t>
  </si>
  <si>
    <t>Avg. current draw when advertising:</t>
  </si>
  <si>
    <t>Average Current draw during connection event [uA]</t>
  </si>
  <si>
    <t>Total time of advertising event [us]</t>
  </si>
  <si>
    <t>Known limits</t>
  </si>
  <si>
    <t>*</t>
  </si>
  <si>
    <t>Only cells colored light blue updates the calculations</t>
  </si>
  <si>
    <t>OutputPower</t>
  </si>
  <si>
    <t>Transmit (TX) - TxPower [dBm]</t>
  </si>
  <si>
    <t>Avg Current [mA]</t>
  </si>
  <si>
    <t>Crystal used</t>
  </si>
  <si>
    <t>RCOSC_LF</t>
  </si>
  <si>
    <t>external 32kHz</t>
  </si>
  <si>
    <t>Avg Time [us]</t>
  </si>
  <si>
    <t>Crystal - Receive (RX)</t>
  </si>
  <si>
    <t>Warning message</t>
  </si>
  <si>
    <t xml:space="preserve">* RF Conf. is hardcoded for now. </t>
  </si>
  <si>
    <t>Warning! You have chosen to use the external crystal with connection intervals longer than 1s. This crystal requires calibration every 1s to maintain its accuracy (which implies waking up the core between connection events, which requires an additional power consumption).</t>
  </si>
  <si>
    <t>**</t>
  </si>
  <si>
    <t>** We assume only one packet per connection interval</t>
  </si>
  <si>
    <t>Energy [pAh]</t>
  </si>
  <si>
    <t>CC2640R2 Current [mA]</t>
  </si>
  <si>
    <t>CC2640R2 Energy [pAh]</t>
  </si>
  <si>
    <t xml:space="preserve">The numbers used as basis for calculation are measured on a LAUNCH2640R2 rev 1.0. </t>
  </si>
  <si>
    <r>
      <rPr>
        <u/>
        <sz val="10"/>
        <rFont val="Arial"/>
        <family val="2"/>
      </rPr>
      <t>Remark regarding CC26X2 power consumption:</t>
    </r>
    <r>
      <rPr>
        <sz val="10"/>
        <rFont val="Arial"/>
        <family val="2"/>
      </rPr>
      <t xml:space="preserve">
On CC26X2, the average current consumption is significantly higher while the time required for each activity is significantly shorter (CC26X2 wakes up, prepares radio, switches between radio states and performs post-processing faster than CC2640R2).
In the end measurements taken on a CC26X2 show that</t>
    </r>
    <r>
      <rPr>
        <sz val="10"/>
        <rFont val="Arial"/>
        <family val="2"/>
      </rPr>
      <t xml:space="preserve"> </t>
    </r>
    <r>
      <rPr>
        <u/>
        <sz val="10"/>
        <rFont val="Arial"/>
        <family val="2"/>
      </rPr>
      <t>the CC26X2 's energy consumption is relatively close to the CC2640R2's energy consumption</t>
    </r>
    <r>
      <rPr>
        <sz val="10"/>
        <rFont val="Arial"/>
        <family val="2"/>
      </rPr>
      <t xml:space="preserve">. The values found for power consumption differ by less than 5% (upwards or downwards depending on the settings used). 
On CC26X2 Launchpads, you can use EnergyTrace to have the specific power profile of your application. 
</t>
    </r>
  </si>
  <si>
    <t>Activity 1:</t>
  </si>
  <si>
    <t>Activity 2:</t>
  </si>
  <si>
    <t>Activity 3:</t>
  </si>
  <si>
    <t>Legacy Advertising</t>
  </si>
  <si>
    <t>Connected as Peripheral</t>
  </si>
  <si>
    <t>None</t>
  </si>
  <si>
    <t>Activity</t>
  </si>
  <si>
    <t>Get the page storing the data for each activity</t>
  </si>
  <si>
    <t>0V_None</t>
  </si>
  <si>
    <t>Page for activity 1</t>
  </si>
  <si>
    <t>Page for activity 2</t>
  </si>
  <si>
    <t>Page for activity 3</t>
  </si>
  <si>
    <t>Column for activity 1</t>
  </si>
  <si>
    <t>Row for activity 1</t>
  </si>
  <si>
    <t>Column for activity 2</t>
  </si>
  <si>
    <t>Row for activity 2</t>
  </si>
  <si>
    <t>Column for activity 3</t>
  </si>
  <si>
    <t>Row for activity 3</t>
  </si>
  <si>
    <t>Activity 1</t>
  </si>
  <si>
    <t>Activity 2</t>
  </si>
  <si>
    <t>Activity 3</t>
  </si>
  <si>
    <t/>
  </si>
  <si>
    <t>Advertising data length (legacy) [#bytes]</t>
  </si>
  <si>
    <r>
      <t xml:space="preserve">Total time </t>
    </r>
    <r>
      <rPr>
        <sz val="10"/>
        <rFont val="Arial"/>
        <family val="2"/>
      </rPr>
      <t>[us]</t>
    </r>
  </si>
  <si>
    <t>Average Current [uA]</t>
  </si>
  <si>
    <t>Scanning Interval [ms]</t>
  </si>
  <si>
    <t>Scanning Window [ms]</t>
  </si>
  <si>
    <t>Scanning Type</t>
  </si>
  <si>
    <t>Scanning type</t>
  </si>
  <si>
    <t>Passive</t>
  </si>
  <si>
    <t>Active</t>
  </si>
  <si>
    <t>Activity types for Peripheral</t>
  </si>
  <si>
    <t>Activity types for Central</t>
  </si>
  <si>
    <t>Scanning</t>
  </si>
  <si>
    <t>SimpleCentral, SDK 3.10</t>
  </si>
  <si>
    <t>Scanning Duration [ms]</t>
  </si>
  <si>
    <t>Receive (RX)</t>
  </si>
  <si>
    <t>Post-processing</t>
  </si>
  <si>
    <t>Average current draw during scanning:</t>
  </si>
  <si>
    <t>Total time of scanning event [us]</t>
  </si>
  <si>
    <t>Average Current draw during scanning event [uA]</t>
  </si>
  <si>
    <t>3V_Scanning</t>
  </si>
  <si>
    <t>Time  per scan request [us]</t>
  </si>
  <si>
    <t>Avg current during scan request [mA]</t>
  </si>
  <si>
    <t>Current during Receive [mA]</t>
  </si>
  <si>
    <t>Time for only RX [us]</t>
  </si>
  <si>
    <t>Scan request sent [#]</t>
  </si>
  <si>
    <t>Average current [mA]</t>
  </si>
  <si>
    <t>3p6V_Scanning</t>
  </si>
  <si>
    <t>1p8V_Scanning</t>
  </si>
  <si>
    <t xml:space="preserve">Preparation for Tx </t>
  </si>
  <si>
    <t>Connected as Central</t>
  </si>
  <si>
    <t>3V_ConnectedCentral</t>
  </si>
  <si>
    <t>3p6V_ConnectedCentral</t>
  </si>
  <si>
    <t>1p8V_ConnectedCentral</t>
  </si>
  <si>
    <t>Standby</t>
  </si>
  <si>
    <t>Bluetooth low energy Power Calculator</t>
  </si>
  <si>
    <t>Navigate between the panes</t>
  </si>
  <si>
    <t>You can navigate between the different panes using the navigator at the bottom of the page.</t>
  </si>
  <si>
    <t>The current sheet.</t>
  </si>
  <si>
    <t>Use the Power Calculator</t>
  </si>
  <si>
    <t>As a consequence, it is normal to observe some results up to 10% upwards or downwards those presented here.</t>
  </si>
  <si>
    <t>Modify the settings:</t>
  </si>
  <si>
    <t xml:space="preserve">       1- Modify the global settings. This will affect all the results of the sheet.</t>
  </si>
  <si>
    <t xml:space="preserve">       2- Modify the activities executed by the device using the drop down list. </t>
  </si>
  <si>
    <t xml:space="preserve">       3- Modify the duration of each activity.</t>
  </si>
  <si>
    <t xml:space="preserve">       6- Battery life executing the selected activities during the specified time </t>
  </si>
  <si>
    <t>Read the results:</t>
  </si>
  <si>
    <t xml:space="preserve">Welcome to the Bluetooth low energy (BLE) Power Calculator! </t>
  </si>
  <si>
    <t>This tool will help you to estimate the power consumption of your BLE application running on a CC2640 or a CC2642.</t>
  </si>
  <si>
    <t>Some side notes regarding the Power Calculator accuracy.</t>
  </si>
  <si>
    <t>Notes</t>
  </si>
  <si>
    <t>The sheet presenting power consumption when the device is set as Peripheral</t>
  </si>
  <si>
    <t>The sheet presenting power consumption when the device is set as Central</t>
  </si>
  <si>
    <t xml:space="preserve">       5- Power profile for one occurrence of the selected activity.</t>
  </si>
  <si>
    <t xml:space="preserve">       4- Current consumption / Battery life time when only considering the given activity.</t>
  </si>
  <si>
    <t>For longer connection intervals the number of recharge pulses will increase which increase the standby current (a few 100 nA).</t>
  </si>
  <si>
    <t>The current for an advertising event will have some variation. One reason is that the recharge pulse that is the first that happen in the event will vary in size.</t>
  </si>
  <si>
    <r>
      <t xml:space="preserve">The Power Calculator is made to </t>
    </r>
    <r>
      <rPr>
        <u/>
        <sz val="10"/>
        <rFont val="Arial"/>
        <family val="2"/>
      </rPr>
      <t>estimate</t>
    </r>
    <r>
      <rPr>
        <sz val="10"/>
        <rFont val="Arial"/>
        <family val="2"/>
      </rPr>
      <t xml:space="preserve"> the power calculation of your application. A lot of other factors linked to the environment can modify the power consumption.</t>
    </r>
  </si>
  <si>
    <t xml:space="preserve">The Txpower consumption has some variation between the 3 channels used. This is not taken into consideration in the calculation.  </t>
  </si>
  <si>
    <t>4.0.1</t>
  </si>
  <si>
    <t xml:space="preserve">A few guide lines to update the BT-POWER-CALC:
</t>
  </si>
  <si>
    <t xml:space="preserve">•  most of the pages are hidden, you will have to "Unhide" them (right click on the pages' names)
•  the page Input Arguments contains the arguments available for all the drop-down lists
•  the data displayed on the BLE - Central and BLE - Peripheral pages comes from the pages named 0v_None, 3V_xxxx, 1p8V_xxxx, 3p6V_xxxx. In   theory the name of the pages is quite explicit.
•  the page DataSourceSelection - Central selects the pages to be used by BLE - Central
•  the page DataSourceSelection - Periph selects the pages to be used by BLE - Peripheral 
•  the graphics displayed on the pages BLE - Central and BLE - Peripheral are not directly using the data on the page. Instead, the pages DataForDisplay - Central and DataForDisplay - Peripheral are used. Those pages are required in order to have cleaner figures.
 •  The pages DataForDisplay - Central and DataForDisplay - Peripheral take the data from the BLE - Central and BLE - Peripheral pages. The figures on the BLE - Central and BLE - Peripheral pages use the data in the pages DataForDisplay - Central and DataForDisplay - Peripheral.
</t>
  </si>
  <si>
    <t>To add an activity, you should do the following:</t>
  </si>
  <si>
    <r>
      <t xml:space="preserve">• Create a page (or probably three) named after the voltage and the activity (e.g. 3V_myNewActivity). I generally recommend to copy an existing page in order to reuse the same format. IMPORTANT: Your new activity has to be divided into 16 steps </t>
    </r>
    <r>
      <rPr>
        <u/>
        <sz val="10"/>
        <rFont val="Arial"/>
        <family val="2"/>
      </rPr>
      <t>maximum</t>
    </r>
    <r>
      <rPr>
        <sz val="10"/>
        <rFont val="Arial"/>
        <family val="2"/>
      </rPr>
      <t xml:space="preserve">. If you need more steps then more modifications will be required.
• Add the name of the new activity on the Input arguments page. Column B contains the activities for peripheral devices. Column I contains the arguments for Central.
• On the pages BLE - Central and BLE - Peripheral, for all the cells containing the name of the activity (those cells are blue): 
           o select the cell
           o go to Data &gt; Data Validation
           o a pop-up will appear and you will be able to select the Source of the data in the list.
           o complete this list in order to take into account the new activity name (you will have something like "='Input arguments'!$B$2:$B$10" for peripheral)
• Update the pages DataSourceSelection - Central and DataSourceSelection - Peripheral. Most of the time only one of the two has to be updated. 
           o Complete the table by referencing the name of the activity (use a reference to the Input arguments page) and the different pages containing the data.
           o Modify the formulas used to compute the case next to "Column for Activity 1", "Column for Activity 2" and "Column for Activity 3". You have to add one more "IF" statement in the formula in order to take into account the data you added to the table.
           o Verify by changing the activities selected on the pages BLE - Central and BLE - Peripheral if the data selected are correct. There are green cells on the pages DataSourceSelection - Central and DataSourceSelection - Peripheral. Those cells have to contain the right page in order to have the right data displayed.
• You're done! Hide all the pages you don't want to see and have fun with </t>
    </r>
    <r>
      <rPr>
        <u/>
        <sz val="10"/>
        <rFont val="Arial"/>
        <family val="2"/>
      </rPr>
      <t>your</t>
    </r>
    <r>
      <rPr>
        <sz val="10"/>
        <rFont val="Arial"/>
        <family val="2"/>
      </rPr>
      <t xml:space="preserve"> BT-POWER-CALC
</t>
    </r>
  </si>
  <si>
    <r>
      <t xml:space="preserve">Remarks regarding BT-POWER-CALC update:
</t>
    </r>
    <r>
      <rPr>
        <sz val="10"/>
        <rFont val="Arial"/>
        <family val="2"/>
      </rPr>
      <t xml:space="preserve">You are more than welcome to modify and update the power calculator. 
You can find an hiden page named "Guide lines to update" to help you. </t>
    </r>
  </si>
  <si>
    <t>W</t>
  </si>
  <si>
    <t>Idle Current [uA]=</t>
  </si>
  <si>
    <t>DC-DC converters low-load efficiency (Sleep)</t>
  </si>
  <si>
    <t>MAX32690 68P TQFN EV KIT (PCB-00224-A-0</t>
  </si>
  <si>
    <t>BLE_FreeRTOS Example, Analog devices MSDK</t>
  </si>
  <si>
    <t>Data for ME18</t>
  </si>
  <si>
    <t>Charge [nAh]</t>
  </si>
  <si>
    <t>MAX32690 Current [mA]</t>
  </si>
  <si>
    <t>MAX32690 Charge [nAh]</t>
  </si>
  <si>
    <t>Avg Interval [ms]=</t>
  </si>
  <si>
    <t>DC-DC converters efficiency (Supply -to-1.2V, -to-1.1V)</t>
  </si>
  <si>
    <t>MSDK : origin/main : commit 23dc3492</t>
  </si>
  <si>
    <t>* power measurement hooks added to the code</t>
  </si>
  <si>
    <t>LegacyAdvertisement</t>
  </si>
  <si>
    <t>ConnectedPeriph</t>
  </si>
  <si>
    <t>Non-zero supply</t>
  </si>
  <si>
    <t>BLELDO rail</t>
  </si>
  <si>
    <t xml:space="preserve"> tx power=</t>
  </si>
  <si>
    <t xml:space="preserve"> payload =</t>
  </si>
  <si>
    <t xml:space="preserve"> events=</t>
  </si>
  <si>
    <t xml:space="preserve"> idles =</t>
  </si>
  <si>
    <t xml:space="preserve"> t [s]</t>
  </si>
  <si>
    <t xml:space="preserve"> I [A]</t>
  </si>
  <si>
    <t xml:space="preserve"> V [V]</t>
  </si>
  <si>
    <t xml:space="preserve"> P [W]</t>
  </si>
  <si>
    <t xml:space="preserve"> sigma [s]</t>
  </si>
  <si>
    <t>wakeup</t>
  </si>
  <si>
    <t>radiop</t>
  </si>
  <si>
    <t>tx_one</t>
  </si>
  <si>
    <t>tx1_rx</t>
  </si>
  <si>
    <t>rx_one</t>
  </si>
  <si>
    <t>rx1_tx</t>
  </si>
  <si>
    <t>tx_two</t>
  </si>
  <si>
    <t>tx2_rx</t>
  </si>
  <si>
    <t>rx_two</t>
  </si>
  <si>
    <t>rx2_tx</t>
  </si>
  <si>
    <t>tx_thr</t>
  </si>
  <si>
    <t>tx3_rx</t>
  </si>
  <si>
    <t>rx_thr</t>
  </si>
  <si>
    <t>postpr</t>
  </si>
  <si>
    <t>idle</t>
  </si>
  <si>
    <t>VCOREN rail</t>
  </si>
  <si>
    <t>* Includes random 0-10ms delay</t>
  </si>
  <si>
    <t>Adveretising Output Power [dBm]</t>
  </si>
  <si>
    <t>Connection Output Power [dBm]</t>
  </si>
  <si>
    <t>t [s]</t>
  </si>
  <si>
    <t>Efficiency =</t>
  </si>
  <si>
    <t>Volt =</t>
  </si>
  <si>
    <t>TX power =</t>
  </si>
  <si>
    <t>TX payload =</t>
  </si>
  <si>
    <t>TX time offset=</t>
  </si>
  <si>
    <t>Idle efficiency =</t>
  </si>
  <si>
    <t>Parameters from main page:</t>
  </si>
  <si>
    <t>Data from raw measurements</t>
  </si>
  <si>
    <t>Average Time and Combined Power per TX_power</t>
  </si>
  <si>
    <t xml:space="preserve"> W</t>
  </si>
  <si>
    <t xml:space="preserve"> TX Time vs TX payload</t>
  </si>
  <si>
    <t xml:space="preserve"> TX payload</t>
  </si>
  <si>
    <t xml:space="preserve"> TX time [s]</t>
  </si>
  <si>
    <t xml:space="preserve"> T[us] = A + B * Payload[byte]</t>
  </si>
  <si>
    <t xml:space="preserve"> A =</t>
  </si>
  <si>
    <t xml:space="preserve"> usec</t>
  </si>
  <si>
    <t xml:space="preserve"> B =</t>
  </si>
  <si>
    <t xml:space="preserve"> usec/byte</t>
  </si>
  <si>
    <t>TX time slope =</t>
  </si>
  <si>
    <t>Board</t>
  </si>
  <si>
    <t>Chip package</t>
  </si>
  <si>
    <t>TX power</t>
  </si>
  <si>
    <t>EvKit (#224)</t>
  </si>
  <si>
    <t>Test (#247)</t>
  </si>
  <si>
    <t>TQFN</t>
  </si>
  <si>
    <t>WLP</t>
  </si>
  <si>
    <t>Chip version</t>
  </si>
  <si>
    <t>TX time offset [us] =</t>
  </si>
  <si>
    <t>TX time slope [us/byte] =</t>
  </si>
  <si>
    <t>Chip =</t>
  </si>
  <si>
    <t>Raw measurement tab =</t>
  </si>
  <si>
    <t xml:space="preserve">Chip = </t>
  </si>
  <si>
    <t>legadv_evk_data</t>
  </si>
  <si>
    <t>connec_evk_data</t>
  </si>
  <si>
    <t>legadv_wlp_data</t>
  </si>
  <si>
    <t>connec_wlp_data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</si>
</sst>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409]d\-mmm\-yy;@"/>
  </numFmts>
  <fonts count="3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2"/>
      <name val="Arial"/>
      <family val="2"/>
    </font>
    <font>
      <sz val="10"/>
      <name val="Calibri"/>
      <family val="2"/>
    </font>
    <font>
      <sz val="10"/>
      <color theme="0"/>
      <name val="Arial"/>
      <family val="2"/>
    </font>
    <font>
      <b/>
      <sz val="12"/>
      <color theme="0"/>
      <name val="Arial"/>
      <family val="2"/>
    </font>
    <font>
      <sz val="10"/>
      <color theme="0" tint="-0.499984740745262"/>
      <name val="Arial"/>
      <family val="2"/>
    </font>
    <font>
      <sz val="10"/>
      <color theme="1" tint="0.499984740745262"/>
      <name val="Arial"/>
      <family val="2"/>
    </font>
    <font>
      <b/>
      <sz val="10"/>
      <color rgb="FFFF0000"/>
      <name val="Arial"/>
      <family val="2"/>
    </font>
    <font>
      <sz val="10"/>
      <color rgb="FFFF0000"/>
      <name val="Arial"/>
      <family val="2"/>
    </font>
    <font>
      <sz val="10"/>
      <color theme="1"/>
      <name val="Arial"/>
      <family val="2"/>
    </font>
    <font>
      <u/>
      <sz val="10"/>
      <name val="Arial"/>
      <family val="2"/>
    </font>
    <font>
      <sz val="11"/>
      <color rgb="FF006100"/>
      <name val="Calibri"/>
      <family val="2"/>
      <scheme val="minor"/>
    </font>
    <font>
      <i/>
      <sz val="11"/>
      <color rgb="FF7F7F7F"/>
      <name val="Calibri"/>
      <family val="2"/>
      <scheme val="minor"/>
    </font>
    <font>
      <b/>
      <sz val="11"/>
      <color theme="1"/>
      <name val="Arial"/>
      <family val="2"/>
    </font>
    <font>
      <sz val="9"/>
      <name val="Arial"/>
      <family val="2"/>
    </font>
    <font>
      <sz val="8"/>
      <name val="Arial"/>
      <family val="2"/>
    </font>
    <font>
      <i/>
      <sz val="10"/>
      <name val="Arial"/>
      <family val="2"/>
    </font>
    <font>
      <b/>
      <sz val="10"/>
      <color theme="1"/>
      <name val="Arial"/>
      <family val="2"/>
    </font>
    <font>
      <b/>
      <sz val="11"/>
      <name val="Arial"/>
      <family val="2"/>
    </font>
    <font>
      <sz val="12"/>
      <name val="Arial"/>
      <family val="2"/>
    </font>
  </fonts>
  <fills count="1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tint="-0.499984740745262"/>
        <bgColor indexed="64"/>
      </patternFill>
    </fill>
    <fill>
      <patternFill patternType="solid">
        <fgColor theme="8" tint="-0.499984740745262"/>
        <bgColor indexed="64"/>
      </patternFill>
    </fill>
    <fill>
      <patternFill patternType="solid">
        <fgColor theme="0" tint="-4.9989318521683403E-2"/>
        <bgColor indexed="64"/>
      </patternFill>
    </fill>
    <fill>
      <patternFill patternType="solid">
        <fgColor theme="8" tint="0.59999389629810485"/>
        <bgColor indexed="65"/>
      </patternFill>
    </fill>
    <fill>
      <patternFill patternType="solid">
        <fgColor rgb="FFC6EFCE"/>
      </patternFill>
    </fill>
  </fills>
  <borders count="1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5">
    <xf numFmtId="0" fontId="0" fillId="0" borderId="0"/>
    <xf numFmtId="0" fontId="15" fillId="13" borderId="0" applyNumberFormat="0" applyBorder="0" applyAlignment="0" applyProtection="0"/>
    <xf numFmtId="0" fontId="15" fillId="0" borderId="0"/>
    <xf numFmtId="0" fontId="14" fillId="0" borderId="0"/>
    <xf numFmtId="0" fontId="28" fillId="14" borderId="0" applyNumberFormat="0" applyBorder="0" applyAlignment="0" applyProtection="0"/>
    <xf numFmtId="0" fontId="29" fillId="0" borderId="0" applyNumberFormat="0" applyFill="0" applyBorder="0" applyAlignment="0" applyProtection="0"/>
    <xf numFmtId="0" fontId="12" fillId="0" borderId="0"/>
    <xf numFmtId="9" fontId="12" fillId="0" borderId="0" applyFont="0" applyFill="0" applyBorder="0" applyAlignment="0" applyProtection="0"/>
    <xf numFmtId="0" fontId="11" fillId="0" borderId="0"/>
    <xf numFmtId="0" fontId="10" fillId="0" borderId="0"/>
    <xf numFmtId="9" fontId="10" fillId="0" borderId="0" applyFont="0" applyFill="0" applyBorder="0" applyAlignment="0" applyProtection="0"/>
    <xf numFmtId="0" fontId="7" fillId="13" borderId="0" applyNumberFormat="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6" fillId="0" borderId="0"/>
    <xf numFmtId="0" fontId="5" fillId="0" borderId="0"/>
    <xf numFmtId="0" fontId="4" fillId="0" borderId="0"/>
    <xf numFmtId="0" fontId="3" fillId="0" borderId="0"/>
    <xf numFmtId="0" fontId="2" fillId="0" borderId="0"/>
    <xf numFmtId="0" fontId="1" fillId="0" borderId="0"/>
  </cellStyleXfs>
  <cellXfs count="214">
    <xf numFmtId="0" fontId="0" fillId="0" borderId="0" xfId="0"/>
    <xf numFmtId="0" fontId="17" fillId="0" borderId="0" xfId="0" applyFont="1"/>
    <xf numFmtId="0" fontId="0" fillId="0" borderId="6" xfId="0" applyBorder="1"/>
    <xf numFmtId="0" fontId="0" fillId="0" borderId="0" xfId="0" applyAlignment="1">
      <alignment wrapText="1"/>
    </xf>
    <xf numFmtId="0" fontId="0" fillId="0" borderId="9" xfId="0" applyBorder="1" applyAlignment="1">
      <alignment horizontal="center"/>
    </xf>
    <xf numFmtId="0" fontId="0" fillId="0" borderId="0" xfId="0" applyAlignment="1">
      <alignment horizontal="center"/>
    </xf>
    <xf numFmtId="0" fontId="0" fillId="0" borderId="9" xfId="0" applyBorder="1"/>
    <xf numFmtId="0" fontId="0" fillId="0" borderId="7" xfId="0" applyBorder="1"/>
    <xf numFmtId="0" fontId="0" fillId="0" borderId="2" xfId="0" applyBorder="1"/>
    <xf numFmtId="0" fontId="0" fillId="0" borderId="4" xfId="0" applyBorder="1"/>
    <xf numFmtId="0" fontId="0" fillId="0" borderId="3" xfId="0" applyBorder="1"/>
    <xf numFmtId="0" fontId="16" fillId="0" borderId="0" xfId="0" applyFont="1" applyAlignment="1">
      <alignment wrapText="1"/>
    </xf>
    <xf numFmtId="0" fontId="17" fillId="0" borderId="0" xfId="0" applyFont="1" applyAlignment="1">
      <alignment wrapText="1"/>
    </xf>
    <xf numFmtId="0" fontId="17" fillId="0" borderId="11" xfId="0" applyFont="1" applyBorder="1"/>
    <xf numFmtId="0" fontId="17" fillId="0" borderId="11" xfId="0" applyFont="1" applyBorder="1" applyAlignment="1">
      <alignment wrapText="1"/>
    </xf>
    <xf numFmtId="0" fontId="17" fillId="0" borderId="12" xfId="0" applyFont="1" applyBorder="1" applyAlignment="1">
      <alignment wrapText="1"/>
    </xf>
    <xf numFmtId="0" fontId="16" fillId="0" borderId="11" xfId="0" applyFont="1" applyBorder="1" applyAlignment="1">
      <alignment wrapText="1"/>
    </xf>
    <xf numFmtId="49" fontId="17" fillId="0" borderId="11" xfId="0" applyNumberFormat="1" applyFont="1" applyBorder="1" applyAlignment="1">
      <alignment horizontal="left" vertical="center" wrapText="1"/>
    </xf>
    <xf numFmtId="0" fontId="18" fillId="0" borderId="0" xfId="0" applyFont="1" applyAlignment="1">
      <alignment vertical="center"/>
    </xf>
    <xf numFmtId="0" fontId="0" fillId="0" borderId="1" xfId="0" applyBorder="1" applyAlignment="1">
      <alignment wrapText="1"/>
    </xf>
    <xf numFmtId="0" fontId="17" fillId="2" borderId="0" xfId="0" applyFont="1" applyFill="1" applyAlignment="1">
      <alignment wrapText="1"/>
    </xf>
    <xf numFmtId="0" fontId="0" fillId="0" borderId="8" xfId="0" applyBorder="1"/>
    <xf numFmtId="0" fontId="0" fillId="0" borderId="1" xfId="0" applyBorder="1"/>
    <xf numFmtId="0" fontId="17" fillId="0" borderId="2" xfId="0" applyFont="1" applyBorder="1" applyAlignment="1">
      <alignment wrapText="1"/>
    </xf>
    <xf numFmtId="0" fontId="0" fillId="0" borderId="7" xfId="0" applyBorder="1" applyAlignment="1">
      <alignment wrapText="1"/>
    </xf>
    <xf numFmtId="0" fontId="0" fillId="0" borderId="10" xfId="0" applyBorder="1"/>
    <xf numFmtId="0" fontId="16" fillId="3" borderId="11" xfId="0" applyFont="1" applyFill="1" applyBorder="1" applyAlignment="1">
      <alignment wrapText="1"/>
    </xf>
    <xf numFmtId="0" fontId="16" fillId="3" borderId="11" xfId="0" applyFont="1" applyFill="1" applyBorder="1"/>
    <xf numFmtId="0" fontId="17" fillId="0" borderId="13" xfId="0" applyFont="1" applyBorder="1" applyAlignment="1">
      <alignment wrapText="1"/>
    </xf>
    <xf numFmtId="0" fontId="17" fillId="3" borderId="0" xfId="0" applyFont="1" applyFill="1"/>
    <xf numFmtId="0" fontId="0" fillId="3" borderId="0" xfId="0" applyFill="1"/>
    <xf numFmtId="0" fontId="16" fillId="0" borderId="11" xfId="0" applyFont="1" applyBorder="1" applyAlignment="1">
      <alignment vertical="center" wrapText="1"/>
    </xf>
    <xf numFmtId="0" fontId="17" fillId="0" borderId="5" xfId="0" applyFont="1" applyBorder="1" applyAlignment="1">
      <alignment horizontal="center" vertical="center" wrapText="1"/>
    </xf>
    <xf numFmtId="0" fontId="17" fillId="0" borderId="14" xfId="0" applyFont="1" applyBorder="1" applyAlignment="1">
      <alignment horizontal="center" vertical="center" wrapText="1"/>
    </xf>
    <xf numFmtId="0" fontId="0" fillId="4" borderId="0" xfId="0" applyFill="1"/>
    <xf numFmtId="0" fontId="20" fillId="9" borderId="0" xfId="0" applyFont="1" applyFill="1"/>
    <xf numFmtId="0" fontId="17" fillId="8" borderId="1" xfId="0" applyFont="1" applyFill="1" applyBorder="1"/>
    <xf numFmtId="0" fontId="20" fillId="9" borderId="1" xfId="0" applyFont="1" applyFill="1" applyBorder="1"/>
    <xf numFmtId="0" fontId="16" fillId="5" borderId="1" xfId="0" applyFont="1" applyFill="1" applyBorder="1"/>
    <xf numFmtId="0" fontId="0" fillId="5" borderId="1" xfId="0" applyFill="1" applyBorder="1"/>
    <xf numFmtId="0" fontId="0" fillId="4" borderId="2" xfId="0" applyFill="1" applyBorder="1"/>
    <xf numFmtId="0" fontId="22" fillId="6" borderId="1" xfId="0" applyFont="1" applyFill="1" applyBorder="1" applyAlignment="1">
      <alignment horizontal="left" vertical="center"/>
    </xf>
    <xf numFmtId="0" fontId="20" fillId="10" borderId="0" xfId="0" applyFont="1" applyFill="1" applyAlignment="1">
      <alignment horizontal="right"/>
    </xf>
    <xf numFmtId="164" fontId="22" fillId="7" borderId="0" xfId="0" applyNumberFormat="1" applyFont="1" applyFill="1" applyAlignment="1">
      <alignment horizontal="right"/>
    </xf>
    <xf numFmtId="0" fontId="23" fillId="7" borderId="0" xfId="0" applyFont="1" applyFill="1"/>
    <xf numFmtId="0" fontId="23" fillId="7" borderId="2" xfId="0" applyFont="1" applyFill="1" applyBorder="1"/>
    <xf numFmtId="0" fontId="23" fillId="7" borderId="4" xfId="0" applyFont="1" applyFill="1" applyBorder="1"/>
    <xf numFmtId="3" fontId="16" fillId="4" borderId="0" xfId="0" applyNumberFormat="1" applyFont="1" applyFill="1"/>
    <xf numFmtId="0" fontId="0" fillId="12" borderId="13" xfId="0" applyFill="1" applyBorder="1"/>
    <xf numFmtId="0" fontId="23" fillId="7" borderId="12" xfId="0" applyFont="1" applyFill="1" applyBorder="1"/>
    <xf numFmtId="0" fontId="23" fillId="7" borderId="13" xfId="0" applyFont="1" applyFill="1" applyBorder="1"/>
    <xf numFmtId="0" fontId="17" fillId="12" borderId="12" xfId="0" applyFont="1" applyFill="1" applyBorder="1" applyAlignment="1">
      <alignment wrapText="1"/>
    </xf>
    <xf numFmtId="0" fontId="22" fillId="4" borderId="0" xfId="0" applyFont="1" applyFill="1"/>
    <xf numFmtId="166" fontId="22" fillId="4" borderId="0" xfId="0" applyNumberFormat="1" applyFont="1" applyFill="1"/>
    <xf numFmtId="0" fontId="0" fillId="0" borderId="12" xfId="0" applyBorder="1"/>
    <xf numFmtId="0" fontId="0" fillId="12" borderId="1" xfId="0" applyFill="1" applyBorder="1"/>
    <xf numFmtId="0" fontId="20" fillId="10" borderId="0" xfId="0" applyFont="1" applyFill="1" applyAlignment="1">
      <alignment horizontal="left"/>
    </xf>
    <xf numFmtId="0" fontId="22" fillId="7" borderId="0" xfId="0" applyFont="1" applyFill="1" applyAlignment="1">
      <alignment horizontal="left"/>
    </xf>
    <xf numFmtId="167" fontId="23" fillId="7" borderId="12" xfId="0" applyNumberFormat="1" applyFont="1" applyFill="1" applyBorder="1"/>
    <xf numFmtId="167" fontId="0" fillId="0" borderId="4" xfId="0" applyNumberFormat="1" applyBorder="1" applyAlignment="1">
      <alignment horizontal="right"/>
    </xf>
    <xf numFmtId="0" fontId="0" fillId="0" borderId="1" xfId="0" applyBorder="1" applyAlignment="1">
      <alignment horizontal="right"/>
    </xf>
    <xf numFmtId="0" fontId="0" fillId="0" borderId="8" xfId="0" applyBorder="1" applyAlignment="1">
      <alignment horizontal="right"/>
    </xf>
    <xf numFmtId="167" fontId="0" fillId="0" borderId="2" xfId="0" applyNumberFormat="1" applyBorder="1"/>
    <xf numFmtId="0" fontId="16" fillId="3" borderId="11" xfId="0" applyFont="1" applyFill="1" applyBorder="1" applyAlignment="1">
      <alignment horizontal="right"/>
    </xf>
    <xf numFmtId="0" fontId="16" fillId="0" borderId="0" xfId="0" applyFont="1" applyAlignment="1">
      <alignment horizontal="left" vertical="center"/>
    </xf>
    <xf numFmtId="0" fontId="16" fillId="0" borderId="0" xfId="0" applyFont="1"/>
    <xf numFmtId="0" fontId="20" fillId="10" borderId="2" xfId="0" applyFont="1" applyFill="1" applyBorder="1" applyAlignment="1">
      <alignment horizontal="right"/>
    </xf>
    <xf numFmtId="9" fontId="22" fillId="7" borderId="2" xfId="0" applyNumberFormat="1" applyFont="1" applyFill="1" applyBorder="1" applyAlignment="1">
      <alignment horizontal="right"/>
    </xf>
    <xf numFmtId="9" fontId="22" fillId="7" borderId="2" xfId="0" applyNumberFormat="1" applyFont="1" applyFill="1" applyBorder="1"/>
    <xf numFmtId="0" fontId="22" fillId="5" borderId="1" xfId="0" applyFont="1" applyFill="1" applyBorder="1"/>
    <xf numFmtId="0" fontId="22" fillId="4" borderId="2" xfId="0" applyFont="1" applyFill="1" applyBorder="1"/>
    <xf numFmtId="0" fontId="0" fillId="5" borderId="3" xfId="0" applyFill="1" applyBorder="1"/>
    <xf numFmtId="0" fontId="0" fillId="4" borderId="7" xfId="0" applyFill="1" applyBorder="1"/>
    <xf numFmtId="4" fontId="16" fillId="4" borderId="7" xfId="0" applyNumberFormat="1" applyFont="1" applyFill="1" applyBorder="1"/>
    <xf numFmtId="0" fontId="0" fillId="4" borderId="4" xfId="0" applyFill="1" applyBorder="1"/>
    <xf numFmtId="0" fontId="24" fillId="0" borderId="0" xfId="0" applyFont="1"/>
    <xf numFmtId="0" fontId="24" fillId="0" borderId="0" xfId="0" applyFont="1" applyAlignment="1">
      <alignment horizontal="left" vertical="center"/>
    </xf>
    <xf numFmtId="0" fontId="25" fillId="12" borderId="5" xfId="0" applyFont="1" applyFill="1" applyBorder="1" applyAlignment="1">
      <alignment wrapText="1"/>
    </xf>
    <xf numFmtId="0" fontId="25" fillId="12" borderId="14" xfId="0" applyFont="1" applyFill="1" applyBorder="1" applyAlignment="1">
      <alignment wrapText="1"/>
    </xf>
    <xf numFmtId="0" fontId="0" fillId="0" borderId="3" xfId="0" applyBorder="1" applyAlignment="1">
      <alignment horizontal="center"/>
    </xf>
    <xf numFmtId="0" fontId="17" fillId="0" borderId="14" xfId="0" applyFont="1" applyBorder="1" applyAlignment="1">
      <alignment wrapText="1"/>
    </xf>
    <xf numFmtId="167" fontId="18" fillId="7" borderId="5" xfId="0" applyNumberFormat="1" applyFont="1" applyFill="1" applyBorder="1" applyAlignment="1">
      <alignment horizontal="right" vertical="center"/>
    </xf>
    <xf numFmtId="0" fontId="26" fillId="0" borderId="15" xfId="0" applyFont="1" applyBorder="1" applyAlignment="1">
      <alignment wrapText="1"/>
    </xf>
    <xf numFmtId="0" fontId="0" fillId="12" borderId="1" xfId="0" applyFill="1" applyBorder="1" applyAlignment="1">
      <alignment wrapText="1"/>
    </xf>
    <xf numFmtId="0" fontId="0" fillId="12" borderId="3" xfId="0" applyFill="1" applyBorder="1" applyAlignment="1">
      <alignment wrapText="1"/>
    </xf>
    <xf numFmtId="0" fontId="0" fillId="7" borderId="12" xfId="0" applyFill="1" applyBorder="1"/>
    <xf numFmtId="0" fontId="0" fillId="7" borderId="13" xfId="0" applyFill="1" applyBorder="1"/>
    <xf numFmtId="0" fontId="16" fillId="4" borderId="11" xfId="0" applyFont="1" applyFill="1" applyBorder="1" applyAlignment="1">
      <alignment horizontal="right"/>
    </xf>
    <xf numFmtId="1" fontId="18" fillId="4" borderId="5" xfId="0" applyNumberFormat="1" applyFont="1" applyFill="1" applyBorder="1" applyAlignment="1">
      <alignment horizontal="right" vertical="center"/>
    </xf>
    <xf numFmtId="0" fontId="0" fillId="5" borderId="0" xfId="0" applyFill="1"/>
    <xf numFmtId="0" fontId="0" fillId="5" borderId="2" xfId="0" applyFill="1" applyBorder="1"/>
    <xf numFmtId="0" fontId="0" fillId="3" borderId="1" xfId="0" applyFill="1" applyBorder="1"/>
    <xf numFmtId="0" fontId="17" fillId="3" borderId="2" xfId="0" applyFont="1" applyFill="1" applyBorder="1"/>
    <xf numFmtId="0" fontId="16" fillId="0" borderId="5" xfId="0" applyFont="1" applyBorder="1" applyAlignment="1">
      <alignment wrapText="1"/>
    </xf>
    <xf numFmtId="1" fontId="18" fillId="4" borderId="3" xfId="0" applyNumberFormat="1" applyFont="1" applyFill="1" applyBorder="1" applyAlignment="1">
      <alignment horizontal="right" vertical="center"/>
    </xf>
    <xf numFmtId="1" fontId="18" fillId="4" borderId="8" xfId="0" applyNumberFormat="1" applyFont="1" applyFill="1" applyBorder="1" applyAlignment="1">
      <alignment horizontal="right" vertical="center"/>
    </xf>
    <xf numFmtId="0" fontId="17" fillId="0" borderId="1" xfId="0" applyFont="1" applyBorder="1"/>
    <xf numFmtId="165" fontId="17" fillId="0" borderId="1" xfId="0" applyNumberFormat="1" applyFont="1" applyBorder="1"/>
    <xf numFmtId="164" fontId="23" fillId="7" borderId="12" xfId="0" applyNumberFormat="1" applyFont="1" applyFill="1" applyBorder="1"/>
    <xf numFmtId="164" fontId="23" fillId="7" borderId="2" xfId="0" applyNumberFormat="1" applyFont="1" applyFill="1" applyBorder="1" applyAlignment="1">
      <alignment horizontal="right"/>
    </xf>
    <xf numFmtId="167" fontId="23" fillId="7" borderId="1" xfId="0" applyNumberFormat="1" applyFont="1" applyFill="1" applyBorder="1" applyAlignment="1">
      <alignment horizontal="right"/>
    </xf>
    <xf numFmtId="0" fontId="15" fillId="0" borderId="0" xfId="2"/>
    <xf numFmtId="167" fontId="0" fillId="0" borderId="0" xfId="0" applyNumberFormat="1"/>
    <xf numFmtId="0" fontId="13" fillId="0" borderId="0" xfId="2" applyFont="1"/>
    <xf numFmtId="0" fontId="17" fillId="12" borderId="11" xfId="0" applyFont="1" applyFill="1" applyBorder="1" applyAlignment="1">
      <alignment wrapText="1"/>
    </xf>
    <xf numFmtId="168" fontId="17" fillId="12" borderId="11" xfId="0" applyNumberFormat="1" applyFont="1" applyFill="1" applyBorder="1" applyAlignment="1">
      <alignment horizontal="left" wrapText="1"/>
    </xf>
    <xf numFmtId="0" fontId="18" fillId="0" borderId="7" xfId="0" applyFont="1" applyBorder="1" applyAlignment="1">
      <alignment wrapText="1"/>
    </xf>
    <xf numFmtId="164" fontId="0" fillId="0" borderId="8" xfId="0" applyNumberFormat="1" applyBorder="1" applyAlignment="1">
      <alignment horizontal="center"/>
    </xf>
    <xf numFmtId="0" fontId="28" fillId="14" borderId="0" xfId="4"/>
    <xf numFmtId="0" fontId="29" fillId="0" borderId="0" xfId="5"/>
    <xf numFmtId="0" fontId="17" fillId="12" borderId="12" xfId="0" quotePrefix="1" applyFont="1" applyFill="1" applyBorder="1" applyAlignment="1">
      <alignment wrapText="1"/>
    </xf>
    <xf numFmtId="2" fontId="23" fillId="7" borderId="1" xfId="0" applyNumberFormat="1" applyFont="1" applyFill="1" applyBorder="1" applyAlignment="1">
      <alignment horizontal="right"/>
    </xf>
    <xf numFmtId="2" fontId="23" fillId="7" borderId="15" xfId="0" applyNumberFormat="1" applyFont="1" applyFill="1" applyBorder="1" applyAlignment="1">
      <alignment horizontal="right"/>
    </xf>
    <xf numFmtId="2" fontId="23" fillId="7" borderId="12" xfId="0" applyNumberFormat="1" applyFont="1" applyFill="1" applyBorder="1" applyAlignment="1">
      <alignment horizontal="right"/>
    </xf>
    <xf numFmtId="0" fontId="26" fillId="0" borderId="12" xfId="0" applyFont="1" applyBorder="1" applyAlignment="1">
      <alignment wrapText="1"/>
    </xf>
    <xf numFmtId="0" fontId="26" fillId="0" borderId="13" xfId="0" applyFont="1" applyBorder="1" applyAlignment="1">
      <alignment wrapText="1"/>
    </xf>
    <xf numFmtId="0" fontId="30" fillId="13" borderId="11" xfId="1" applyFont="1" applyBorder="1" applyAlignment="1">
      <alignment wrapText="1"/>
    </xf>
    <xf numFmtId="0" fontId="17" fillId="0" borderId="0" xfId="0" applyFont="1" applyAlignment="1">
      <alignment vertical="center" wrapText="1"/>
    </xf>
    <xf numFmtId="0" fontId="17" fillId="12" borderId="1" xfId="0" applyFont="1" applyFill="1" applyBorder="1" applyAlignment="1">
      <alignment wrapText="1"/>
    </xf>
    <xf numFmtId="2" fontId="23" fillId="7" borderId="0" xfId="0" applyNumberFormat="1" applyFont="1" applyFill="1" applyAlignment="1">
      <alignment horizontal="right"/>
    </xf>
    <xf numFmtId="0" fontId="30" fillId="13" borderId="11" xfId="1" applyFont="1" applyBorder="1" applyAlignment="1">
      <alignment horizontal="right"/>
    </xf>
    <xf numFmtId="0" fontId="17" fillId="12" borderId="11" xfId="0" quotePrefix="1" applyFont="1" applyFill="1" applyBorder="1" applyAlignment="1">
      <alignment wrapText="1"/>
    </xf>
    <xf numFmtId="0" fontId="18" fillId="3" borderId="9" xfId="0" applyFont="1" applyFill="1" applyBorder="1" applyAlignment="1">
      <alignment wrapText="1"/>
    </xf>
    <xf numFmtId="0" fontId="9" fillId="0" borderId="0" xfId="2" applyFont="1"/>
    <xf numFmtId="2" fontId="0" fillId="0" borderId="0" xfId="0" applyNumberFormat="1"/>
    <xf numFmtId="0" fontId="33" fillId="0" borderId="0" xfId="0" applyFont="1"/>
    <xf numFmtId="0" fontId="32" fillId="0" borderId="9" xfId="0" applyFont="1" applyBorder="1"/>
    <xf numFmtId="0" fontId="17" fillId="2" borderId="0" xfId="0" applyFont="1" applyFill="1"/>
    <xf numFmtId="0" fontId="34" fillId="13" borderId="11" xfId="1" applyFont="1" applyBorder="1" applyAlignment="1">
      <alignment wrapText="1"/>
    </xf>
    <xf numFmtId="0" fontId="34" fillId="13" borderId="11" xfId="1" applyFont="1" applyBorder="1" applyAlignment="1">
      <alignment horizontal="right"/>
    </xf>
    <xf numFmtId="0" fontId="8" fillId="0" borderId="0" xfId="2" applyFont="1"/>
    <xf numFmtId="0" fontId="17" fillId="0" borderId="0" xfId="0" applyFont="1" applyAlignment="1">
      <alignment horizontal="center" vertical="center" wrapText="1"/>
    </xf>
    <xf numFmtId="0" fontId="22" fillId="7" borderId="0" xfId="0" applyFont="1" applyFill="1"/>
    <xf numFmtId="2" fontId="26" fillId="0" borderId="8" xfId="0" applyNumberFormat="1" applyFont="1" applyBorder="1" applyAlignment="1">
      <alignment wrapText="1"/>
    </xf>
    <xf numFmtId="0" fontId="35" fillId="0" borderId="0" xfId="0" applyFont="1" applyAlignment="1">
      <alignment vertical="center"/>
    </xf>
    <xf numFmtId="0" fontId="33" fillId="0" borderId="0" xfId="0" applyFont="1" applyAlignment="1">
      <alignment horizontal="center" wrapText="1"/>
    </xf>
    <xf numFmtId="0" fontId="33" fillId="0" borderId="0" xfId="0" applyFont="1" applyAlignment="1">
      <alignment horizontal="center"/>
    </xf>
    <xf numFmtId="0" fontId="27" fillId="0" borderId="0" xfId="0" applyFont="1"/>
    <xf numFmtId="0" fontId="0" fillId="0" borderId="0" xfId="0" applyAlignment="1">
      <alignment horizontal="center" wrapText="1"/>
    </xf>
    <xf numFmtId="0" fontId="15" fillId="0" borderId="0" xfId="2" applyAlignment="1">
      <alignment horizontal="center"/>
    </xf>
    <xf numFmtId="164" fontId="0" fillId="0" borderId="0" xfId="0" applyNumberFormat="1" applyAlignment="1">
      <alignment horizontal="center"/>
    </xf>
    <xf numFmtId="167" fontId="18" fillId="4" borderId="5" xfId="0" applyNumberFormat="1" applyFont="1" applyFill="1" applyBorder="1" applyAlignment="1">
      <alignment horizontal="right" vertical="center"/>
    </xf>
    <xf numFmtId="0" fontId="17" fillId="0" borderId="0" xfId="0" applyFont="1" applyAlignment="1">
      <alignment horizontal="center"/>
    </xf>
    <xf numFmtId="167" fontId="0" fillId="0" borderId="0" xfId="0" applyNumberFormat="1" applyAlignment="1">
      <alignment horizontal="center"/>
    </xf>
    <xf numFmtId="0" fontId="17" fillId="0" borderId="14" xfId="0" applyFont="1" applyBorder="1" applyAlignment="1">
      <alignment horizontal="center" wrapText="1"/>
    </xf>
    <xf numFmtId="167" fontId="23" fillId="7" borderId="12" xfId="0" applyNumberFormat="1" applyFont="1" applyFill="1" applyBorder="1" applyAlignment="1">
      <alignment horizontal="center"/>
    </xf>
    <xf numFmtId="164" fontId="23" fillId="7" borderId="12" xfId="0" applyNumberFormat="1" applyFont="1" applyFill="1" applyBorder="1" applyAlignment="1">
      <alignment horizontal="center"/>
    </xf>
    <xf numFmtId="167" fontId="23" fillId="7" borderId="13" xfId="0" applyNumberFormat="1" applyFont="1" applyFill="1" applyBorder="1" applyAlignment="1">
      <alignment horizontal="center"/>
    </xf>
    <xf numFmtId="164" fontId="23" fillId="7" borderId="4" xfId="0" applyNumberFormat="1" applyFont="1" applyFill="1" applyBorder="1" applyAlignment="1">
      <alignment horizontal="center"/>
    </xf>
    <xf numFmtId="167" fontId="23" fillId="7" borderId="2" xfId="0" applyNumberFormat="1" applyFont="1" applyFill="1" applyBorder="1" applyAlignment="1">
      <alignment horizontal="center"/>
    </xf>
    <xf numFmtId="167" fontId="0" fillId="0" borderId="8" xfId="0" applyNumberForma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167" fontId="0" fillId="0" borderId="2" xfId="0" applyNumberFormat="1" applyBorder="1" applyAlignment="1">
      <alignment horizontal="center"/>
    </xf>
    <xf numFmtId="0" fontId="0" fillId="0" borderId="7" xfId="0" applyBorder="1" applyAlignment="1">
      <alignment horizontal="center"/>
    </xf>
    <xf numFmtId="167" fontId="0" fillId="0" borderId="4" xfId="0" applyNumberFormat="1" applyBorder="1" applyAlignment="1">
      <alignment horizontal="center"/>
    </xf>
    <xf numFmtId="167" fontId="18" fillId="7" borderId="5" xfId="0" applyNumberFormat="1" applyFont="1" applyFill="1" applyBorder="1" applyAlignment="1">
      <alignment horizontal="center" vertical="center"/>
    </xf>
    <xf numFmtId="0" fontId="17" fillId="0" borderId="1" xfId="0" applyFont="1" applyBorder="1" applyAlignment="1">
      <alignment horizontal="center"/>
    </xf>
    <xf numFmtId="1" fontId="18" fillId="4" borderId="8" xfId="0" applyNumberFormat="1" applyFont="1" applyFill="1" applyBorder="1" applyAlignment="1">
      <alignment horizontal="center" vertical="center"/>
    </xf>
    <xf numFmtId="165" fontId="17" fillId="0" borderId="1" xfId="0" applyNumberFormat="1" applyFont="1" applyBorder="1" applyAlignment="1">
      <alignment horizontal="center"/>
    </xf>
    <xf numFmtId="167" fontId="18" fillId="4" borderId="5" xfId="0" applyNumberFormat="1" applyFont="1" applyFill="1" applyBorder="1" applyAlignment="1">
      <alignment horizontal="center" vertical="center"/>
    </xf>
    <xf numFmtId="0" fontId="6" fillId="0" borderId="0" xfId="2" applyFont="1" applyAlignment="1">
      <alignment horizontal="center"/>
    </xf>
    <xf numFmtId="0" fontId="6" fillId="0" borderId="0" xfId="2" applyFont="1" applyAlignment="1">
      <alignment horizontal="left"/>
    </xf>
    <xf numFmtId="164" fontId="15" fillId="0" borderId="0" xfId="2" applyNumberFormat="1" applyAlignment="1">
      <alignment horizontal="center"/>
    </xf>
    <xf numFmtId="0" fontId="17" fillId="0" borderId="0" xfId="0" applyFont="1" applyAlignment="1">
      <alignment horizontal="left"/>
    </xf>
    <xf numFmtId="0" fontId="16" fillId="0" borderId="11" xfId="0" applyFont="1" applyBorder="1" applyAlignment="1">
      <alignment horizontal="center" vertical="center" wrapText="1"/>
    </xf>
    <xf numFmtId="0" fontId="17" fillId="12" borderId="12" xfId="0" applyFont="1" applyFill="1" applyBorder="1" applyAlignment="1">
      <alignment horizontal="center" wrapText="1"/>
    </xf>
    <xf numFmtId="2" fontId="23" fillId="7" borderId="1" xfId="0" applyNumberFormat="1" applyFont="1" applyFill="1" applyBorder="1" applyAlignment="1">
      <alignment horizontal="center"/>
    </xf>
    <xf numFmtId="2" fontId="23" fillId="7" borderId="12" xfId="0" applyNumberFormat="1" applyFont="1" applyFill="1" applyBorder="1" applyAlignment="1">
      <alignment horizontal="center"/>
    </xf>
    <xf numFmtId="2" fontId="23" fillId="7" borderId="0" xfId="0" applyNumberFormat="1" applyFont="1" applyFill="1" applyAlignment="1">
      <alignment horizontal="center"/>
    </xf>
    <xf numFmtId="0" fontId="17" fillId="12" borderId="1" xfId="0" applyFont="1" applyFill="1" applyBorder="1" applyAlignment="1">
      <alignment horizontal="center" wrapText="1"/>
    </xf>
    <xf numFmtId="0" fontId="0" fillId="12" borderId="1" xfId="0" applyFill="1" applyBorder="1" applyAlignment="1">
      <alignment horizontal="center"/>
    </xf>
    <xf numFmtId="0" fontId="23" fillId="7" borderId="12" xfId="0" applyFont="1" applyFill="1" applyBorder="1" applyAlignment="1">
      <alignment horizontal="center"/>
    </xf>
    <xf numFmtId="0" fontId="23" fillId="7" borderId="2" xfId="0" applyFont="1" applyFill="1" applyBorder="1" applyAlignment="1">
      <alignment horizontal="center"/>
    </xf>
    <xf numFmtId="0" fontId="0" fillId="12" borderId="13" xfId="0" applyFill="1" applyBorder="1" applyAlignment="1">
      <alignment horizontal="center"/>
    </xf>
    <xf numFmtId="0" fontId="23" fillId="7" borderId="13" xfId="0" applyFont="1" applyFill="1" applyBorder="1" applyAlignment="1">
      <alignment horizontal="center"/>
    </xf>
    <xf numFmtId="0" fontId="23" fillId="7" borderId="4" xfId="0" applyFont="1" applyFill="1" applyBorder="1" applyAlignment="1">
      <alignment horizontal="center"/>
    </xf>
    <xf numFmtId="0" fontId="17" fillId="0" borderId="12" xfId="0" applyFont="1" applyBorder="1" applyAlignment="1">
      <alignment horizontal="center" wrapText="1"/>
    </xf>
    <xf numFmtId="0" fontId="17" fillId="0" borderId="13" xfId="0" applyFont="1" applyBorder="1" applyAlignment="1">
      <alignment horizontal="center" wrapText="1"/>
    </xf>
    <xf numFmtId="0" fontId="16" fillId="0" borderId="5" xfId="0" applyFont="1" applyBorder="1" applyAlignment="1">
      <alignment horizontal="center" wrapText="1"/>
    </xf>
    <xf numFmtId="0" fontId="16" fillId="0" borderId="11" xfId="0" applyFont="1" applyBorder="1" applyAlignment="1">
      <alignment horizontal="center" wrapText="1"/>
    </xf>
    <xf numFmtId="1" fontId="18" fillId="4" borderId="3" xfId="0" applyNumberFormat="1" applyFont="1" applyFill="1" applyBorder="1" applyAlignment="1">
      <alignment horizontal="center" vertical="center"/>
    </xf>
    <xf numFmtId="1" fontId="18" fillId="4" borderId="5" xfId="0" applyNumberFormat="1" applyFont="1" applyFill="1" applyBorder="1" applyAlignment="1">
      <alignment horizontal="center" vertical="center"/>
    </xf>
    <xf numFmtId="0" fontId="15" fillId="0" borderId="0" xfId="2" applyAlignment="1">
      <alignment horizontal="left"/>
    </xf>
    <xf numFmtId="11" fontId="0" fillId="0" borderId="0" xfId="0" applyNumberFormat="1" applyAlignment="1">
      <alignment horizontal="center"/>
    </xf>
    <xf numFmtId="0" fontId="16" fillId="0" borderId="0" xfId="0" applyFont="1" applyAlignment="1">
      <alignment horizontal="left"/>
    </xf>
    <xf numFmtId="0" fontId="2" fillId="0" borderId="0" xfId="23"/>
    <xf numFmtId="11" fontId="2" fillId="0" borderId="0" xfId="23" applyNumberFormat="1"/>
    <xf numFmtId="0" fontId="0" fillId="0" borderId="0" xfId="0" applyAlignment="1">
      <alignment horizontal="right"/>
    </xf>
    <xf numFmtId="0" fontId="21" fillId="11" borderId="1" xfId="0" applyFont="1" applyFill="1" applyBorder="1"/>
    <xf numFmtId="0" fontId="0" fillId="0" borderId="0" xfId="0"/>
    <xf numFmtId="0" fontId="0" fillId="0" borderId="2" xfId="0" applyBorder="1"/>
    <xf numFmtId="0" fontId="18" fillId="0" borderId="8" xfId="0" applyFont="1" applyBorder="1"/>
    <xf numFmtId="0" fontId="17" fillId="0" borderId="9" xfId="0" applyFont="1" applyBorder="1"/>
    <xf numFmtId="0" fontId="17" fillId="0" borderId="6" xfId="0" applyFont="1" applyBorder="1"/>
    <xf numFmtId="0" fontId="17" fillId="0" borderId="5" xfId="0" applyFont="1" applyBorder="1" applyAlignment="1">
      <alignment horizontal="left" vertical="center"/>
    </xf>
    <xf numFmtId="0" fontId="17" fillId="0" borderId="10" xfId="0" applyFont="1" applyBorder="1" applyAlignment="1">
      <alignment horizontal="left" vertical="center"/>
    </xf>
    <xf numFmtId="0" fontId="17" fillId="0" borderId="14" xfId="0" applyFont="1" applyBorder="1" applyAlignment="1">
      <alignment horizontal="left" vertical="center"/>
    </xf>
    <xf numFmtId="0" fontId="18" fillId="0" borderId="0" xfId="0" applyFont="1" applyAlignment="1">
      <alignment horizontal="center" wrapText="1"/>
    </xf>
    <xf numFmtId="0" fontId="17" fillId="0" borderId="11" xfId="0" applyFont="1" applyBorder="1" applyAlignment="1">
      <alignment horizontal="left" vertical="center"/>
    </xf>
    <xf numFmtId="0" fontId="31" fillId="0" borderId="9" xfId="0" applyFont="1" applyBorder="1" applyAlignment="1">
      <alignment horizontal="center" wrapText="1"/>
    </xf>
    <xf numFmtId="0" fontId="17" fillId="0" borderId="0" xfId="0" applyFont="1" applyAlignment="1">
      <alignment horizontal="center" vertical="center" wrapText="1"/>
    </xf>
    <xf numFmtId="0" fontId="25" fillId="0" borderId="5" xfId="0" applyFont="1" applyBorder="1" applyAlignment="1">
      <alignment horizontal="center" wrapText="1"/>
    </xf>
    <xf numFmtId="0" fontId="25" fillId="0" borderId="14" xfId="0" applyFont="1" applyBorder="1" applyAlignment="1">
      <alignment horizontal="center" wrapText="1"/>
    </xf>
    <xf numFmtId="0" fontId="17" fillId="0" borderId="0" xfId="0" applyFont="1" applyAlignment="1">
      <alignment horizontal="left" vertical="top" wrapText="1"/>
    </xf>
    <xf numFmtId="0" fontId="0" fillId="0" borderId="0" xfId="0" applyAlignment="1">
      <alignment horizontal="left" vertical="top" wrapText="1"/>
    </xf>
    <xf numFmtId="0" fontId="27" fillId="0" borderId="0" xfId="0" applyFont="1" applyAlignment="1">
      <alignment horizontal="left" vertical="top" wrapText="1"/>
    </xf>
    <xf numFmtId="0" fontId="27" fillId="0" borderId="0" xfId="0" applyFont="1" applyAlignment="1">
      <alignment horizontal="left" vertical="top"/>
    </xf>
    <xf numFmtId="0" fontId="0" fillId="0" borderId="0" xfId="0" applyAlignment="1">
      <alignment horizontal="center" vertical="center"/>
    </xf>
    <xf numFmtId="0" fontId="0" fillId="0" borderId="0" xfId="0" applyAlignment="1">
      <alignment horizontal="center"/>
    </xf>
    <xf numFmtId="0" fontId="36" fillId="0" borderId="0" xfId="0" applyFont="1" applyAlignment="1">
      <alignment horizontal="left" vertical="top" wrapText="1"/>
    </xf>
    <xf numFmtId="0" fontId="1" fillId="0" borderId="0" xfId="24"/>
    <xf numFmtId="11" fontId="1" fillId="0" borderId="0" xfId="24" applyNumberFormat="1"/>
    <xf numFmtId="0" fontId="0" fillId="0" borderId="0" xfId="0" applyAlignment="1">
      <alignment horizontal="left"/>
    </xf>
  </cellXfs>
  <cellStyles count="25">
    <cellStyle name="40% - Accent5" xfId="1" builtinId="47"/>
    <cellStyle name="40% - Accent5 2" xfId="11" xr:uid="{00000000-0005-0000-0000-000001000000}"/>
    <cellStyle name="Explanatory Text" xfId="5" builtinId="53"/>
    <cellStyle name="Good" xfId="4" builtinId="26"/>
    <cellStyle name="Normal" xfId="0" builtinId="0"/>
    <cellStyle name="Normal 10" xfId="22" xr:uid="{5C0B6DCC-4EB6-41CC-970C-A179A37EAF2E}"/>
    <cellStyle name="Normal 11" xfId="23" xr:uid="{DEACAE11-7549-40B1-8AF1-AF9123F764DB}"/>
    <cellStyle name="Normal 12" xfId="24" xr:uid="{50E26D88-30A6-4BF0-B335-159AFDDFE4F2}"/>
    <cellStyle name="Normal 2" xfId="2" xr:uid="{00000000-0005-0000-0000-000005000000}"/>
    <cellStyle name="Normal 2 2" xfId="12" xr:uid="{00000000-0005-0000-0000-000006000000}"/>
    <cellStyle name="Normal 3" xfId="3" xr:uid="{00000000-0005-0000-0000-000007000000}"/>
    <cellStyle name="Normal 3 2" xfId="13" xr:uid="{00000000-0005-0000-0000-000008000000}"/>
    <cellStyle name="Normal 4" xfId="6" xr:uid="{00000000-0005-0000-0000-000009000000}"/>
    <cellStyle name="Normal 4 2" xfId="14" xr:uid="{00000000-0005-0000-0000-00000A000000}"/>
    <cellStyle name="Normal 5" xfId="8" xr:uid="{00000000-0005-0000-0000-00000B000000}"/>
    <cellStyle name="Normal 5 2" xfId="16" xr:uid="{00000000-0005-0000-0000-00000C000000}"/>
    <cellStyle name="Normal 6" xfId="9" xr:uid="{00000000-0005-0000-0000-00000D000000}"/>
    <cellStyle name="Normal 6 2" xfId="17" xr:uid="{00000000-0005-0000-0000-00000E000000}"/>
    <cellStyle name="Normal 7" xfId="19" xr:uid="{CF5572C6-52BD-445A-A088-B840219F8881}"/>
    <cellStyle name="Normal 8" xfId="20" xr:uid="{4424E781-7E08-4791-8734-AD670C43B17A}"/>
    <cellStyle name="Normal 9" xfId="21" xr:uid="{F9013C26-C813-4C3C-8AD8-8136C8B6FE69}"/>
    <cellStyle name="Percent 2" xfId="7" xr:uid="{00000000-0005-0000-0000-00000F000000}"/>
    <cellStyle name="Percent 2 2" xfId="15" xr:uid="{00000000-0005-0000-0000-000010000000}"/>
    <cellStyle name="Percent 3" xfId="10" xr:uid="{00000000-0005-0000-0000-000011000000}"/>
    <cellStyle name="Percent 3 2" xfId="18" xr:uid="{00000000-0005-0000-0000-000012000000}"/>
  </cellStyles>
  <dxfs count="11">
    <dxf>
      <fill>
        <patternFill>
          <bgColor theme="8" tint="0.59996337778862885"/>
        </patternFill>
      </fill>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cat>
            <c:strRef>
              <c:f>'BLE - Peripheral'!$X$21:$X$25</c:f>
              <c:strCache>
                <c:ptCount val="5"/>
                <c:pt idx="0">
                  <c:v>Legacy Advertising</c:v>
                </c:pt>
                <c:pt idx="1">
                  <c:v>Connected as Peripheral</c:v>
                </c:pt>
                <c:pt idx="2">
                  <c:v>None</c:v>
                </c:pt>
                <c:pt idx="3">
                  <c:v>Custom Application</c:v>
                </c:pt>
                <c:pt idx="4">
                  <c:v>Shutdown</c:v>
                </c:pt>
              </c:strCache>
            </c:strRef>
          </c:cat>
          <c:val>
            <c:numRef>
              <c:f>'BLE - Peripheral'!$AC$21:$AC$25</c:f>
              <c:numCache>
                <c:formatCode>0%</c:formatCode>
                <c:ptCount val="5"/>
                <c:pt idx="0">
                  <c:v>0.1875</c:v>
                </c:pt>
                <c:pt idx="1">
                  <c:v>0.1875</c:v>
                </c:pt>
                <c:pt idx="2">
                  <c:v>0</c:v>
                </c:pt>
                <c:pt idx="3">
                  <c:v>4.1666666666666664E-2</c:v>
                </c:pt>
                <c:pt idx="4">
                  <c:v>0.58333333333333326</c:v>
                </c:pt>
              </c:numCache>
            </c:numRef>
          </c:val>
          <c:extLst>
            <c:ext xmlns:c16="http://schemas.microsoft.com/office/drawing/2014/chart" uri="{C3380CC4-5D6E-409C-BE32-E72D297353CC}">
              <c16:uniqueId val="{00000000-DD43-4B41-BE38-4C885A21297D}"/>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53861342771577903"/>
          <c:y val="5.5106410995791201E-2"/>
          <c:w val="0.398649363197216"/>
          <c:h val="0.90767279386113298"/>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scatterChart>
        <c:scatterStyle val="smoothMarker"/>
        <c:varyColors val="0"/>
        <c:ser>
          <c:idx val="0"/>
          <c:order val="0"/>
          <c:tx>
            <c:strRef>
              <c:f>'DataForDisplay - Peripheral'!$M$4</c:f>
              <c:strCache>
                <c:ptCount val="1"/>
                <c:pt idx="0">
                  <c:v>MAX32690 Current [mA]</c:v>
                </c:pt>
              </c:strCache>
            </c:strRef>
          </c:tx>
          <c:marker>
            <c:symbol val="none"/>
          </c:marker>
          <c:xVal>
            <c:numRef>
              <c:f>'DataForDisplay - Peripheral'!$L$6:$L$42</c:f>
              <c:numCache>
                <c:formatCode>General</c:formatCode>
                <c:ptCount val="37"/>
                <c:pt idx="0">
                  <c:v>-200</c:v>
                </c:pt>
                <c:pt idx="1">
                  <c:v>0</c:v>
                </c:pt>
                <c:pt idx="2">
                  <c:v>0</c:v>
                </c:pt>
                <c:pt idx="3">
                  <c:v>391.79470000000003</c:v>
                </c:pt>
                <c:pt idx="4">
                  <c:v>391.79470000000003</c:v>
                </c:pt>
                <c:pt idx="5">
                  <c:v>855.10239999999999</c:v>
                </c:pt>
                <c:pt idx="6">
                  <c:v>855.10239999999999</c:v>
                </c:pt>
                <c:pt idx="7">
                  <c:v>1182.3579999999999</c:v>
                </c:pt>
                <c:pt idx="8">
                  <c:v>1182.3579999999999</c:v>
                </c:pt>
                <c:pt idx="9">
                  <c:v>1259.1422599999999</c:v>
                </c:pt>
                <c:pt idx="10">
                  <c:v>1259.1422599999999</c:v>
                </c:pt>
                <c:pt idx="11">
                  <c:v>1374.8868599999998</c:v>
                </c:pt>
                <c:pt idx="12">
                  <c:v>1374.8868599999998</c:v>
                </c:pt>
                <c:pt idx="13">
                  <c:v>1747.3191599999998</c:v>
                </c:pt>
                <c:pt idx="14">
                  <c:v>1747.3191599999998</c:v>
                </c:pt>
                <c:pt idx="15">
                  <c:v>2074.5747599999995</c:v>
                </c:pt>
                <c:pt idx="16">
                  <c:v>2074.5747599999995</c:v>
                </c:pt>
                <c:pt idx="17">
                  <c:v>2149.1919599999997</c:v>
                </c:pt>
                <c:pt idx="18">
                  <c:v>2149.1919599999997</c:v>
                </c:pt>
                <c:pt idx="19">
                  <c:v>2268.2863599999996</c:v>
                </c:pt>
                <c:pt idx="20">
                  <c:v>2268.2863599999996</c:v>
                </c:pt>
                <c:pt idx="21">
                  <c:v>2640.1935599999997</c:v>
                </c:pt>
                <c:pt idx="22">
                  <c:v>2640.1935599999997</c:v>
                </c:pt>
                <c:pt idx="23">
                  <c:v>2967.4491599999997</c:v>
                </c:pt>
                <c:pt idx="24">
                  <c:v>2967.4491599999997</c:v>
                </c:pt>
                <c:pt idx="25">
                  <c:v>3042.0639599999995</c:v>
                </c:pt>
                <c:pt idx="26">
                  <c:v>3042.0639599999995</c:v>
                </c:pt>
                <c:pt idx="27">
                  <c:v>3160.9241599999996</c:v>
                </c:pt>
                <c:pt idx="28">
                  <c:v>3160.9241599999996</c:v>
                </c:pt>
                <c:pt idx="29">
                  <c:v>3311.4506599999995</c:v>
                </c:pt>
                <c:pt idx="30">
                  <c:v>3311.4506599999995</c:v>
                </c:pt>
                <c:pt idx="31">
                  <c:v>3311.4506599999995</c:v>
                </c:pt>
                <c:pt idx="32">
                  <c:v>3311.4506599999995</c:v>
                </c:pt>
                <c:pt idx="33">
                  <c:v>3511.4506599999995</c:v>
                </c:pt>
                <c:pt idx="34">
                  <c:v>3511.4506599999995</c:v>
                </c:pt>
                <c:pt idx="35">
                  <c:v>3711.4506599999995</c:v>
                </c:pt>
                <c:pt idx="36">
                  <c:v>3711.4506599999995</c:v>
                </c:pt>
              </c:numCache>
            </c:numRef>
          </c:xVal>
          <c:yVal>
            <c:numRef>
              <c:f>'DataForDisplay - Peripheral'!$M$6:$M$42</c:f>
              <c:numCache>
                <c:formatCode>General</c:formatCode>
                <c:ptCount val="37"/>
                <c:pt idx="0">
                  <c:v>0</c:v>
                </c:pt>
                <c:pt idx="1">
                  <c:v>0</c:v>
                </c:pt>
                <c:pt idx="2">
                  <c:v>4.0726399999999998</c:v>
                </c:pt>
                <c:pt idx="3">
                  <c:v>4.0726399999999998</c:v>
                </c:pt>
                <c:pt idx="4">
                  <c:v>3.0388480000000002</c:v>
                </c:pt>
                <c:pt idx="5">
                  <c:v>3.0388480000000002</c:v>
                </c:pt>
                <c:pt idx="6">
                  <c:v>5.113316666666667</c:v>
                </c:pt>
                <c:pt idx="7">
                  <c:v>5.113316666666667</c:v>
                </c:pt>
                <c:pt idx="8">
                  <c:v>2.9384796666666668</c:v>
                </c:pt>
                <c:pt idx="9">
                  <c:v>2.9384796666666668</c:v>
                </c:pt>
                <c:pt idx="10">
                  <c:v>4.8636499999999998</c:v>
                </c:pt>
                <c:pt idx="11">
                  <c:v>4.8636499999999998</c:v>
                </c:pt>
                <c:pt idx="12">
                  <c:v>2.9429466666666664</c:v>
                </c:pt>
                <c:pt idx="13">
                  <c:v>2.9429466666666664</c:v>
                </c:pt>
                <c:pt idx="14">
                  <c:v>4.9986466666666658</c:v>
                </c:pt>
                <c:pt idx="15">
                  <c:v>4.9986466666666658</c:v>
                </c:pt>
                <c:pt idx="16">
                  <c:v>2.9272503333333337</c:v>
                </c:pt>
                <c:pt idx="17">
                  <c:v>2.9272503333333337</c:v>
                </c:pt>
                <c:pt idx="18">
                  <c:v>4.9328233333333333</c:v>
                </c:pt>
                <c:pt idx="19">
                  <c:v>4.9328233333333333</c:v>
                </c:pt>
                <c:pt idx="20">
                  <c:v>2.9496626666666668</c:v>
                </c:pt>
                <c:pt idx="21">
                  <c:v>2.9496626666666668</c:v>
                </c:pt>
                <c:pt idx="22">
                  <c:v>4.9671433333333335</c:v>
                </c:pt>
                <c:pt idx="23">
                  <c:v>4.9671433333333335</c:v>
                </c:pt>
                <c:pt idx="24">
                  <c:v>2.9366873333333334</c:v>
                </c:pt>
                <c:pt idx="25">
                  <c:v>2.9366873333333334</c:v>
                </c:pt>
                <c:pt idx="26">
                  <c:v>4.9199133333333336</c:v>
                </c:pt>
                <c:pt idx="27">
                  <c:v>4.9199133333333336</c:v>
                </c:pt>
                <c:pt idx="28">
                  <c:v>3.3373366666666664</c:v>
                </c:pt>
                <c:pt idx="29">
                  <c:v>3.3373366666666664</c:v>
                </c:pt>
                <c:pt idx="30">
                  <c:v>0</c:v>
                </c:pt>
                <c:pt idx="31">
                  <c:v>0</c:v>
                </c:pt>
                <c:pt idx="32">
                  <c:v>0</c:v>
                </c:pt>
                <c:pt idx="33">
                  <c:v>0</c:v>
                </c:pt>
                <c:pt idx="34">
                  <c:v>0</c:v>
                </c:pt>
                <c:pt idx="35">
                  <c:v>0</c:v>
                </c:pt>
                <c:pt idx="36">
                  <c:v>0</c:v>
                </c:pt>
              </c:numCache>
            </c:numRef>
          </c:yVal>
          <c:smooth val="0"/>
          <c:extLst>
            <c:ext xmlns:c16="http://schemas.microsoft.com/office/drawing/2014/chart" uri="{C3380CC4-5D6E-409C-BE32-E72D297353CC}">
              <c16:uniqueId val="{00000000-3A55-46C8-B2EA-6696B5B09582}"/>
            </c:ext>
          </c:extLst>
        </c:ser>
        <c:dLbls>
          <c:showLegendKey val="0"/>
          <c:showVal val="0"/>
          <c:showCatName val="0"/>
          <c:showSerName val="0"/>
          <c:showPercent val="0"/>
          <c:showBubbleSize val="0"/>
        </c:dLbls>
        <c:axId val="147291520"/>
        <c:axId val="147293696"/>
      </c:scatterChart>
      <c:scatterChart>
        <c:scatterStyle val="smoothMarker"/>
        <c:varyColors val="0"/>
        <c:ser>
          <c:idx val="1"/>
          <c:order val="1"/>
          <c:tx>
            <c:strRef>
              <c:f>'DataForDisplay - Peripheral'!$N$4</c:f>
              <c:strCache>
                <c:ptCount val="1"/>
                <c:pt idx="0">
                  <c:v>MAX32690 Charge [nAh]</c:v>
                </c:pt>
              </c:strCache>
            </c:strRef>
          </c:tx>
          <c:spPr>
            <a:ln>
              <a:solidFill>
                <a:schemeClr val="accent4"/>
              </a:solidFill>
            </a:ln>
          </c:spPr>
          <c:marker>
            <c:symbol val="none"/>
          </c:marker>
          <c:xVal>
            <c:numRef>
              <c:f>'DataForDisplay - Peripheral'!$L$6:$L$42</c:f>
              <c:numCache>
                <c:formatCode>General</c:formatCode>
                <c:ptCount val="37"/>
                <c:pt idx="0">
                  <c:v>-200</c:v>
                </c:pt>
                <c:pt idx="1">
                  <c:v>0</c:v>
                </c:pt>
                <c:pt idx="2">
                  <c:v>0</c:v>
                </c:pt>
                <c:pt idx="3">
                  <c:v>391.79470000000003</c:v>
                </c:pt>
                <c:pt idx="4">
                  <c:v>391.79470000000003</c:v>
                </c:pt>
                <c:pt idx="5">
                  <c:v>855.10239999999999</c:v>
                </c:pt>
                <c:pt idx="6">
                  <c:v>855.10239999999999</c:v>
                </c:pt>
                <c:pt idx="7">
                  <c:v>1182.3579999999999</c:v>
                </c:pt>
                <c:pt idx="8">
                  <c:v>1182.3579999999999</c:v>
                </c:pt>
                <c:pt idx="9">
                  <c:v>1259.1422599999999</c:v>
                </c:pt>
                <c:pt idx="10">
                  <c:v>1259.1422599999999</c:v>
                </c:pt>
                <c:pt idx="11">
                  <c:v>1374.8868599999998</c:v>
                </c:pt>
                <c:pt idx="12">
                  <c:v>1374.8868599999998</c:v>
                </c:pt>
                <c:pt idx="13">
                  <c:v>1747.3191599999998</c:v>
                </c:pt>
                <c:pt idx="14">
                  <c:v>1747.3191599999998</c:v>
                </c:pt>
                <c:pt idx="15">
                  <c:v>2074.5747599999995</c:v>
                </c:pt>
                <c:pt idx="16">
                  <c:v>2074.5747599999995</c:v>
                </c:pt>
                <c:pt idx="17">
                  <c:v>2149.1919599999997</c:v>
                </c:pt>
                <c:pt idx="18">
                  <c:v>2149.1919599999997</c:v>
                </c:pt>
                <c:pt idx="19">
                  <c:v>2268.2863599999996</c:v>
                </c:pt>
                <c:pt idx="20">
                  <c:v>2268.2863599999996</c:v>
                </c:pt>
                <c:pt idx="21">
                  <c:v>2640.1935599999997</c:v>
                </c:pt>
                <c:pt idx="22">
                  <c:v>2640.1935599999997</c:v>
                </c:pt>
                <c:pt idx="23">
                  <c:v>2967.4491599999997</c:v>
                </c:pt>
                <c:pt idx="24">
                  <c:v>2967.4491599999997</c:v>
                </c:pt>
                <c:pt idx="25">
                  <c:v>3042.0639599999995</c:v>
                </c:pt>
                <c:pt idx="26">
                  <c:v>3042.0639599999995</c:v>
                </c:pt>
                <c:pt idx="27">
                  <c:v>3160.9241599999996</c:v>
                </c:pt>
                <c:pt idx="28">
                  <c:v>3160.9241599999996</c:v>
                </c:pt>
                <c:pt idx="29">
                  <c:v>3311.4506599999995</c:v>
                </c:pt>
                <c:pt idx="30">
                  <c:v>3311.4506599999995</c:v>
                </c:pt>
                <c:pt idx="31">
                  <c:v>3311.4506599999995</c:v>
                </c:pt>
                <c:pt idx="32">
                  <c:v>3311.4506599999995</c:v>
                </c:pt>
                <c:pt idx="33">
                  <c:v>3511.4506599999995</c:v>
                </c:pt>
                <c:pt idx="34">
                  <c:v>3511.4506599999995</c:v>
                </c:pt>
                <c:pt idx="35">
                  <c:v>3711.4506599999995</c:v>
                </c:pt>
                <c:pt idx="36">
                  <c:v>3711.4506599999995</c:v>
                </c:pt>
              </c:numCache>
            </c:numRef>
          </c:xVal>
          <c:yVal>
            <c:numRef>
              <c:f>'DataForDisplay - Peripheral'!$N$6:$N$42</c:f>
              <c:numCache>
                <c:formatCode>General</c:formatCode>
                <c:ptCount val="37"/>
                <c:pt idx="0">
                  <c:v>0</c:v>
                </c:pt>
                <c:pt idx="1">
                  <c:v>0</c:v>
                </c:pt>
                <c:pt idx="2">
                  <c:v>0</c:v>
                </c:pt>
                <c:pt idx="3">
                  <c:v>0.44323299083555556</c:v>
                </c:pt>
                <c:pt idx="4">
                  <c:v>0.44323299083555556</c:v>
                </c:pt>
                <c:pt idx="5">
                  <c:v>0.83432234570488895</c:v>
                </c:pt>
                <c:pt idx="6">
                  <c:v>0.83432234570488895</c:v>
                </c:pt>
                <c:pt idx="7">
                  <c:v>1.2991449884104445</c:v>
                </c:pt>
                <c:pt idx="8">
                  <c:v>1.2991449884104445</c:v>
                </c:pt>
                <c:pt idx="9">
                  <c:v>1.3618197069465685</c:v>
                </c:pt>
                <c:pt idx="10">
                  <c:v>1.3618197069465685</c:v>
                </c:pt>
                <c:pt idx="11">
                  <c:v>1.5181922691104575</c:v>
                </c:pt>
                <c:pt idx="12">
                  <c:v>1.5181922691104575</c:v>
                </c:pt>
                <c:pt idx="13">
                  <c:v>1.8226501568449018</c:v>
                </c:pt>
                <c:pt idx="14">
                  <c:v>1.8226501568449018</c:v>
                </c:pt>
                <c:pt idx="15">
                  <c:v>2.2770487996471238</c:v>
                </c:pt>
                <c:pt idx="16">
                  <c:v>2.2770487996471238</c:v>
                </c:pt>
                <c:pt idx="17">
                  <c:v>2.3377219173061237</c:v>
                </c:pt>
                <c:pt idx="18">
                  <c:v>2.3377219173061237</c:v>
                </c:pt>
                <c:pt idx="19">
                  <c:v>2.5009084826364942</c:v>
                </c:pt>
                <c:pt idx="20">
                  <c:v>2.5009084826364942</c:v>
                </c:pt>
                <c:pt idx="21">
                  <c:v>2.8056309224433091</c:v>
                </c:pt>
                <c:pt idx="22">
                  <c:v>2.8056309224433091</c:v>
                </c:pt>
                <c:pt idx="23">
                  <c:v>3.257165775731087</c:v>
                </c:pt>
                <c:pt idx="24">
                  <c:v>3.257165775731087</c:v>
                </c:pt>
                <c:pt idx="25">
                  <c:v>3.3180325362975314</c:v>
                </c:pt>
                <c:pt idx="26">
                  <c:v>3.3180325362975314</c:v>
                </c:pt>
                <c:pt idx="27">
                  <c:v>3.4804719481816053</c:v>
                </c:pt>
                <c:pt idx="28">
                  <c:v>3.4804719481816053</c:v>
                </c:pt>
                <c:pt idx="29">
                  <c:v>3.6200157281135499</c:v>
                </c:pt>
                <c:pt idx="30">
                  <c:v>3.6200157281135499</c:v>
                </c:pt>
                <c:pt idx="31">
                  <c:v>3.6200157281135499</c:v>
                </c:pt>
                <c:pt idx="32">
                  <c:v>3.6200157281135499</c:v>
                </c:pt>
                <c:pt idx="33">
                  <c:v>3.6200157281135499</c:v>
                </c:pt>
                <c:pt idx="34">
                  <c:v>3.6200157281135499</c:v>
                </c:pt>
                <c:pt idx="35">
                  <c:v>3.6200157281135499</c:v>
                </c:pt>
                <c:pt idx="36">
                  <c:v>3.6200157281135499</c:v>
                </c:pt>
              </c:numCache>
            </c:numRef>
          </c:yVal>
          <c:smooth val="1"/>
          <c:extLst>
            <c:ext xmlns:c16="http://schemas.microsoft.com/office/drawing/2014/chart" uri="{C3380CC4-5D6E-409C-BE32-E72D297353CC}">
              <c16:uniqueId val="{00000001-3A55-46C8-B2EA-6696B5B09582}"/>
            </c:ext>
          </c:extLst>
        </c:ser>
        <c:dLbls>
          <c:showLegendKey val="0"/>
          <c:showVal val="0"/>
          <c:showCatName val="0"/>
          <c:showSerName val="0"/>
          <c:showPercent val="0"/>
          <c:showBubbleSize val="0"/>
        </c:dLbls>
        <c:axId val="147301888"/>
        <c:axId val="147295616"/>
      </c:scatterChart>
      <c:valAx>
        <c:axId val="147291520"/>
        <c:scaling>
          <c:orientation val="minMax"/>
          <c:min val="-200"/>
        </c:scaling>
        <c:delete val="0"/>
        <c:axPos val="b"/>
        <c:title>
          <c:tx>
            <c:rich>
              <a:bodyPr/>
              <a:lstStyle/>
              <a:p>
                <a:pPr>
                  <a:defRPr/>
                </a:pPr>
                <a:r>
                  <a:rPr lang="en-US"/>
                  <a:t>Time [us]</a:t>
                </a:r>
              </a:p>
            </c:rich>
          </c:tx>
          <c:overlay val="0"/>
        </c:title>
        <c:numFmt formatCode="General" sourceLinked="1"/>
        <c:majorTickMark val="out"/>
        <c:minorTickMark val="none"/>
        <c:tickLblPos val="nextTo"/>
        <c:crossAx val="147293696"/>
        <c:crosses val="autoZero"/>
        <c:crossBetween val="midCat"/>
      </c:valAx>
      <c:valAx>
        <c:axId val="147293696"/>
        <c:scaling>
          <c:orientation val="minMax"/>
        </c:scaling>
        <c:delete val="0"/>
        <c:axPos val="l"/>
        <c:majorGridlines/>
        <c:title>
          <c:tx>
            <c:rich>
              <a:bodyPr rot="-5400000" vert="horz"/>
              <a:lstStyle/>
              <a:p>
                <a:pPr>
                  <a:defRPr/>
                </a:pPr>
                <a:r>
                  <a:rPr lang="en-US"/>
                  <a:t>Current [mA]</a:t>
                </a:r>
              </a:p>
            </c:rich>
          </c:tx>
          <c:overlay val="0"/>
        </c:title>
        <c:numFmt formatCode="General" sourceLinked="1"/>
        <c:majorTickMark val="out"/>
        <c:minorTickMark val="none"/>
        <c:tickLblPos val="nextTo"/>
        <c:txPr>
          <a:bodyPr rot="0" vert="horz" anchor="ctr" anchorCtr="0"/>
          <a:lstStyle/>
          <a:p>
            <a:pPr>
              <a:defRPr/>
            </a:pPr>
            <a:endParaRPr lang="en-US"/>
          </a:p>
        </c:txPr>
        <c:crossAx val="147291520"/>
        <c:crosses val="autoZero"/>
        <c:crossBetween val="midCat"/>
      </c:valAx>
      <c:valAx>
        <c:axId val="147295616"/>
        <c:scaling>
          <c:orientation val="minMax"/>
          <c:min val="0"/>
        </c:scaling>
        <c:delete val="0"/>
        <c:axPos val="r"/>
        <c:title>
          <c:tx>
            <c:rich>
              <a:bodyPr rot="-5400000" vert="horz"/>
              <a:lstStyle/>
              <a:p>
                <a:pPr>
                  <a:defRPr/>
                </a:pPr>
                <a:r>
                  <a:rPr lang="en-US"/>
                  <a:t>Charge [nAh]</a:t>
                </a:r>
              </a:p>
            </c:rich>
          </c:tx>
          <c:overlay val="0"/>
        </c:title>
        <c:numFmt formatCode="General" sourceLinked="1"/>
        <c:majorTickMark val="out"/>
        <c:minorTickMark val="none"/>
        <c:tickLblPos val="nextTo"/>
        <c:crossAx val="147301888"/>
        <c:crosses val="max"/>
        <c:crossBetween val="midCat"/>
      </c:valAx>
      <c:valAx>
        <c:axId val="147301888"/>
        <c:scaling>
          <c:orientation val="minMax"/>
        </c:scaling>
        <c:delete val="1"/>
        <c:axPos val="b"/>
        <c:numFmt formatCode="General" sourceLinked="1"/>
        <c:majorTickMark val="out"/>
        <c:minorTickMark val="none"/>
        <c:tickLblPos val="nextTo"/>
        <c:crossAx val="147295616"/>
        <c:crosses val="autoZero"/>
        <c:crossBetween val="midCat"/>
      </c:valAx>
    </c:plotArea>
    <c:legend>
      <c:legendPos val="r"/>
      <c:layout>
        <c:manualLayout>
          <c:xMode val="edge"/>
          <c:yMode val="edge"/>
          <c:x val="0.38745090933505255"/>
          <c:y val="0.65661560785953643"/>
          <c:w val="0.18281987135651917"/>
          <c:h val="0.20976070774856836"/>
        </c:manualLayout>
      </c:layout>
      <c:overlay val="1"/>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9.220939212771416E-2"/>
          <c:y val="3.0813776016880786E-2"/>
          <c:w val="0.78635314018568681"/>
          <c:h val="0.82504820731704098"/>
        </c:manualLayout>
      </c:layout>
      <c:scatterChart>
        <c:scatterStyle val="smoothMarker"/>
        <c:varyColors val="0"/>
        <c:ser>
          <c:idx val="0"/>
          <c:order val="0"/>
          <c:tx>
            <c:strRef>
              <c:f>'DataForDisplay - Peripheral'!$M$47</c:f>
              <c:strCache>
                <c:ptCount val="1"/>
                <c:pt idx="0">
                  <c:v>MAX32690 Current [mA]</c:v>
                </c:pt>
              </c:strCache>
            </c:strRef>
          </c:tx>
          <c:marker>
            <c:symbol val="none"/>
          </c:marker>
          <c:xVal>
            <c:numRef>
              <c:f>'DataForDisplay - Peripheral'!$L$49:$L$85</c:f>
              <c:numCache>
                <c:formatCode>General</c:formatCode>
                <c:ptCount val="37"/>
                <c:pt idx="0">
                  <c:v>-200</c:v>
                </c:pt>
                <c:pt idx="1">
                  <c:v>0</c:v>
                </c:pt>
                <c:pt idx="2">
                  <c:v>0</c:v>
                </c:pt>
                <c:pt idx="3">
                  <c:v>391.73940000000005</c:v>
                </c:pt>
                <c:pt idx="4">
                  <c:v>391.73940000000005</c:v>
                </c:pt>
                <c:pt idx="5">
                  <c:v>761.59660000000008</c:v>
                </c:pt>
                <c:pt idx="6">
                  <c:v>761.59660000000008</c:v>
                </c:pt>
                <c:pt idx="7">
                  <c:v>944.33110000000011</c:v>
                </c:pt>
                <c:pt idx="8">
                  <c:v>944.33110000000011</c:v>
                </c:pt>
                <c:pt idx="9">
                  <c:v>982.58868000000007</c:v>
                </c:pt>
                <c:pt idx="10">
                  <c:v>982.58868000000007</c:v>
                </c:pt>
                <c:pt idx="11">
                  <c:v>1178.83998</c:v>
                </c:pt>
                <c:pt idx="12">
                  <c:v>1178.83998</c:v>
                </c:pt>
                <c:pt idx="13">
                  <c:v>1305.1022800000001</c:v>
                </c:pt>
                <c:pt idx="14">
                  <c:v>1305.1022800000001</c:v>
                </c:pt>
                <c:pt idx="15">
                  <c:v>1305.1022800000001</c:v>
                </c:pt>
                <c:pt idx="16">
                  <c:v>1305.1022800000001</c:v>
                </c:pt>
                <c:pt idx="17">
                  <c:v>1305.1022800000001</c:v>
                </c:pt>
                <c:pt idx="18">
                  <c:v>1305.1022800000001</c:v>
                </c:pt>
                <c:pt idx="19">
                  <c:v>1305.1022800000001</c:v>
                </c:pt>
                <c:pt idx="20">
                  <c:v>1305.1022800000001</c:v>
                </c:pt>
                <c:pt idx="21">
                  <c:v>1305.1022800000001</c:v>
                </c:pt>
                <c:pt idx="22">
                  <c:v>1305.1022800000001</c:v>
                </c:pt>
                <c:pt idx="23">
                  <c:v>1305.1022800000001</c:v>
                </c:pt>
                <c:pt idx="24">
                  <c:v>1305.1022800000001</c:v>
                </c:pt>
                <c:pt idx="25">
                  <c:v>1305.1022800000001</c:v>
                </c:pt>
                <c:pt idx="26">
                  <c:v>1305.1022800000001</c:v>
                </c:pt>
                <c:pt idx="27">
                  <c:v>1305.1022800000001</c:v>
                </c:pt>
                <c:pt idx="28">
                  <c:v>1305.1022800000001</c:v>
                </c:pt>
                <c:pt idx="29">
                  <c:v>1305.1022800000001</c:v>
                </c:pt>
                <c:pt idx="30">
                  <c:v>1305.1022800000001</c:v>
                </c:pt>
                <c:pt idx="31">
                  <c:v>1305.1022800000001</c:v>
                </c:pt>
                <c:pt idx="32">
                  <c:v>1305.1022800000001</c:v>
                </c:pt>
                <c:pt idx="33">
                  <c:v>1505.1022800000001</c:v>
                </c:pt>
                <c:pt idx="34">
                  <c:v>1505.1022800000001</c:v>
                </c:pt>
                <c:pt idx="35">
                  <c:v>1705.1022800000001</c:v>
                </c:pt>
                <c:pt idx="36">
                  <c:v>1705.1022800000001</c:v>
                </c:pt>
              </c:numCache>
            </c:numRef>
          </c:xVal>
          <c:yVal>
            <c:numRef>
              <c:f>'DataForDisplay - Peripheral'!$M$49:$M$85</c:f>
              <c:numCache>
                <c:formatCode>General</c:formatCode>
                <c:ptCount val="37"/>
                <c:pt idx="0">
                  <c:v>0</c:v>
                </c:pt>
                <c:pt idx="1">
                  <c:v>0</c:v>
                </c:pt>
                <c:pt idx="2">
                  <c:v>4.2286699999999993</c:v>
                </c:pt>
                <c:pt idx="3">
                  <c:v>4.2286699999999993</c:v>
                </c:pt>
                <c:pt idx="4">
                  <c:v>3.122541</c:v>
                </c:pt>
                <c:pt idx="5">
                  <c:v>3.122541</c:v>
                </c:pt>
                <c:pt idx="6">
                  <c:v>4.6614433333333336</c:v>
                </c:pt>
                <c:pt idx="7">
                  <c:v>4.6614433333333336</c:v>
                </c:pt>
                <c:pt idx="8">
                  <c:v>4.6964933333333336</c:v>
                </c:pt>
                <c:pt idx="9">
                  <c:v>4.6964933333333336</c:v>
                </c:pt>
                <c:pt idx="10">
                  <c:v>5.1374266666666664</c:v>
                </c:pt>
                <c:pt idx="11">
                  <c:v>5.1374266666666664</c:v>
                </c:pt>
                <c:pt idx="12">
                  <c:v>4.0794200000000007</c:v>
                </c:pt>
                <c:pt idx="13">
                  <c:v>4.0794200000000007</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smooth val="0"/>
          <c:extLst>
            <c:ext xmlns:c16="http://schemas.microsoft.com/office/drawing/2014/chart" uri="{C3380CC4-5D6E-409C-BE32-E72D297353CC}">
              <c16:uniqueId val="{00000000-3733-42E1-93C2-0BD9803C201F}"/>
            </c:ext>
          </c:extLst>
        </c:ser>
        <c:dLbls>
          <c:showLegendKey val="0"/>
          <c:showVal val="0"/>
          <c:showCatName val="0"/>
          <c:showSerName val="0"/>
          <c:showPercent val="0"/>
          <c:showBubbleSize val="0"/>
        </c:dLbls>
        <c:axId val="147332096"/>
        <c:axId val="147334272"/>
      </c:scatterChart>
      <c:scatterChart>
        <c:scatterStyle val="smoothMarker"/>
        <c:varyColors val="0"/>
        <c:ser>
          <c:idx val="1"/>
          <c:order val="1"/>
          <c:tx>
            <c:strRef>
              <c:f>'DataForDisplay - Peripheral'!$N$47</c:f>
              <c:strCache>
                <c:ptCount val="1"/>
                <c:pt idx="0">
                  <c:v>MAX32690 Charge [nAh]</c:v>
                </c:pt>
              </c:strCache>
            </c:strRef>
          </c:tx>
          <c:spPr>
            <a:ln>
              <a:solidFill>
                <a:schemeClr val="accent4"/>
              </a:solidFill>
            </a:ln>
          </c:spPr>
          <c:marker>
            <c:symbol val="none"/>
          </c:marker>
          <c:xVal>
            <c:numRef>
              <c:f>'DataForDisplay - Peripheral'!$L$49:$L$85</c:f>
              <c:numCache>
                <c:formatCode>General</c:formatCode>
                <c:ptCount val="37"/>
                <c:pt idx="0">
                  <c:v>-200</c:v>
                </c:pt>
                <c:pt idx="1">
                  <c:v>0</c:v>
                </c:pt>
                <c:pt idx="2">
                  <c:v>0</c:v>
                </c:pt>
                <c:pt idx="3">
                  <c:v>391.73940000000005</c:v>
                </c:pt>
                <c:pt idx="4">
                  <c:v>391.73940000000005</c:v>
                </c:pt>
                <c:pt idx="5">
                  <c:v>761.59660000000008</c:v>
                </c:pt>
                <c:pt idx="6">
                  <c:v>761.59660000000008</c:v>
                </c:pt>
                <c:pt idx="7">
                  <c:v>944.33110000000011</c:v>
                </c:pt>
                <c:pt idx="8">
                  <c:v>944.33110000000011</c:v>
                </c:pt>
                <c:pt idx="9">
                  <c:v>982.58868000000007</c:v>
                </c:pt>
                <c:pt idx="10">
                  <c:v>982.58868000000007</c:v>
                </c:pt>
                <c:pt idx="11">
                  <c:v>1178.83998</c:v>
                </c:pt>
                <c:pt idx="12">
                  <c:v>1178.83998</c:v>
                </c:pt>
                <c:pt idx="13">
                  <c:v>1305.1022800000001</c:v>
                </c:pt>
                <c:pt idx="14">
                  <c:v>1305.1022800000001</c:v>
                </c:pt>
                <c:pt idx="15">
                  <c:v>1305.1022800000001</c:v>
                </c:pt>
                <c:pt idx="16">
                  <c:v>1305.1022800000001</c:v>
                </c:pt>
                <c:pt idx="17">
                  <c:v>1305.1022800000001</c:v>
                </c:pt>
                <c:pt idx="18">
                  <c:v>1305.1022800000001</c:v>
                </c:pt>
                <c:pt idx="19">
                  <c:v>1305.1022800000001</c:v>
                </c:pt>
                <c:pt idx="20">
                  <c:v>1305.1022800000001</c:v>
                </c:pt>
                <c:pt idx="21">
                  <c:v>1305.1022800000001</c:v>
                </c:pt>
                <c:pt idx="22">
                  <c:v>1305.1022800000001</c:v>
                </c:pt>
                <c:pt idx="23">
                  <c:v>1305.1022800000001</c:v>
                </c:pt>
                <c:pt idx="24">
                  <c:v>1305.1022800000001</c:v>
                </c:pt>
                <c:pt idx="25">
                  <c:v>1305.1022800000001</c:v>
                </c:pt>
                <c:pt idx="26">
                  <c:v>1305.1022800000001</c:v>
                </c:pt>
                <c:pt idx="27">
                  <c:v>1305.1022800000001</c:v>
                </c:pt>
                <c:pt idx="28">
                  <c:v>1305.1022800000001</c:v>
                </c:pt>
                <c:pt idx="29">
                  <c:v>1305.1022800000001</c:v>
                </c:pt>
                <c:pt idx="30">
                  <c:v>1305.1022800000001</c:v>
                </c:pt>
                <c:pt idx="31">
                  <c:v>1305.1022800000001</c:v>
                </c:pt>
                <c:pt idx="32">
                  <c:v>1305.1022800000001</c:v>
                </c:pt>
                <c:pt idx="33">
                  <c:v>1505.1022800000001</c:v>
                </c:pt>
                <c:pt idx="34">
                  <c:v>1505.1022800000001</c:v>
                </c:pt>
                <c:pt idx="35">
                  <c:v>1705.1022800000001</c:v>
                </c:pt>
                <c:pt idx="36">
                  <c:v>1705.1022800000001</c:v>
                </c:pt>
              </c:numCache>
            </c:numRef>
          </c:xVal>
          <c:yVal>
            <c:numRef>
              <c:f>'DataForDisplay - Peripheral'!$N$49:$N$85</c:f>
              <c:numCache>
                <c:formatCode>General</c:formatCode>
                <c:ptCount val="37"/>
                <c:pt idx="0">
                  <c:v>0</c:v>
                </c:pt>
                <c:pt idx="1">
                  <c:v>0</c:v>
                </c:pt>
                <c:pt idx="2">
                  <c:v>0</c:v>
                </c:pt>
                <c:pt idx="3">
                  <c:v>0.46014906905499997</c:v>
                </c:pt>
                <c:pt idx="4">
                  <c:v>0.46014906905499997</c:v>
                </c:pt>
                <c:pt idx="5">
                  <c:v>0.78095303326200005</c:v>
                </c:pt>
                <c:pt idx="6">
                  <c:v>0.78095303326200005</c:v>
                </c:pt>
                <c:pt idx="7">
                  <c:v>1.0175659545939446</c:v>
                </c:pt>
                <c:pt idx="8">
                  <c:v>1.0175659545939446</c:v>
                </c:pt>
                <c:pt idx="9">
                  <c:v>1.067476084988241</c:v>
                </c:pt>
                <c:pt idx="10">
                  <c:v>1.067476084988241</c:v>
                </c:pt>
                <c:pt idx="11">
                  <c:v>1.3475390466515742</c:v>
                </c:pt>
                <c:pt idx="12">
                  <c:v>1.3475390466515742</c:v>
                </c:pt>
                <c:pt idx="13">
                  <c:v>1.4906159777254631</c:v>
                </c:pt>
                <c:pt idx="14">
                  <c:v>1.4906159777254631</c:v>
                </c:pt>
                <c:pt idx="15">
                  <c:v>1.4906159777254631</c:v>
                </c:pt>
                <c:pt idx="16">
                  <c:v>1.4906159777254631</c:v>
                </c:pt>
                <c:pt idx="17">
                  <c:v>1.4906159777254631</c:v>
                </c:pt>
                <c:pt idx="18">
                  <c:v>1.4906159777254631</c:v>
                </c:pt>
                <c:pt idx="19">
                  <c:v>1.4906159777254631</c:v>
                </c:pt>
                <c:pt idx="20">
                  <c:v>1.4906159777254631</c:v>
                </c:pt>
                <c:pt idx="21">
                  <c:v>1.4906159777254631</c:v>
                </c:pt>
                <c:pt idx="22">
                  <c:v>1.4906159777254631</c:v>
                </c:pt>
                <c:pt idx="23">
                  <c:v>1.4906159777254631</c:v>
                </c:pt>
                <c:pt idx="24">
                  <c:v>1.4906159777254631</c:v>
                </c:pt>
                <c:pt idx="25">
                  <c:v>1.4906159777254631</c:v>
                </c:pt>
                <c:pt idx="26">
                  <c:v>1.4906159777254631</c:v>
                </c:pt>
                <c:pt idx="27">
                  <c:v>1.4906159777254631</c:v>
                </c:pt>
                <c:pt idx="28">
                  <c:v>1.4906159777254631</c:v>
                </c:pt>
                <c:pt idx="29">
                  <c:v>1.4906159777254631</c:v>
                </c:pt>
                <c:pt idx="30">
                  <c:v>1.4906159777254631</c:v>
                </c:pt>
                <c:pt idx="31">
                  <c:v>1.4906159777254631</c:v>
                </c:pt>
                <c:pt idx="32">
                  <c:v>1.4906159777254631</c:v>
                </c:pt>
                <c:pt idx="33">
                  <c:v>1.4906159777254631</c:v>
                </c:pt>
                <c:pt idx="34">
                  <c:v>1.4906159777254631</c:v>
                </c:pt>
                <c:pt idx="35">
                  <c:v>1.4906159777254631</c:v>
                </c:pt>
                <c:pt idx="36">
                  <c:v>1.4906159777254631</c:v>
                </c:pt>
              </c:numCache>
            </c:numRef>
          </c:yVal>
          <c:smooth val="1"/>
          <c:extLst>
            <c:ext xmlns:c16="http://schemas.microsoft.com/office/drawing/2014/chart" uri="{C3380CC4-5D6E-409C-BE32-E72D297353CC}">
              <c16:uniqueId val="{00000001-3733-42E1-93C2-0BD9803C201F}"/>
            </c:ext>
          </c:extLst>
        </c:ser>
        <c:dLbls>
          <c:showLegendKey val="0"/>
          <c:showVal val="0"/>
          <c:showCatName val="0"/>
          <c:showSerName val="0"/>
          <c:showPercent val="0"/>
          <c:showBubbleSize val="0"/>
        </c:dLbls>
        <c:axId val="147338368"/>
        <c:axId val="147336192"/>
      </c:scatterChart>
      <c:valAx>
        <c:axId val="147332096"/>
        <c:scaling>
          <c:orientation val="minMax"/>
          <c:min val="-200"/>
        </c:scaling>
        <c:delete val="0"/>
        <c:axPos val="b"/>
        <c:title>
          <c:tx>
            <c:rich>
              <a:bodyPr/>
              <a:lstStyle/>
              <a:p>
                <a:pPr>
                  <a:defRPr b="1" i="0" baseline="0"/>
                </a:pPr>
                <a:r>
                  <a:rPr lang="en-US" b="1" i="0" baseline="0"/>
                  <a:t>Time [us]</a:t>
                </a:r>
              </a:p>
            </c:rich>
          </c:tx>
          <c:overlay val="0"/>
        </c:title>
        <c:numFmt formatCode="General" sourceLinked="1"/>
        <c:majorTickMark val="out"/>
        <c:minorTickMark val="none"/>
        <c:tickLblPos val="nextTo"/>
        <c:crossAx val="147334272"/>
        <c:crosses val="autoZero"/>
        <c:crossBetween val="midCat"/>
      </c:valAx>
      <c:valAx>
        <c:axId val="147334272"/>
        <c:scaling>
          <c:orientation val="minMax"/>
        </c:scaling>
        <c:delete val="0"/>
        <c:axPos val="l"/>
        <c:majorGridlines/>
        <c:title>
          <c:tx>
            <c:rich>
              <a:bodyPr rot="-5400000" vert="horz"/>
              <a:lstStyle/>
              <a:p>
                <a:pPr>
                  <a:defRPr b="1"/>
                </a:pPr>
                <a:r>
                  <a:rPr lang="en-US" b="1"/>
                  <a:t>Current [mA]</a:t>
                </a:r>
              </a:p>
            </c:rich>
          </c:tx>
          <c:overlay val="0"/>
        </c:title>
        <c:numFmt formatCode="General" sourceLinked="1"/>
        <c:majorTickMark val="out"/>
        <c:minorTickMark val="none"/>
        <c:tickLblPos val="nextTo"/>
        <c:crossAx val="147332096"/>
        <c:crosses val="autoZero"/>
        <c:crossBetween val="midCat"/>
      </c:valAx>
      <c:valAx>
        <c:axId val="147336192"/>
        <c:scaling>
          <c:orientation val="minMax"/>
          <c:min val="0"/>
        </c:scaling>
        <c:delete val="0"/>
        <c:axPos val="r"/>
        <c:title>
          <c:tx>
            <c:rich>
              <a:bodyPr rot="-5400000" vert="horz"/>
              <a:lstStyle/>
              <a:p>
                <a:pPr>
                  <a:defRPr b="1"/>
                </a:pPr>
                <a:r>
                  <a:rPr lang="en-US" b="1"/>
                  <a:t>Charge [nAh]</a:t>
                </a:r>
              </a:p>
            </c:rich>
          </c:tx>
          <c:overlay val="0"/>
        </c:title>
        <c:numFmt formatCode="General" sourceLinked="1"/>
        <c:majorTickMark val="out"/>
        <c:minorTickMark val="none"/>
        <c:tickLblPos val="nextTo"/>
        <c:crossAx val="147338368"/>
        <c:crosses val="max"/>
        <c:crossBetween val="midCat"/>
      </c:valAx>
      <c:valAx>
        <c:axId val="147338368"/>
        <c:scaling>
          <c:orientation val="minMax"/>
        </c:scaling>
        <c:delete val="1"/>
        <c:axPos val="b"/>
        <c:numFmt formatCode="General" sourceLinked="1"/>
        <c:majorTickMark val="out"/>
        <c:minorTickMark val="none"/>
        <c:tickLblPos val="nextTo"/>
        <c:crossAx val="147336192"/>
        <c:crosses val="autoZero"/>
        <c:crossBetween val="midCat"/>
      </c:valAx>
    </c:plotArea>
    <c:legend>
      <c:legendPos val="r"/>
      <c:layout>
        <c:manualLayout>
          <c:xMode val="edge"/>
          <c:yMode val="edge"/>
          <c:x val="0.41206852414327522"/>
          <c:y val="0.66318330805257031"/>
          <c:w val="0.18775306058725169"/>
          <c:h val="0.20679860101080369"/>
        </c:manualLayout>
      </c:layout>
      <c:overlay val="1"/>
    </c:legend>
    <c:plotVisOnly val="1"/>
    <c:dispBlanksAs val="gap"/>
    <c:showDLblsOverMax val="0"/>
  </c:chart>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lrMapOvr bg1="lt1" tx1="dk1" bg2="lt2" tx2="dk2" accent1="accent1" accent2="accent2" accent3="accent3" accent4="accent4" accent5="accent5" accent6="accent6" hlink="hlink" folHlink="folHlink"/>
  <c:chart>
    <c:autoTitleDeleted val="1"/>
    <c:plotArea>
      <c:layout/>
      <c:scatterChart>
        <c:scatterStyle val="smoothMarker"/>
        <c:varyColors val="0"/>
        <c:ser>
          <c:idx val="0"/>
          <c:order val="0"/>
          <c:tx>
            <c:strRef>
              <c:f>'DataForDisplay - Peripheral'!$M$90</c:f>
              <c:strCache>
                <c:ptCount val="1"/>
                <c:pt idx="0">
                  <c:v>MAX32690 Current [mA]</c:v>
                </c:pt>
              </c:strCache>
            </c:strRef>
          </c:tx>
          <c:marker>
            <c:symbol val="none"/>
          </c:marker>
          <c:xVal>
            <c:numRef>
              <c:f>'DataForDisplay - Peripheral'!$L$92:$L$128</c:f>
              <c:numCache>
                <c:formatCode>General</c:formatCode>
                <c:ptCount val="37"/>
                <c:pt idx="0">
                  <c:v>-200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200</c:v>
                </c:pt>
                <c:pt idx="34">
                  <c:v>200</c:v>
                </c:pt>
                <c:pt idx="35">
                  <c:v>400</c:v>
                </c:pt>
                <c:pt idx="36">
                  <c:v>400</c:v>
                </c:pt>
              </c:numCache>
            </c:numRef>
          </c:xVal>
          <c:yVal>
            <c:numRef>
              <c:f>'DataForDisplay - Peripheral'!$M$92:$M$128</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smooth val="0"/>
          <c:extLst>
            <c:ext xmlns:c16="http://schemas.microsoft.com/office/drawing/2014/chart" uri="{C3380CC4-5D6E-409C-BE32-E72D297353CC}">
              <c16:uniqueId val="{00000000-D1E0-49DB-BDA8-594C18692FD3}"/>
            </c:ext>
          </c:extLst>
        </c:ser>
        <c:dLbls>
          <c:showLegendKey val="0"/>
          <c:showVal val="0"/>
          <c:showCatName val="0"/>
          <c:showSerName val="0"/>
          <c:showPercent val="0"/>
          <c:showBubbleSize val="0"/>
        </c:dLbls>
        <c:axId val="147381248"/>
        <c:axId val="148313216"/>
      </c:scatterChart>
      <c:scatterChart>
        <c:scatterStyle val="smoothMarker"/>
        <c:varyColors val="0"/>
        <c:ser>
          <c:idx val="1"/>
          <c:order val="1"/>
          <c:tx>
            <c:strRef>
              <c:f>'DataForDisplay - Peripheral'!$N$90</c:f>
              <c:strCache>
                <c:ptCount val="1"/>
                <c:pt idx="0">
                  <c:v>MAX32690 Charge [nAh]</c:v>
                </c:pt>
              </c:strCache>
            </c:strRef>
          </c:tx>
          <c:spPr>
            <a:ln>
              <a:solidFill>
                <a:schemeClr val="accent4"/>
              </a:solidFill>
            </a:ln>
          </c:spPr>
          <c:marker>
            <c:symbol val="none"/>
          </c:marker>
          <c:xVal>
            <c:numRef>
              <c:f>'DataForDisplay - Peripheral'!$L$92:$L$128</c:f>
              <c:numCache>
                <c:formatCode>General</c:formatCode>
                <c:ptCount val="37"/>
                <c:pt idx="0">
                  <c:v>-200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200</c:v>
                </c:pt>
                <c:pt idx="34">
                  <c:v>200</c:v>
                </c:pt>
                <c:pt idx="35">
                  <c:v>400</c:v>
                </c:pt>
                <c:pt idx="36">
                  <c:v>400</c:v>
                </c:pt>
              </c:numCache>
            </c:numRef>
          </c:xVal>
          <c:yVal>
            <c:numRef>
              <c:f>'DataForDisplay - Peripheral'!$N$92:$N$128</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smooth val="1"/>
          <c:extLst>
            <c:ext xmlns:c16="http://schemas.microsoft.com/office/drawing/2014/chart" uri="{C3380CC4-5D6E-409C-BE32-E72D297353CC}">
              <c16:uniqueId val="{00000001-D1E0-49DB-BDA8-594C18692FD3}"/>
            </c:ext>
          </c:extLst>
        </c:ser>
        <c:dLbls>
          <c:showLegendKey val="0"/>
          <c:showVal val="0"/>
          <c:showCatName val="0"/>
          <c:showSerName val="0"/>
          <c:showPercent val="0"/>
          <c:showBubbleSize val="0"/>
        </c:dLbls>
        <c:axId val="148317312"/>
        <c:axId val="148315136"/>
      </c:scatterChart>
      <c:valAx>
        <c:axId val="147381248"/>
        <c:scaling>
          <c:orientation val="minMax"/>
          <c:min val="-200"/>
        </c:scaling>
        <c:delete val="0"/>
        <c:axPos val="b"/>
        <c:title>
          <c:tx>
            <c:rich>
              <a:bodyPr/>
              <a:lstStyle/>
              <a:p>
                <a:pPr>
                  <a:defRPr/>
                </a:pPr>
                <a:r>
                  <a:rPr lang="en-US"/>
                  <a:t>Time [us]</a:t>
                </a:r>
              </a:p>
            </c:rich>
          </c:tx>
          <c:overlay val="0"/>
        </c:title>
        <c:numFmt formatCode="General" sourceLinked="1"/>
        <c:majorTickMark val="out"/>
        <c:minorTickMark val="none"/>
        <c:tickLblPos val="nextTo"/>
        <c:crossAx val="148313216"/>
        <c:crosses val="autoZero"/>
        <c:crossBetween val="midCat"/>
      </c:valAx>
      <c:valAx>
        <c:axId val="148313216"/>
        <c:scaling>
          <c:orientation val="minMax"/>
        </c:scaling>
        <c:delete val="0"/>
        <c:axPos val="l"/>
        <c:majorGridlines/>
        <c:title>
          <c:tx>
            <c:rich>
              <a:bodyPr rot="-5400000" vert="horz"/>
              <a:lstStyle/>
              <a:p>
                <a:pPr>
                  <a:defRPr/>
                </a:pPr>
                <a:r>
                  <a:rPr lang="en-US"/>
                  <a:t>Current [mA]</a:t>
                </a:r>
              </a:p>
            </c:rich>
          </c:tx>
          <c:overlay val="0"/>
        </c:title>
        <c:numFmt formatCode="General" sourceLinked="1"/>
        <c:majorTickMark val="out"/>
        <c:minorTickMark val="none"/>
        <c:tickLblPos val="nextTo"/>
        <c:crossAx val="147381248"/>
        <c:crosses val="autoZero"/>
        <c:crossBetween val="midCat"/>
      </c:valAx>
      <c:valAx>
        <c:axId val="148315136"/>
        <c:scaling>
          <c:orientation val="minMax"/>
          <c:min val="0"/>
        </c:scaling>
        <c:delete val="0"/>
        <c:axPos val="r"/>
        <c:title>
          <c:tx>
            <c:rich>
              <a:bodyPr rot="-5400000" vert="horz"/>
              <a:lstStyle/>
              <a:p>
                <a:pPr>
                  <a:defRPr/>
                </a:pPr>
                <a:r>
                  <a:rPr lang="en-US"/>
                  <a:t>Charge [nAh]</a:t>
                </a:r>
              </a:p>
            </c:rich>
          </c:tx>
          <c:overlay val="0"/>
        </c:title>
        <c:numFmt formatCode="General" sourceLinked="1"/>
        <c:majorTickMark val="out"/>
        <c:minorTickMark val="none"/>
        <c:tickLblPos val="nextTo"/>
        <c:crossAx val="148317312"/>
        <c:crosses val="max"/>
        <c:crossBetween val="midCat"/>
      </c:valAx>
      <c:valAx>
        <c:axId val="148317312"/>
        <c:scaling>
          <c:orientation val="minMax"/>
        </c:scaling>
        <c:delete val="1"/>
        <c:axPos val="b"/>
        <c:numFmt formatCode="General" sourceLinked="1"/>
        <c:majorTickMark val="out"/>
        <c:minorTickMark val="none"/>
        <c:tickLblPos val="nextTo"/>
        <c:crossAx val="148315136"/>
        <c:crosses val="autoZero"/>
        <c:crossBetween val="midCat"/>
      </c:valAx>
    </c:plotArea>
    <c:legend>
      <c:legendPos val="r"/>
      <c:layout>
        <c:manualLayout>
          <c:xMode val="edge"/>
          <c:yMode val="edge"/>
          <c:x val="0.36851279461572617"/>
          <c:y val="0.66013313175327937"/>
          <c:w val="0.18642227701514782"/>
          <c:h val="0.19294184124835961"/>
        </c:manualLayout>
      </c:layout>
      <c:overlay val="1"/>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cat>
            <c:strRef>
              <c:f>'BLE - Central'!$X$19:$X$23</c:f>
              <c:strCache>
                <c:ptCount val="5"/>
                <c:pt idx="0">
                  <c:v>Scanning</c:v>
                </c:pt>
                <c:pt idx="1">
                  <c:v>Connected as Central</c:v>
                </c:pt>
                <c:pt idx="2">
                  <c:v>None</c:v>
                </c:pt>
                <c:pt idx="3">
                  <c:v>Custom Application</c:v>
                </c:pt>
                <c:pt idx="4">
                  <c:v>Shutdown</c:v>
                </c:pt>
              </c:strCache>
            </c:strRef>
          </c:cat>
          <c:val>
            <c:numRef>
              <c:f>'BLE - Central'!$AC$19:$AC$23</c:f>
              <c:numCache>
                <c:formatCode>0%</c:formatCode>
                <c:ptCount val="5"/>
                <c:pt idx="0">
                  <c:v>2.0833333333333332E-2</c:v>
                </c:pt>
                <c:pt idx="1">
                  <c:v>8.3333333333333329E-2</c:v>
                </c:pt>
                <c:pt idx="2">
                  <c:v>0</c:v>
                </c:pt>
                <c:pt idx="3">
                  <c:v>4.1666666666666664E-2</c:v>
                </c:pt>
                <c:pt idx="4">
                  <c:v>0.85416666666666674</c:v>
                </c:pt>
              </c:numCache>
            </c:numRef>
          </c:val>
          <c:extLst>
            <c:ext xmlns:c16="http://schemas.microsoft.com/office/drawing/2014/chart" uri="{C3380CC4-5D6E-409C-BE32-E72D297353CC}">
              <c16:uniqueId val="{00000000-DD43-4B41-BE38-4C885A21297D}"/>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53861342771577903"/>
          <c:y val="5.5106410995791201E-2"/>
          <c:w val="0.398649363197216"/>
          <c:h val="0.90767279386113298"/>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scatterChart>
        <c:scatterStyle val="smoothMarker"/>
        <c:varyColors val="0"/>
        <c:ser>
          <c:idx val="0"/>
          <c:order val="0"/>
          <c:tx>
            <c:strRef>
              <c:f>'DataForDisplay - Central'!$M$4</c:f>
              <c:strCache>
                <c:ptCount val="1"/>
                <c:pt idx="0">
                  <c:v>CC2640R2 Current [mA]</c:v>
                </c:pt>
              </c:strCache>
            </c:strRef>
          </c:tx>
          <c:marker>
            <c:symbol val="none"/>
          </c:marker>
          <c:xVal>
            <c:numRef>
              <c:f>'DataForDisplay - Central'!$L$6:$L$37</c:f>
              <c:numCache>
                <c:formatCode>General</c:formatCode>
                <c:ptCount val="32"/>
                <c:pt idx="0">
                  <c:v>-200</c:v>
                </c:pt>
                <c:pt idx="1">
                  <c:v>0</c:v>
                </c:pt>
                <c:pt idx="2">
                  <c:v>0</c:v>
                </c:pt>
                <c:pt idx="3">
                  <c:v>1755.2</c:v>
                </c:pt>
                <c:pt idx="4">
                  <c:v>1755.2</c:v>
                </c:pt>
                <c:pt idx="5">
                  <c:v>501755.2</c:v>
                </c:pt>
                <c:pt idx="6">
                  <c:v>501755.2</c:v>
                </c:pt>
                <c:pt idx="7">
                  <c:v>502609.2</c:v>
                </c:pt>
                <c:pt idx="8">
                  <c:v>502609.2</c:v>
                </c:pt>
                <c:pt idx="9">
                  <c:v>1280000</c:v>
                </c:pt>
                <c:pt idx="10">
                  <c:v>1280000</c:v>
                </c:pt>
                <c:pt idx="11">
                  <c:v>1280000</c:v>
                </c:pt>
                <c:pt idx="12">
                  <c:v>1280000</c:v>
                </c:pt>
                <c:pt idx="13">
                  <c:v>1280000</c:v>
                </c:pt>
                <c:pt idx="14">
                  <c:v>1280000</c:v>
                </c:pt>
                <c:pt idx="15">
                  <c:v>1280000</c:v>
                </c:pt>
                <c:pt idx="16">
                  <c:v>1280000</c:v>
                </c:pt>
                <c:pt idx="17">
                  <c:v>1280000</c:v>
                </c:pt>
                <c:pt idx="18">
                  <c:v>1280000</c:v>
                </c:pt>
                <c:pt idx="19">
                  <c:v>1280000</c:v>
                </c:pt>
                <c:pt idx="20">
                  <c:v>1280000</c:v>
                </c:pt>
                <c:pt idx="21">
                  <c:v>1280000</c:v>
                </c:pt>
                <c:pt idx="22">
                  <c:v>1280000</c:v>
                </c:pt>
                <c:pt idx="23">
                  <c:v>1280000</c:v>
                </c:pt>
                <c:pt idx="24">
                  <c:v>1280000</c:v>
                </c:pt>
                <c:pt idx="25">
                  <c:v>1280000</c:v>
                </c:pt>
                <c:pt idx="26">
                  <c:v>1280000</c:v>
                </c:pt>
                <c:pt idx="27">
                  <c:v>1280000</c:v>
                </c:pt>
                <c:pt idx="28">
                  <c:v>1280000</c:v>
                </c:pt>
                <c:pt idx="29">
                  <c:v>1280000</c:v>
                </c:pt>
                <c:pt idx="30">
                  <c:v>1280000</c:v>
                </c:pt>
                <c:pt idx="31">
                  <c:v>1280200</c:v>
                </c:pt>
              </c:numCache>
            </c:numRef>
          </c:xVal>
          <c:yVal>
            <c:numRef>
              <c:f>'DataForDisplay - Central'!$M$6:$M$37</c:f>
              <c:numCache>
                <c:formatCode>General</c:formatCode>
                <c:ptCount val="32"/>
                <c:pt idx="0">
                  <c:v>0</c:v>
                </c:pt>
                <c:pt idx="1">
                  <c:v>0</c:v>
                </c:pt>
                <c:pt idx="2">
                  <c:v>3.1791999999999998</c:v>
                </c:pt>
                <c:pt idx="3">
                  <c:v>3.1791999999999998</c:v>
                </c:pt>
                <c:pt idx="4">
                  <c:v>6.4947999999999997</c:v>
                </c:pt>
                <c:pt idx="5">
                  <c:v>6.4947999999999997</c:v>
                </c:pt>
                <c:pt idx="6">
                  <c:v>2.8071000000000002</c:v>
                </c:pt>
                <c:pt idx="7">
                  <c:v>2.8071000000000002</c:v>
                </c:pt>
                <c:pt idx="8">
                  <c:v>1.2999999999999999E-3</c:v>
                </c:pt>
                <c:pt idx="9">
                  <c:v>1.2999999999999999E-3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0"/>
          <c:extLst>
            <c:ext xmlns:c16="http://schemas.microsoft.com/office/drawing/2014/chart" uri="{C3380CC4-5D6E-409C-BE32-E72D297353CC}">
              <c16:uniqueId val="{00000000-0A79-4D85-8512-3B681A3E75EC}"/>
            </c:ext>
          </c:extLst>
        </c:ser>
        <c:dLbls>
          <c:showLegendKey val="0"/>
          <c:showVal val="0"/>
          <c:showCatName val="0"/>
          <c:showSerName val="0"/>
          <c:showPercent val="0"/>
          <c:showBubbleSize val="0"/>
        </c:dLbls>
        <c:axId val="147777408"/>
        <c:axId val="147779584"/>
      </c:scatterChart>
      <c:scatterChart>
        <c:scatterStyle val="smoothMarker"/>
        <c:varyColors val="0"/>
        <c:ser>
          <c:idx val="1"/>
          <c:order val="1"/>
          <c:tx>
            <c:strRef>
              <c:f>'DataForDisplay - Central'!$N$4</c:f>
              <c:strCache>
                <c:ptCount val="1"/>
                <c:pt idx="0">
                  <c:v>CC2640R2 Energy [pAh]</c:v>
                </c:pt>
              </c:strCache>
            </c:strRef>
          </c:tx>
          <c:spPr>
            <a:ln>
              <a:solidFill>
                <a:schemeClr val="accent4"/>
              </a:solidFill>
            </a:ln>
          </c:spPr>
          <c:marker>
            <c:symbol val="none"/>
          </c:marker>
          <c:xVal>
            <c:numRef>
              <c:f>'DataForDisplay - Central'!$L$8:$L$37</c:f>
              <c:numCache>
                <c:formatCode>General</c:formatCode>
                <c:ptCount val="30"/>
                <c:pt idx="0">
                  <c:v>0</c:v>
                </c:pt>
                <c:pt idx="1">
                  <c:v>1755.2</c:v>
                </c:pt>
                <c:pt idx="2">
                  <c:v>1755.2</c:v>
                </c:pt>
                <c:pt idx="3">
                  <c:v>501755.2</c:v>
                </c:pt>
                <c:pt idx="4">
                  <c:v>501755.2</c:v>
                </c:pt>
                <c:pt idx="5">
                  <c:v>502609.2</c:v>
                </c:pt>
                <c:pt idx="6">
                  <c:v>502609.2</c:v>
                </c:pt>
                <c:pt idx="7">
                  <c:v>1280000</c:v>
                </c:pt>
                <c:pt idx="8">
                  <c:v>1280000</c:v>
                </c:pt>
                <c:pt idx="9">
                  <c:v>1280000</c:v>
                </c:pt>
                <c:pt idx="10">
                  <c:v>1280000</c:v>
                </c:pt>
                <c:pt idx="11">
                  <c:v>1280000</c:v>
                </c:pt>
                <c:pt idx="12">
                  <c:v>1280000</c:v>
                </c:pt>
                <c:pt idx="13">
                  <c:v>1280000</c:v>
                </c:pt>
                <c:pt idx="14">
                  <c:v>1280000</c:v>
                </c:pt>
                <c:pt idx="15">
                  <c:v>1280000</c:v>
                </c:pt>
                <c:pt idx="16">
                  <c:v>1280000</c:v>
                </c:pt>
                <c:pt idx="17">
                  <c:v>1280000</c:v>
                </c:pt>
                <c:pt idx="18">
                  <c:v>1280000</c:v>
                </c:pt>
                <c:pt idx="19">
                  <c:v>1280000</c:v>
                </c:pt>
                <c:pt idx="20">
                  <c:v>1280000</c:v>
                </c:pt>
                <c:pt idx="21">
                  <c:v>1280000</c:v>
                </c:pt>
                <c:pt idx="22">
                  <c:v>1280000</c:v>
                </c:pt>
                <c:pt idx="23">
                  <c:v>1280000</c:v>
                </c:pt>
                <c:pt idx="24">
                  <c:v>1280000</c:v>
                </c:pt>
                <c:pt idx="25">
                  <c:v>1280000</c:v>
                </c:pt>
                <c:pt idx="26">
                  <c:v>1280000</c:v>
                </c:pt>
                <c:pt idx="27">
                  <c:v>1280000</c:v>
                </c:pt>
                <c:pt idx="28">
                  <c:v>1280000</c:v>
                </c:pt>
                <c:pt idx="29">
                  <c:v>1280200</c:v>
                </c:pt>
              </c:numCache>
            </c:numRef>
          </c:xVal>
          <c:yVal>
            <c:numRef>
              <c:f>'DataForDisplay - Central'!$N$8:$N$37</c:f>
              <c:numCache>
                <c:formatCode>General</c:formatCode>
                <c:ptCount val="30"/>
                <c:pt idx="0">
                  <c:v>0</c:v>
                </c:pt>
                <c:pt idx="1">
                  <c:v>5580.13184</c:v>
                </c:pt>
                <c:pt idx="2">
                  <c:v>5580.13184</c:v>
                </c:pt>
                <c:pt idx="3">
                  <c:v>3252980.1318399999</c:v>
                </c:pt>
                <c:pt idx="4">
                  <c:v>3252980.1318399999</c:v>
                </c:pt>
                <c:pt idx="5">
                  <c:v>3255377.39524</c:v>
                </c:pt>
                <c:pt idx="6">
                  <c:v>3255377.39524</c:v>
                </c:pt>
                <c:pt idx="7">
                  <c:v>3256388.0032799998</c:v>
                </c:pt>
                <c:pt idx="8">
                  <c:v>3256388.0032799998</c:v>
                </c:pt>
                <c:pt idx="9">
                  <c:v>3256388.0032799998</c:v>
                </c:pt>
                <c:pt idx="10">
                  <c:v>3256388.0032799998</c:v>
                </c:pt>
                <c:pt idx="11">
                  <c:v>3256388.0032799998</c:v>
                </c:pt>
                <c:pt idx="12">
                  <c:v>3256388.0032799998</c:v>
                </c:pt>
                <c:pt idx="13">
                  <c:v>3256388.0032799998</c:v>
                </c:pt>
                <c:pt idx="14">
                  <c:v>3256388.0032799998</c:v>
                </c:pt>
                <c:pt idx="15">
                  <c:v>3256388.0032799998</c:v>
                </c:pt>
                <c:pt idx="16">
                  <c:v>3256388.0032799998</c:v>
                </c:pt>
                <c:pt idx="17">
                  <c:v>3256388.0032799998</c:v>
                </c:pt>
                <c:pt idx="18">
                  <c:v>3256388.0032799998</c:v>
                </c:pt>
                <c:pt idx="19">
                  <c:v>3256388.0032799998</c:v>
                </c:pt>
                <c:pt idx="20">
                  <c:v>3256388.0032799998</c:v>
                </c:pt>
                <c:pt idx="21">
                  <c:v>3256388.0032799998</c:v>
                </c:pt>
                <c:pt idx="22">
                  <c:v>3256388.0032799998</c:v>
                </c:pt>
                <c:pt idx="23">
                  <c:v>3256388.0032799998</c:v>
                </c:pt>
                <c:pt idx="24">
                  <c:v>3256388.0032799998</c:v>
                </c:pt>
                <c:pt idx="25">
                  <c:v>3256388.0032799998</c:v>
                </c:pt>
                <c:pt idx="26">
                  <c:v>3256388.0032799998</c:v>
                </c:pt>
                <c:pt idx="27">
                  <c:v>3256388.0032799998</c:v>
                </c:pt>
                <c:pt idx="28">
                  <c:v>3256388.0032799998</c:v>
                </c:pt>
                <c:pt idx="29">
                  <c:v>3256388.0032799998</c:v>
                </c:pt>
              </c:numCache>
            </c:numRef>
          </c:yVal>
          <c:smooth val="1"/>
          <c:extLst>
            <c:ext xmlns:c16="http://schemas.microsoft.com/office/drawing/2014/chart" uri="{C3380CC4-5D6E-409C-BE32-E72D297353CC}">
              <c16:uniqueId val="{00000001-0A79-4D85-8512-3B681A3E75EC}"/>
            </c:ext>
          </c:extLst>
        </c:ser>
        <c:dLbls>
          <c:showLegendKey val="0"/>
          <c:showVal val="0"/>
          <c:showCatName val="0"/>
          <c:showSerName val="0"/>
          <c:showPercent val="0"/>
          <c:showBubbleSize val="0"/>
        </c:dLbls>
        <c:axId val="147849216"/>
        <c:axId val="147781504"/>
      </c:scatterChart>
      <c:valAx>
        <c:axId val="147777408"/>
        <c:scaling>
          <c:orientation val="minMax"/>
          <c:min val="-200"/>
        </c:scaling>
        <c:delete val="0"/>
        <c:axPos val="b"/>
        <c:title>
          <c:tx>
            <c:rich>
              <a:bodyPr/>
              <a:lstStyle/>
              <a:p>
                <a:pPr>
                  <a:defRPr/>
                </a:pPr>
                <a:r>
                  <a:rPr lang="en-US"/>
                  <a:t>Time [us]</a:t>
                </a:r>
              </a:p>
            </c:rich>
          </c:tx>
          <c:overlay val="0"/>
        </c:title>
        <c:numFmt formatCode="General" sourceLinked="1"/>
        <c:majorTickMark val="out"/>
        <c:minorTickMark val="none"/>
        <c:tickLblPos val="nextTo"/>
        <c:crossAx val="147779584"/>
        <c:crosses val="autoZero"/>
        <c:crossBetween val="midCat"/>
      </c:valAx>
      <c:valAx>
        <c:axId val="147779584"/>
        <c:scaling>
          <c:orientation val="minMax"/>
        </c:scaling>
        <c:delete val="0"/>
        <c:axPos val="l"/>
        <c:majorGridlines/>
        <c:title>
          <c:tx>
            <c:rich>
              <a:bodyPr rot="-5400000" vert="horz"/>
              <a:lstStyle/>
              <a:p>
                <a:pPr>
                  <a:defRPr/>
                </a:pPr>
                <a:r>
                  <a:rPr lang="en-US"/>
                  <a:t>Current [mA]</a:t>
                </a:r>
              </a:p>
            </c:rich>
          </c:tx>
          <c:overlay val="0"/>
        </c:title>
        <c:numFmt formatCode="General" sourceLinked="1"/>
        <c:majorTickMark val="out"/>
        <c:minorTickMark val="none"/>
        <c:tickLblPos val="nextTo"/>
        <c:txPr>
          <a:bodyPr rot="0" vert="horz" anchor="ctr" anchorCtr="0"/>
          <a:lstStyle/>
          <a:p>
            <a:pPr>
              <a:defRPr/>
            </a:pPr>
            <a:endParaRPr lang="en-US"/>
          </a:p>
        </c:txPr>
        <c:crossAx val="147777408"/>
        <c:crosses val="autoZero"/>
        <c:crossBetween val="midCat"/>
      </c:valAx>
      <c:valAx>
        <c:axId val="147781504"/>
        <c:scaling>
          <c:orientation val="minMax"/>
        </c:scaling>
        <c:delete val="0"/>
        <c:axPos val="r"/>
        <c:title>
          <c:tx>
            <c:rich>
              <a:bodyPr rot="-5400000" vert="horz"/>
              <a:lstStyle/>
              <a:p>
                <a:pPr>
                  <a:defRPr/>
                </a:pPr>
                <a:r>
                  <a:rPr lang="en-US"/>
                  <a:t>Energy [pAh]</a:t>
                </a:r>
              </a:p>
            </c:rich>
          </c:tx>
          <c:overlay val="0"/>
        </c:title>
        <c:numFmt formatCode="General" sourceLinked="1"/>
        <c:majorTickMark val="out"/>
        <c:minorTickMark val="none"/>
        <c:tickLblPos val="nextTo"/>
        <c:crossAx val="147849216"/>
        <c:crosses val="max"/>
        <c:crossBetween val="midCat"/>
      </c:valAx>
      <c:valAx>
        <c:axId val="147849216"/>
        <c:scaling>
          <c:orientation val="minMax"/>
        </c:scaling>
        <c:delete val="1"/>
        <c:axPos val="b"/>
        <c:numFmt formatCode="General" sourceLinked="1"/>
        <c:majorTickMark val="out"/>
        <c:minorTickMark val="none"/>
        <c:tickLblPos val="nextTo"/>
        <c:crossAx val="147781504"/>
        <c:crosses val="autoZero"/>
        <c:crossBetween val="midCat"/>
      </c:valAx>
    </c:plotArea>
    <c:legend>
      <c:legendPos val="r"/>
      <c:layout>
        <c:manualLayout>
          <c:xMode val="edge"/>
          <c:yMode val="edge"/>
          <c:x val="0.68948141403115881"/>
          <c:y val="0.34458670419102055"/>
          <c:w val="0.18281987135651917"/>
          <c:h val="0.20976070774856836"/>
        </c:manualLayout>
      </c:layout>
      <c:overlay val="1"/>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9.220939212771416E-2"/>
          <c:y val="3.0813776016880786E-2"/>
          <c:w val="0.78635314018568681"/>
          <c:h val="0.82504820731704098"/>
        </c:manualLayout>
      </c:layout>
      <c:scatterChart>
        <c:scatterStyle val="smoothMarker"/>
        <c:varyColors val="0"/>
        <c:ser>
          <c:idx val="0"/>
          <c:order val="0"/>
          <c:tx>
            <c:strRef>
              <c:f>'DataForDisplay - Central'!$M$41</c:f>
              <c:strCache>
                <c:ptCount val="1"/>
                <c:pt idx="0">
                  <c:v>CC2640R2 Current [mA]</c:v>
                </c:pt>
              </c:strCache>
            </c:strRef>
          </c:tx>
          <c:marker>
            <c:symbol val="none"/>
          </c:marker>
          <c:xVal>
            <c:numRef>
              <c:f>'DataForDisplay - Central'!$L$43:$L$74</c:f>
              <c:numCache>
                <c:formatCode>General</c:formatCode>
                <c:ptCount val="32"/>
                <c:pt idx="0">
                  <c:v>-200</c:v>
                </c:pt>
                <c:pt idx="1">
                  <c:v>0</c:v>
                </c:pt>
                <c:pt idx="2">
                  <c:v>0</c:v>
                </c:pt>
                <c:pt idx="3">
                  <c:v>1283.8888888888889</c:v>
                </c:pt>
                <c:pt idx="4">
                  <c:v>1283.8888888888889</c:v>
                </c:pt>
                <c:pt idx="5">
                  <c:v>1678.1111111111111</c:v>
                </c:pt>
                <c:pt idx="6">
                  <c:v>1678.1111111111111</c:v>
                </c:pt>
                <c:pt idx="7">
                  <c:v>1762.5011111111112</c:v>
                </c:pt>
                <c:pt idx="8">
                  <c:v>1762.5011111111112</c:v>
                </c:pt>
                <c:pt idx="9">
                  <c:v>1871.7233333333334</c:v>
                </c:pt>
                <c:pt idx="10">
                  <c:v>1871.7233333333334</c:v>
                </c:pt>
                <c:pt idx="11">
                  <c:v>2333.0566666666668</c:v>
                </c:pt>
                <c:pt idx="12">
                  <c:v>2333.0566666666668</c:v>
                </c:pt>
                <c:pt idx="13">
                  <c:v>3186.5011111111112</c:v>
                </c:pt>
                <c:pt idx="14">
                  <c:v>3186.5011111111112</c:v>
                </c:pt>
                <c:pt idx="15">
                  <c:v>3186.5011111111112</c:v>
                </c:pt>
                <c:pt idx="16">
                  <c:v>3186.5011111111112</c:v>
                </c:pt>
                <c:pt idx="17">
                  <c:v>3186.5011111111112</c:v>
                </c:pt>
                <c:pt idx="18">
                  <c:v>3186.5011111111112</c:v>
                </c:pt>
                <c:pt idx="19">
                  <c:v>3186.5011111111112</c:v>
                </c:pt>
                <c:pt idx="20">
                  <c:v>3186.5011111111112</c:v>
                </c:pt>
                <c:pt idx="21">
                  <c:v>3186.5011111111112</c:v>
                </c:pt>
                <c:pt idx="22">
                  <c:v>3186.5011111111112</c:v>
                </c:pt>
                <c:pt idx="23">
                  <c:v>3186.5011111111112</c:v>
                </c:pt>
                <c:pt idx="24">
                  <c:v>3186.5011111111112</c:v>
                </c:pt>
                <c:pt idx="25">
                  <c:v>3186.5011111111112</c:v>
                </c:pt>
                <c:pt idx="26">
                  <c:v>3186.5011111111112</c:v>
                </c:pt>
                <c:pt idx="27">
                  <c:v>3186.5011111111112</c:v>
                </c:pt>
                <c:pt idx="28">
                  <c:v>3186.5011111111112</c:v>
                </c:pt>
                <c:pt idx="29">
                  <c:v>3186.5011111111112</c:v>
                </c:pt>
                <c:pt idx="30">
                  <c:v>3186.5011111111112</c:v>
                </c:pt>
                <c:pt idx="31">
                  <c:v>3386.5011111111112</c:v>
                </c:pt>
              </c:numCache>
            </c:numRef>
          </c:xVal>
          <c:yVal>
            <c:numRef>
              <c:f>'DataForDisplay - Central'!$M$43:$M$74</c:f>
              <c:numCache>
                <c:formatCode>General</c:formatCode>
                <c:ptCount val="32"/>
                <c:pt idx="0">
                  <c:v>0</c:v>
                </c:pt>
                <c:pt idx="1">
                  <c:v>0</c:v>
                </c:pt>
                <c:pt idx="2">
                  <c:v>3.1012666666666662</c:v>
                </c:pt>
                <c:pt idx="3">
                  <c:v>3.1012666666666662</c:v>
                </c:pt>
                <c:pt idx="4">
                  <c:v>3.5755222222222218</c:v>
                </c:pt>
                <c:pt idx="5">
                  <c:v>3.5755222222222218</c:v>
                </c:pt>
                <c:pt idx="6">
                  <c:v>7.3402000000000003</c:v>
                </c:pt>
                <c:pt idx="7">
                  <c:v>7.3402000000000003</c:v>
                </c:pt>
                <c:pt idx="8">
                  <c:v>5.2093222222222222</c:v>
                </c:pt>
                <c:pt idx="9">
                  <c:v>5.2093222222222222</c:v>
                </c:pt>
                <c:pt idx="10">
                  <c:v>6.6890999999999998</c:v>
                </c:pt>
                <c:pt idx="11">
                  <c:v>6.6890999999999998</c:v>
                </c:pt>
                <c:pt idx="12">
                  <c:v>2.6242222222222225</c:v>
                </c:pt>
                <c:pt idx="13">
                  <c:v>2.6242222222222225</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0"/>
          <c:extLst>
            <c:ext xmlns:c16="http://schemas.microsoft.com/office/drawing/2014/chart" uri="{C3380CC4-5D6E-409C-BE32-E72D297353CC}">
              <c16:uniqueId val="{00000000-70BB-42C5-AF0D-6A464458D354}"/>
            </c:ext>
          </c:extLst>
        </c:ser>
        <c:dLbls>
          <c:showLegendKey val="0"/>
          <c:showVal val="0"/>
          <c:showCatName val="0"/>
          <c:showSerName val="0"/>
          <c:showPercent val="0"/>
          <c:showBubbleSize val="0"/>
        </c:dLbls>
        <c:axId val="147875328"/>
        <c:axId val="147877248"/>
      </c:scatterChart>
      <c:scatterChart>
        <c:scatterStyle val="smoothMarker"/>
        <c:varyColors val="0"/>
        <c:ser>
          <c:idx val="1"/>
          <c:order val="1"/>
          <c:tx>
            <c:strRef>
              <c:f>'DataForDisplay - Central'!$N$41</c:f>
              <c:strCache>
                <c:ptCount val="1"/>
                <c:pt idx="0">
                  <c:v>CC2640R2 Energy [pAh]</c:v>
                </c:pt>
              </c:strCache>
            </c:strRef>
          </c:tx>
          <c:spPr>
            <a:ln>
              <a:solidFill>
                <a:schemeClr val="accent4"/>
              </a:solidFill>
            </a:ln>
          </c:spPr>
          <c:marker>
            <c:symbol val="none"/>
          </c:marker>
          <c:xVal>
            <c:numRef>
              <c:f>'DataForDisplay - Central'!$L$43:$L$74</c:f>
              <c:numCache>
                <c:formatCode>General</c:formatCode>
                <c:ptCount val="32"/>
                <c:pt idx="0">
                  <c:v>-200</c:v>
                </c:pt>
                <c:pt idx="1">
                  <c:v>0</c:v>
                </c:pt>
                <c:pt idx="2">
                  <c:v>0</c:v>
                </c:pt>
                <c:pt idx="3">
                  <c:v>1283.8888888888889</c:v>
                </c:pt>
                <c:pt idx="4">
                  <c:v>1283.8888888888889</c:v>
                </c:pt>
                <c:pt idx="5">
                  <c:v>1678.1111111111111</c:v>
                </c:pt>
                <c:pt idx="6">
                  <c:v>1678.1111111111111</c:v>
                </c:pt>
                <c:pt idx="7">
                  <c:v>1762.5011111111112</c:v>
                </c:pt>
                <c:pt idx="8">
                  <c:v>1762.5011111111112</c:v>
                </c:pt>
                <c:pt idx="9">
                  <c:v>1871.7233333333334</c:v>
                </c:pt>
                <c:pt idx="10">
                  <c:v>1871.7233333333334</c:v>
                </c:pt>
                <c:pt idx="11">
                  <c:v>2333.0566666666668</c:v>
                </c:pt>
                <c:pt idx="12">
                  <c:v>2333.0566666666668</c:v>
                </c:pt>
                <c:pt idx="13">
                  <c:v>3186.5011111111112</c:v>
                </c:pt>
                <c:pt idx="14">
                  <c:v>3186.5011111111112</c:v>
                </c:pt>
                <c:pt idx="15">
                  <c:v>3186.5011111111112</c:v>
                </c:pt>
                <c:pt idx="16">
                  <c:v>3186.5011111111112</c:v>
                </c:pt>
                <c:pt idx="17">
                  <c:v>3186.5011111111112</c:v>
                </c:pt>
                <c:pt idx="18">
                  <c:v>3186.5011111111112</c:v>
                </c:pt>
                <c:pt idx="19">
                  <c:v>3186.5011111111112</c:v>
                </c:pt>
                <c:pt idx="20">
                  <c:v>3186.5011111111112</c:v>
                </c:pt>
                <c:pt idx="21">
                  <c:v>3186.5011111111112</c:v>
                </c:pt>
                <c:pt idx="22">
                  <c:v>3186.5011111111112</c:v>
                </c:pt>
                <c:pt idx="23">
                  <c:v>3186.5011111111112</c:v>
                </c:pt>
                <c:pt idx="24">
                  <c:v>3186.5011111111112</c:v>
                </c:pt>
                <c:pt idx="25">
                  <c:v>3186.5011111111112</c:v>
                </c:pt>
                <c:pt idx="26">
                  <c:v>3186.5011111111112</c:v>
                </c:pt>
                <c:pt idx="27">
                  <c:v>3186.5011111111112</c:v>
                </c:pt>
                <c:pt idx="28">
                  <c:v>3186.5011111111112</c:v>
                </c:pt>
                <c:pt idx="29">
                  <c:v>3186.5011111111112</c:v>
                </c:pt>
                <c:pt idx="30">
                  <c:v>3186.5011111111112</c:v>
                </c:pt>
                <c:pt idx="31">
                  <c:v>3386.5011111111112</c:v>
                </c:pt>
              </c:numCache>
            </c:numRef>
          </c:xVal>
          <c:yVal>
            <c:numRef>
              <c:f>'DataForDisplay - Central'!$N$43:$N$74</c:f>
              <c:numCache>
                <c:formatCode>General</c:formatCode>
                <c:ptCount val="32"/>
                <c:pt idx="0">
                  <c:v>0</c:v>
                </c:pt>
                <c:pt idx="1">
                  <c:v>0</c:v>
                </c:pt>
                <c:pt idx="2">
                  <c:v>0</c:v>
                </c:pt>
                <c:pt idx="3">
                  <c:v>3981.6818148148141</c:v>
                </c:pt>
                <c:pt idx="4">
                  <c:v>3981.6818148148141</c:v>
                </c:pt>
                <c:pt idx="5">
                  <c:v>5391.2321308641967</c:v>
                </c:pt>
                <c:pt idx="6">
                  <c:v>5391.2321308641967</c:v>
                </c:pt>
                <c:pt idx="7">
                  <c:v>6010.671608864197</c:v>
                </c:pt>
                <c:pt idx="8">
                  <c:v>6010.671608864197</c:v>
                </c:pt>
                <c:pt idx="9">
                  <c:v>6579.645358246913</c:v>
                </c:pt>
                <c:pt idx="10">
                  <c:v>6579.645358246913</c:v>
                </c:pt>
                <c:pt idx="11">
                  <c:v>9665.5501582469133</c:v>
                </c:pt>
                <c:pt idx="12">
                  <c:v>9665.5501582469133</c:v>
                </c:pt>
                <c:pt idx="13">
                  <c:v>11905.178034790124</c:v>
                </c:pt>
                <c:pt idx="14">
                  <c:v>11905.178034790124</c:v>
                </c:pt>
                <c:pt idx="15">
                  <c:v>11905.178034790124</c:v>
                </c:pt>
                <c:pt idx="16">
                  <c:v>11905.178034790124</c:v>
                </c:pt>
                <c:pt idx="17">
                  <c:v>11905.178034790124</c:v>
                </c:pt>
                <c:pt idx="18">
                  <c:v>11905.178034790124</c:v>
                </c:pt>
                <c:pt idx="19">
                  <c:v>11905.178034790124</c:v>
                </c:pt>
                <c:pt idx="20">
                  <c:v>11905.178034790124</c:v>
                </c:pt>
                <c:pt idx="21">
                  <c:v>11905.178034790124</c:v>
                </c:pt>
                <c:pt idx="22">
                  <c:v>11905.178034790124</c:v>
                </c:pt>
                <c:pt idx="23">
                  <c:v>11905.178034790124</c:v>
                </c:pt>
                <c:pt idx="24">
                  <c:v>11905.178034790124</c:v>
                </c:pt>
                <c:pt idx="25">
                  <c:v>11905.178034790124</c:v>
                </c:pt>
                <c:pt idx="26">
                  <c:v>11905.178034790124</c:v>
                </c:pt>
                <c:pt idx="27">
                  <c:v>11905.178034790124</c:v>
                </c:pt>
                <c:pt idx="28">
                  <c:v>11905.178034790124</c:v>
                </c:pt>
                <c:pt idx="29">
                  <c:v>11905.178034790124</c:v>
                </c:pt>
                <c:pt idx="30">
                  <c:v>11905.178034790124</c:v>
                </c:pt>
                <c:pt idx="31">
                  <c:v>11905.178034790124</c:v>
                </c:pt>
              </c:numCache>
            </c:numRef>
          </c:yVal>
          <c:smooth val="1"/>
          <c:extLst>
            <c:ext xmlns:c16="http://schemas.microsoft.com/office/drawing/2014/chart" uri="{C3380CC4-5D6E-409C-BE32-E72D297353CC}">
              <c16:uniqueId val="{00000001-70BB-42C5-AF0D-6A464458D354}"/>
            </c:ext>
          </c:extLst>
        </c:ser>
        <c:dLbls>
          <c:showLegendKey val="0"/>
          <c:showVal val="0"/>
          <c:showCatName val="0"/>
          <c:showSerName val="0"/>
          <c:showPercent val="0"/>
          <c:showBubbleSize val="0"/>
        </c:dLbls>
        <c:axId val="147889536"/>
        <c:axId val="147887616"/>
      </c:scatterChart>
      <c:valAx>
        <c:axId val="147875328"/>
        <c:scaling>
          <c:orientation val="minMax"/>
          <c:min val="-200"/>
        </c:scaling>
        <c:delete val="0"/>
        <c:axPos val="b"/>
        <c:title>
          <c:tx>
            <c:rich>
              <a:bodyPr/>
              <a:lstStyle/>
              <a:p>
                <a:pPr>
                  <a:defRPr/>
                </a:pPr>
                <a:r>
                  <a:rPr lang="en-US"/>
                  <a:t>Time [us]</a:t>
                </a:r>
              </a:p>
            </c:rich>
          </c:tx>
          <c:overlay val="0"/>
        </c:title>
        <c:numFmt formatCode="General" sourceLinked="1"/>
        <c:majorTickMark val="out"/>
        <c:minorTickMark val="none"/>
        <c:tickLblPos val="nextTo"/>
        <c:crossAx val="147877248"/>
        <c:crosses val="autoZero"/>
        <c:crossBetween val="midCat"/>
      </c:valAx>
      <c:valAx>
        <c:axId val="147877248"/>
        <c:scaling>
          <c:orientation val="minMax"/>
        </c:scaling>
        <c:delete val="0"/>
        <c:axPos val="l"/>
        <c:majorGridlines/>
        <c:title>
          <c:tx>
            <c:rich>
              <a:bodyPr rot="-5400000" vert="horz"/>
              <a:lstStyle/>
              <a:p>
                <a:pPr>
                  <a:defRPr b="1"/>
                </a:pPr>
                <a:r>
                  <a:rPr lang="en-US" b="1"/>
                  <a:t>Current [mA]</a:t>
                </a:r>
              </a:p>
            </c:rich>
          </c:tx>
          <c:overlay val="0"/>
        </c:title>
        <c:numFmt formatCode="General" sourceLinked="1"/>
        <c:majorTickMark val="out"/>
        <c:minorTickMark val="none"/>
        <c:tickLblPos val="nextTo"/>
        <c:crossAx val="147875328"/>
        <c:crosses val="autoZero"/>
        <c:crossBetween val="midCat"/>
      </c:valAx>
      <c:valAx>
        <c:axId val="147887616"/>
        <c:scaling>
          <c:orientation val="minMax"/>
          <c:min val="0"/>
        </c:scaling>
        <c:delete val="0"/>
        <c:axPos val="r"/>
        <c:title>
          <c:tx>
            <c:rich>
              <a:bodyPr rot="-5400000" vert="horz"/>
              <a:lstStyle/>
              <a:p>
                <a:pPr>
                  <a:defRPr b="1"/>
                </a:pPr>
                <a:r>
                  <a:rPr lang="en-US" b="1"/>
                  <a:t>Energy [pAh]</a:t>
                </a:r>
              </a:p>
            </c:rich>
          </c:tx>
          <c:overlay val="0"/>
        </c:title>
        <c:numFmt formatCode="General" sourceLinked="1"/>
        <c:majorTickMark val="out"/>
        <c:minorTickMark val="none"/>
        <c:tickLblPos val="nextTo"/>
        <c:crossAx val="147889536"/>
        <c:crosses val="max"/>
        <c:crossBetween val="midCat"/>
      </c:valAx>
      <c:valAx>
        <c:axId val="147889536"/>
        <c:scaling>
          <c:orientation val="minMax"/>
        </c:scaling>
        <c:delete val="1"/>
        <c:axPos val="b"/>
        <c:numFmt formatCode="General" sourceLinked="1"/>
        <c:majorTickMark val="out"/>
        <c:minorTickMark val="none"/>
        <c:tickLblPos val="nextTo"/>
        <c:crossAx val="147887616"/>
        <c:crosses val="autoZero"/>
        <c:crossBetween val="midCat"/>
      </c:valAx>
    </c:plotArea>
    <c:legend>
      <c:legendPos val="r"/>
      <c:layout>
        <c:manualLayout>
          <c:xMode val="edge"/>
          <c:yMode val="edge"/>
          <c:x val="0.72379493169624254"/>
          <c:y val="0.2857077077537995"/>
          <c:w val="0.18775306058725169"/>
          <c:h val="0.20679860101080369"/>
        </c:manualLayout>
      </c:layout>
      <c:overlay val="1"/>
    </c:legend>
    <c:plotVisOnly val="1"/>
    <c:dispBlanksAs val="gap"/>
    <c:showDLblsOverMax val="0"/>
  </c:chart>
  <c:txPr>
    <a:bodyPr/>
    <a:lstStyle/>
    <a:p>
      <a:pPr algn="ctr">
        <a:defRPr lang="en-US" sz="100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lrMapOvr bg1="lt1" tx1="dk1" bg2="lt2" tx2="dk2" accent1="accent1" accent2="accent2" accent3="accent3" accent4="accent4" accent5="accent5" accent6="accent6" hlink="hlink" folHlink="folHlink"/>
  <c:chart>
    <c:autoTitleDeleted val="1"/>
    <c:plotArea>
      <c:layout/>
      <c:scatterChart>
        <c:scatterStyle val="smoothMarker"/>
        <c:varyColors val="0"/>
        <c:ser>
          <c:idx val="0"/>
          <c:order val="0"/>
          <c:tx>
            <c:strRef>
              <c:f>'DataForDisplay - Central'!$M$78</c:f>
              <c:strCache>
                <c:ptCount val="1"/>
                <c:pt idx="0">
                  <c:v>CC2640R2 Current [mA]</c:v>
                </c:pt>
              </c:strCache>
            </c:strRef>
          </c:tx>
          <c:marker>
            <c:symbol val="none"/>
          </c:marker>
          <c:xVal>
            <c:numRef>
              <c:f>'DataForDisplay - Central'!$L$80:$L$111</c:f>
              <c:numCache>
                <c:formatCode>General</c:formatCode>
                <c:ptCount val="32"/>
                <c:pt idx="0">
                  <c:v>-200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200</c:v>
                </c:pt>
              </c:numCache>
            </c:numRef>
          </c:xVal>
          <c:yVal>
            <c:numRef>
              <c:f>'DataForDisplay - Central'!$M$80:$M$111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0"/>
          <c:extLst>
            <c:ext xmlns:c16="http://schemas.microsoft.com/office/drawing/2014/chart" uri="{C3380CC4-5D6E-409C-BE32-E72D297353CC}">
              <c16:uniqueId val="{00000000-1C54-40D9-87B3-7DC7C8BB65DC}"/>
            </c:ext>
          </c:extLst>
        </c:ser>
        <c:dLbls>
          <c:showLegendKey val="0"/>
          <c:showVal val="0"/>
          <c:showCatName val="0"/>
          <c:showSerName val="0"/>
          <c:showPercent val="0"/>
          <c:showBubbleSize val="0"/>
        </c:dLbls>
        <c:axId val="148403328"/>
        <c:axId val="148405248"/>
      </c:scatterChart>
      <c:scatterChart>
        <c:scatterStyle val="smoothMarker"/>
        <c:varyColors val="0"/>
        <c:ser>
          <c:idx val="1"/>
          <c:order val="1"/>
          <c:tx>
            <c:strRef>
              <c:f>'DataForDisplay - Central'!$N$78</c:f>
              <c:strCache>
                <c:ptCount val="1"/>
                <c:pt idx="0">
                  <c:v>CC2640R2 Energy [pAh]</c:v>
                </c:pt>
              </c:strCache>
            </c:strRef>
          </c:tx>
          <c:spPr>
            <a:ln>
              <a:solidFill>
                <a:schemeClr val="accent4"/>
              </a:solidFill>
            </a:ln>
          </c:spPr>
          <c:marker>
            <c:symbol val="none"/>
          </c:marker>
          <c:xVal>
            <c:numRef>
              <c:f>'DataForDisplay - Central'!$L$80:$L$111</c:f>
              <c:numCache>
                <c:formatCode>General</c:formatCode>
                <c:ptCount val="32"/>
                <c:pt idx="0">
                  <c:v>-200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200</c:v>
                </c:pt>
              </c:numCache>
            </c:numRef>
          </c:xVal>
          <c:yVal>
            <c:numRef>
              <c:f>'DataForDisplay - Central'!$N$80:$N$111</c:f>
              <c:numCache>
                <c:formatCode>General</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1C54-40D9-87B3-7DC7C8BB65DC}"/>
            </c:ext>
          </c:extLst>
        </c:ser>
        <c:dLbls>
          <c:showLegendKey val="0"/>
          <c:showVal val="0"/>
          <c:showCatName val="0"/>
          <c:showSerName val="0"/>
          <c:showPercent val="0"/>
          <c:showBubbleSize val="0"/>
        </c:dLbls>
        <c:axId val="148425728"/>
        <c:axId val="148423808"/>
      </c:scatterChart>
      <c:valAx>
        <c:axId val="148403328"/>
        <c:scaling>
          <c:orientation val="minMax"/>
          <c:min val="-200"/>
        </c:scaling>
        <c:delete val="0"/>
        <c:axPos val="b"/>
        <c:title>
          <c:tx>
            <c:rich>
              <a:bodyPr/>
              <a:lstStyle/>
              <a:p>
                <a:pPr>
                  <a:defRPr/>
                </a:pPr>
                <a:r>
                  <a:rPr lang="en-US"/>
                  <a:t>Time [us]</a:t>
                </a:r>
              </a:p>
            </c:rich>
          </c:tx>
          <c:overlay val="0"/>
        </c:title>
        <c:numFmt formatCode="General" sourceLinked="1"/>
        <c:majorTickMark val="out"/>
        <c:minorTickMark val="none"/>
        <c:tickLblPos val="nextTo"/>
        <c:crossAx val="148405248"/>
        <c:crosses val="autoZero"/>
        <c:crossBetween val="midCat"/>
      </c:valAx>
      <c:valAx>
        <c:axId val="148405248"/>
        <c:scaling>
          <c:orientation val="minMax"/>
        </c:scaling>
        <c:delete val="0"/>
        <c:axPos val="l"/>
        <c:majorGridlines/>
        <c:title>
          <c:tx>
            <c:rich>
              <a:bodyPr rot="-5400000" vert="horz"/>
              <a:lstStyle/>
              <a:p>
                <a:pPr>
                  <a:defRPr/>
                </a:pPr>
                <a:r>
                  <a:rPr lang="en-US"/>
                  <a:t>Current [mA]</a:t>
                </a:r>
              </a:p>
            </c:rich>
          </c:tx>
          <c:overlay val="0"/>
        </c:title>
        <c:numFmt formatCode="General" sourceLinked="1"/>
        <c:majorTickMark val="out"/>
        <c:minorTickMark val="none"/>
        <c:tickLblPos val="nextTo"/>
        <c:crossAx val="148403328"/>
        <c:crosses val="autoZero"/>
        <c:crossBetween val="midCat"/>
      </c:valAx>
      <c:valAx>
        <c:axId val="148423808"/>
        <c:scaling>
          <c:orientation val="minMax"/>
          <c:min val="0"/>
        </c:scaling>
        <c:delete val="0"/>
        <c:axPos val="r"/>
        <c:title>
          <c:tx>
            <c:rich>
              <a:bodyPr rot="-5400000" vert="horz"/>
              <a:lstStyle/>
              <a:p>
                <a:pPr>
                  <a:defRPr/>
                </a:pPr>
                <a:r>
                  <a:rPr lang="en-US"/>
                  <a:t>Energy [pAh]</a:t>
                </a:r>
              </a:p>
            </c:rich>
          </c:tx>
          <c:overlay val="0"/>
        </c:title>
        <c:numFmt formatCode="General" sourceLinked="1"/>
        <c:majorTickMark val="out"/>
        <c:minorTickMark val="none"/>
        <c:tickLblPos val="nextTo"/>
        <c:crossAx val="148425728"/>
        <c:crosses val="max"/>
        <c:crossBetween val="midCat"/>
      </c:valAx>
      <c:valAx>
        <c:axId val="148425728"/>
        <c:scaling>
          <c:orientation val="minMax"/>
        </c:scaling>
        <c:delete val="1"/>
        <c:axPos val="b"/>
        <c:numFmt formatCode="General" sourceLinked="1"/>
        <c:majorTickMark val="out"/>
        <c:minorTickMark val="none"/>
        <c:tickLblPos val="nextTo"/>
        <c:crossAx val="148423808"/>
        <c:crosses val="autoZero"/>
        <c:crossBetween val="midCat"/>
      </c:valAx>
    </c:plotArea>
    <c:legend>
      <c:legendPos val="r"/>
      <c:layout>
        <c:manualLayout>
          <c:xMode val="edge"/>
          <c:yMode val="edge"/>
          <c:x val="0.64394784847392561"/>
          <c:y val="0.34927082593014863"/>
          <c:w val="0.18642227701514782"/>
          <c:h val="0.19294184124835961"/>
        </c:manualLayout>
      </c:layout>
      <c:overlay val="1"/>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1027043</xdr:colOff>
      <xdr:row>12</xdr:row>
      <xdr:rowOff>41412</xdr:rowOff>
    </xdr:from>
    <xdr:to>
      <xdr:col>7</xdr:col>
      <xdr:colOff>335031</xdr:colOff>
      <xdr:row>17</xdr:row>
      <xdr:rowOff>91038</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7043" y="3213651"/>
          <a:ext cx="3267075" cy="87788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1</xdr:col>
      <xdr:colOff>94033</xdr:colOff>
      <xdr:row>32</xdr:row>
      <xdr:rowOff>106699</xdr:rowOff>
    </xdr:from>
    <xdr:to>
      <xdr:col>16</xdr:col>
      <xdr:colOff>42381</xdr:colOff>
      <xdr:row>63</xdr:row>
      <xdr:rowOff>22412</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318151" y="6113052"/>
          <a:ext cx="9585406" cy="47790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141632</xdr:colOff>
      <xdr:row>30</xdr:row>
      <xdr:rowOff>94128</xdr:rowOff>
    </xdr:from>
    <xdr:to>
      <xdr:col>28</xdr:col>
      <xdr:colOff>459441</xdr:colOff>
      <xdr:row>39</xdr:row>
      <xdr:rowOff>102294</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47</xdr:row>
      <xdr:rowOff>57150</xdr:rowOff>
    </xdr:from>
    <xdr:to>
      <xdr:col>6</xdr:col>
      <xdr:colOff>333375</xdr:colOff>
      <xdr:row>72</xdr:row>
      <xdr:rowOff>123825</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326573</xdr:colOff>
      <xdr:row>47</xdr:row>
      <xdr:rowOff>54428</xdr:rowOff>
    </xdr:from>
    <xdr:to>
      <xdr:col>14</xdr:col>
      <xdr:colOff>54429</xdr:colOff>
      <xdr:row>72</xdr:row>
      <xdr:rowOff>136072</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324970</xdr:colOff>
      <xdr:row>47</xdr:row>
      <xdr:rowOff>56029</xdr:rowOff>
    </xdr:from>
    <xdr:to>
      <xdr:col>21</xdr:col>
      <xdr:colOff>108856</xdr:colOff>
      <xdr:row>72</xdr:row>
      <xdr:rowOff>137673</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141632</xdr:colOff>
      <xdr:row>28</xdr:row>
      <xdr:rowOff>94128</xdr:rowOff>
    </xdr:from>
    <xdr:to>
      <xdr:col>28</xdr:col>
      <xdr:colOff>459441</xdr:colOff>
      <xdr:row>37</xdr:row>
      <xdr:rowOff>102294</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45</xdr:row>
      <xdr:rowOff>57150</xdr:rowOff>
    </xdr:from>
    <xdr:to>
      <xdr:col>6</xdr:col>
      <xdr:colOff>333375</xdr:colOff>
      <xdr:row>70</xdr:row>
      <xdr:rowOff>123825</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326573</xdr:colOff>
      <xdr:row>45</xdr:row>
      <xdr:rowOff>54428</xdr:rowOff>
    </xdr:from>
    <xdr:to>
      <xdr:col>14</xdr:col>
      <xdr:colOff>54429</xdr:colOff>
      <xdr:row>70</xdr:row>
      <xdr:rowOff>136072</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324970</xdr:colOff>
      <xdr:row>45</xdr:row>
      <xdr:rowOff>56029</xdr:rowOff>
    </xdr:from>
    <xdr:to>
      <xdr:col>21</xdr:col>
      <xdr:colOff>108856</xdr:colOff>
      <xdr:row>70</xdr:row>
      <xdr:rowOff>137673</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showGridLines="0" showRowColHeaders="0" zoomScale="85" zoomScaleNormal="85" workbookViewId="0"/>
  </sheetViews>
  <sheetFormatPr defaultRowHeight="12.75" x14ac:dyDescent="0.2"/>
  <cols>
    <col min="1" max="1" width="3.42578125" customWidth="1"/>
    <col min="2" max="2" width="19.140625" customWidth="1"/>
    <col min="3" max="3" width="3" customWidth="1"/>
    <col min="4" max="4" width="17.140625" customWidth="1"/>
    <col min="5" max="5" width="1.7109375" customWidth="1"/>
    <col min="6" max="6" width="15.140625" customWidth="1"/>
    <col min="7" max="7" width="3.28515625" customWidth="1"/>
    <col min="8" max="8" width="12.42578125" customWidth="1"/>
  </cols>
  <sheetData>
    <row r="2" spans="2:8" ht="15.75" x14ac:dyDescent="0.2">
      <c r="B2" s="18" t="s">
        <v>134</v>
      </c>
    </row>
    <row r="4" spans="2:8" x14ac:dyDescent="0.2">
      <c r="B4" s="1" t="s">
        <v>146</v>
      </c>
    </row>
    <row r="5" spans="2:8" x14ac:dyDescent="0.2">
      <c r="B5" s="1" t="s">
        <v>147</v>
      </c>
    </row>
    <row r="8" spans="2:8" ht="15" x14ac:dyDescent="0.2">
      <c r="B8" s="134" t="s">
        <v>135</v>
      </c>
    </row>
    <row r="10" spans="2:8" x14ac:dyDescent="0.2">
      <c r="B10" s="1" t="s">
        <v>136</v>
      </c>
    </row>
    <row r="12" spans="2:8" s="136" customFormat="1" ht="76.5" x14ac:dyDescent="0.2">
      <c r="B12" s="135" t="s">
        <v>137</v>
      </c>
      <c r="D12" s="135" t="s">
        <v>150</v>
      </c>
      <c r="F12" s="135" t="s">
        <v>151</v>
      </c>
      <c r="H12" s="135" t="s">
        <v>148</v>
      </c>
    </row>
    <row r="19" spans="2:2" ht="16.5" customHeight="1" x14ac:dyDescent="0.2"/>
    <row r="21" spans="2:2" ht="15" x14ac:dyDescent="0.2">
      <c r="B21" s="134" t="s">
        <v>138</v>
      </c>
    </row>
    <row r="23" spans="2:2" x14ac:dyDescent="0.2">
      <c r="B23" s="137" t="s">
        <v>140</v>
      </c>
    </row>
    <row r="24" spans="2:2" x14ac:dyDescent="0.2">
      <c r="B24" s="1" t="s">
        <v>141</v>
      </c>
    </row>
    <row r="25" spans="2:2" x14ac:dyDescent="0.2">
      <c r="B25" s="1" t="s">
        <v>142</v>
      </c>
    </row>
    <row r="26" spans="2:2" x14ac:dyDescent="0.2">
      <c r="B26" s="1" t="s">
        <v>143</v>
      </c>
    </row>
    <row r="28" spans="2:2" x14ac:dyDescent="0.2">
      <c r="B28" s="137" t="s">
        <v>145</v>
      </c>
    </row>
    <row r="29" spans="2:2" x14ac:dyDescent="0.2">
      <c r="B29" s="1" t="s">
        <v>153</v>
      </c>
    </row>
    <row r="30" spans="2:2" x14ac:dyDescent="0.2">
      <c r="B30" s="1" t="s">
        <v>152</v>
      </c>
    </row>
    <row r="31" spans="2:2" x14ac:dyDescent="0.2">
      <c r="B31" s="1" t="s">
        <v>144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C55"/>
  <sheetViews>
    <sheetView tabSelected="1" zoomScale="85" zoomScaleNormal="85" workbookViewId="0"/>
  </sheetViews>
  <sheetFormatPr defaultColWidth="8.85546875" defaultRowHeight="12.75" x14ac:dyDescent="0.2"/>
  <cols>
    <col min="1" max="1" width="5.140625" customWidth="1"/>
    <col min="2" max="2" width="4.42578125" customWidth="1"/>
    <col min="3" max="3" width="48.5703125" style="3" customWidth="1"/>
    <col min="4" max="4" width="16.140625" bestFit="1" customWidth="1"/>
    <col min="5" max="5" width="8.42578125" customWidth="1"/>
    <col min="6" max="6" width="14.5703125" customWidth="1"/>
    <col min="7" max="7" width="2.28515625" customWidth="1"/>
    <col min="8" max="8" width="5.7109375" customWidth="1"/>
    <col min="9" max="9" width="4.140625" customWidth="1"/>
    <col min="10" max="10" width="46.85546875" customWidth="1"/>
    <col min="11" max="11" width="11" customWidth="1"/>
    <col min="12" max="12" width="11.85546875" customWidth="1"/>
    <col min="13" max="13" width="13.42578125" customWidth="1"/>
    <col min="14" max="14" width="2" customWidth="1"/>
    <col min="15" max="15" width="5.140625" customWidth="1"/>
    <col min="16" max="16" width="4.28515625" customWidth="1"/>
    <col min="17" max="17" width="49.28515625" customWidth="1"/>
    <col min="18" max="18" width="12" bestFit="1" customWidth="1"/>
    <col min="20" max="20" width="15.140625" customWidth="1"/>
    <col min="21" max="21" width="3.140625" customWidth="1"/>
    <col min="22" max="22" width="2" customWidth="1"/>
    <col min="23" max="23" width="2.85546875" customWidth="1"/>
    <col min="24" max="24" width="27.42578125" customWidth="1"/>
    <col min="27" max="27" width="10.85546875" customWidth="1"/>
    <col min="28" max="28" width="6.140625" bestFit="1" customWidth="1"/>
    <col min="29" max="29" width="5.85546875" bestFit="1" customWidth="1"/>
  </cols>
  <sheetData>
    <row r="2" spans="2:18" ht="24.75" customHeight="1" x14ac:dyDescent="0.2">
      <c r="B2" s="18" t="s">
        <v>40</v>
      </c>
    </row>
    <row r="3" spans="2:18" ht="15.75" x14ac:dyDescent="0.25">
      <c r="C3" s="17" t="s">
        <v>0</v>
      </c>
      <c r="D3" s="63">
        <v>3</v>
      </c>
      <c r="E3" s="65"/>
      <c r="F3" s="192" t="s">
        <v>57</v>
      </c>
      <c r="G3" s="193"/>
      <c r="H3" s="193"/>
      <c r="I3" s="193"/>
      <c r="J3" s="193"/>
      <c r="K3" s="194"/>
      <c r="N3" s="195" t="s">
        <v>1</v>
      </c>
      <c r="O3" s="196"/>
      <c r="P3" s="197"/>
      <c r="Q3" s="104" t="s">
        <v>167</v>
      </c>
    </row>
    <row r="4" spans="2:18" x14ac:dyDescent="0.2">
      <c r="C4" s="13" t="s">
        <v>12</v>
      </c>
      <c r="D4" s="27">
        <v>225</v>
      </c>
      <c r="E4" s="65"/>
      <c r="F4" s="91" t="s">
        <v>59</v>
      </c>
      <c r="G4" s="29"/>
      <c r="H4" s="29"/>
      <c r="I4" s="29"/>
      <c r="J4" s="29"/>
      <c r="K4" s="92"/>
      <c r="N4" s="199" t="s">
        <v>2</v>
      </c>
      <c r="O4" s="199"/>
      <c r="P4" s="199"/>
      <c r="Q4" s="104" t="s">
        <v>168</v>
      </c>
    </row>
    <row r="5" spans="2:18" x14ac:dyDescent="0.2">
      <c r="C5" s="14" t="s">
        <v>236</v>
      </c>
      <c r="D5" s="27" t="s">
        <v>234</v>
      </c>
      <c r="E5" s="64"/>
      <c r="F5" s="39"/>
      <c r="G5" s="89"/>
      <c r="H5" s="89"/>
      <c r="I5" s="89"/>
      <c r="J5" s="89"/>
      <c r="K5" s="90"/>
      <c r="N5" s="199" t="s">
        <v>46</v>
      </c>
      <c r="O5" s="199"/>
      <c r="P5" s="199"/>
      <c r="Q5" s="121" t="s">
        <v>175</v>
      </c>
      <c r="R5" s="1" t="s">
        <v>58</v>
      </c>
    </row>
    <row r="6" spans="2:18" ht="15" x14ac:dyDescent="0.25">
      <c r="C6" s="14" t="s">
        <v>207</v>
      </c>
      <c r="D6" s="120">
        <v>0</v>
      </c>
      <c r="F6" s="10" t="s">
        <v>72</v>
      </c>
      <c r="G6" s="7"/>
      <c r="H6" s="7"/>
      <c r="I6" s="7"/>
      <c r="J6" s="7"/>
      <c r="K6" s="9"/>
      <c r="N6" s="199" t="s">
        <v>47</v>
      </c>
      <c r="O6" s="199"/>
      <c r="P6" s="199"/>
      <c r="Q6" s="105">
        <v>44977</v>
      </c>
    </row>
    <row r="7" spans="2:18" x14ac:dyDescent="0.2">
      <c r="C7" s="14" t="s">
        <v>10</v>
      </c>
      <c r="D7" s="26">
        <v>200</v>
      </c>
      <c r="E7" s="65"/>
    </row>
    <row r="8" spans="2:18" x14ac:dyDescent="0.2">
      <c r="C8" s="14" t="s">
        <v>100</v>
      </c>
      <c r="D8" s="26">
        <v>7</v>
      </c>
      <c r="E8" s="1"/>
      <c r="Q8" s="1" t="s">
        <v>176</v>
      </c>
    </row>
    <row r="9" spans="2:18" x14ac:dyDescent="0.2">
      <c r="C9" s="14"/>
      <c r="D9" s="26"/>
      <c r="E9" s="1"/>
    </row>
    <row r="10" spans="2:18" ht="15" x14ac:dyDescent="0.25">
      <c r="C10" s="14" t="s">
        <v>208</v>
      </c>
      <c r="D10" s="120">
        <v>0</v>
      </c>
    </row>
    <row r="11" spans="2:18" x14ac:dyDescent="0.2">
      <c r="C11" s="14" t="s">
        <v>8</v>
      </c>
      <c r="D11" s="26">
        <v>200</v>
      </c>
      <c r="F11" s="201" t="str">
        <f>IF(AND(D13='Input arguments'!$G$2, 'BLE - Peripheral'!D11&gt;999),'Input arguments'!$O$2, "")</f>
        <v/>
      </c>
      <c r="G11" s="201"/>
      <c r="H11" s="201"/>
      <c r="I11" s="201"/>
      <c r="J11" s="201"/>
      <c r="K11" s="117"/>
    </row>
    <row r="12" spans="2:18" ht="15" x14ac:dyDescent="0.25">
      <c r="C12" s="14" t="s">
        <v>45</v>
      </c>
      <c r="D12" s="116">
        <v>0</v>
      </c>
      <c r="E12" t="s">
        <v>71</v>
      </c>
      <c r="F12" s="131"/>
      <c r="G12" s="131"/>
      <c r="H12" s="131"/>
      <c r="I12" s="131"/>
      <c r="J12" s="131"/>
      <c r="K12" s="117"/>
    </row>
    <row r="13" spans="2:18" ht="15" x14ac:dyDescent="0.25">
      <c r="C13" s="14"/>
      <c r="D13" s="116"/>
      <c r="F13" s="117"/>
      <c r="G13" s="117"/>
      <c r="H13" s="117"/>
      <c r="I13" s="117"/>
      <c r="J13" s="117"/>
      <c r="K13" s="117"/>
    </row>
    <row r="14" spans="2:18" x14ac:dyDescent="0.2">
      <c r="C14" s="17" t="s">
        <v>174</v>
      </c>
      <c r="D14" s="63">
        <v>1</v>
      </c>
      <c r="F14" s="117"/>
      <c r="G14" s="117"/>
      <c r="H14" s="117"/>
      <c r="I14" s="117"/>
      <c r="J14" s="117"/>
      <c r="K14" s="117"/>
    </row>
    <row r="15" spans="2:18" x14ac:dyDescent="0.2">
      <c r="C15" s="17" t="s">
        <v>166</v>
      </c>
      <c r="D15" s="63">
        <v>1</v>
      </c>
      <c r="F15" s="117"/>
      <c r="G15" s="117"/>
      <c r="H15" s="117"/>
      <c r="I15" s="117"/>
      <c r="J15" s="117"/>
      <c r="K15" s="117"/>
    </row>
    <row r="16" spans="2:18" x14ac:dyDescent="0.2">
      <c r="F16" s="117"/>
      <c r="G16" s="117"/>
      <c r="H16" s="117"/>
      <c r="I16" s="117"/>
      <c r="J16" s="117"/>
      <c r="K16" s="117"/>
    </row>
    <row r="17" spans="2:29" ht="15.75" x14ac:dyDescent="0.25">
      <c r="C17" s="106" t="s">
        <v>78</v>
      </c>
      <c r="D17" s="20"/>
      <c r="E17" s="12"/>
      <c r="F17" s="11"/>
      <c r="J17" s="106" t="s">
        <v>79</v>
      </c>
      <c r="Q17" s="106" t="s">
        <v>80</v>
      </c>
    </row>
    <row r="18" spans="2:29" ht="15.75" x14ac:dyDescent="0.25">
      <c r="B18" s="21"/>
      <c r="C18" s="122" t="s">
        <v>81</v>
      </c>
      <c r="D18" s="200" t="str">
        <f>IF(C18='Input arguments'!$B$7,"* PHY 1M is used for primary advertisement","")</f>
        <v/>
      </c>
      <c r="E18" s="200"/>
      <c r="F18" s="200"/>
      <c r="G18" s="6"/>
      <c r="H18" s="54"/>
      <c r="I18" s="6"/>
      <c r="J18" s="122" t="s">
        <v>82</v>
      </c>
      <c r="K18" s="200" t="str">
        <f>IF(J18='Input arguments'!$B$7,"* PHY 1M is used for primary advertisement","")</f>
        <v/>
      </c>
      <c r="L18" s="200"/>
      <c r="M18" s="200"/>
      <c r="N18" s="2"/>
      <c r="O18" s="8"/>
      <c r="P18" s="6"/>
      <c r="Q18" s="122" t="s">
        <v>83</v>
      </c>
      <c r="R18" s="200" t="str">
        <f>IF(Q18='Input arguments'!$B$7,"* PHY 1M is used for primary advertisement","")</f>
        <v/>
      </c>
      <c r="S18" s="200"/>
      <c r="T18" s="200"/>
      <c r="U18" s="2"/>
      <c r="X18" s="192" t="s">
        <v>35</v>
      </c>
      <c r="Y18" s="193"/>
      <c r="Z18" s="193"/>
      <c r="AA18" s="193"/>
      <c r="AB18" s="193"/>
      <c r="AC18" s="194"/>
    </row>
    <row r="19" spans="2:29" ht="15.75" x14ac:dyDescent="0.25">
      <c r="B19" s="22"/>
      <c r="D19" s="1"/>
      <c r="E19" s="11"/>
      <c r="F19" s="11"/>
      <c r="G19" s="8"/>
      <c r="H19" s="22"/>
      <c r="I19" s="22"/>
      <c r="J19" s="3"/>
      <c r="K19" s="1"/>
      <c r="L19" s="11"/>
      <c r="M19" s="11"/>
      <c r="N19" s="8"/>
      <c r="P19" s="22"/>
      <c r="Q19" s="3"/>
      <c r="R19" s="1"/>
      <c r="S19" s="11"/>
      <c r="T19" s="11"/>
      <c r="U19" s="8"/>
      <c r="X19" s="189" t="s">
        <v>34</v>
      </c>
      <c r="Y19" s="190"/>
      <c r="Z19" s="190"/>
      <c r="AA19" s="190"/>
      <c r="AB19" s="190"/>
      <c r="AC19" s="191"/>
    </row>
    <row r="20" spans="2:29" s="3" customFormat="1" ht="25.5" x14ac:dyDescent="0.2">
      <c r="B20" s="19"/>
      <c r="C20" s="31" t="s">
        <v>3</v>
      </c>
      <c r="D20" s="32" t="s">
        <v>24</v>
      </c>
      <c r="E20" s="33" t="s">
        <v>25</v>
      </c>
      <c r="F20" s="14" t="s">
        <v>36</v>
      </c>
      <c r="G20" s="23"/>
      <c r="H20" s="19"/>
      <c r="I20" s="19"/>
      <c r="J20" s="31" t="s">
        <v>3</v>
      </c>
      <c r="K20" s="32" t="s">
        <v>23</v>
      </c>
      <c r="L20" s="33" t="s">
        <v>25</v>
      </c>
      <c r="M20" s="14" t="s">
        <v>36</v>
      </c>
      <c r="N20" s="23"/>
      <c r="P20" s="19"/>
      <c r="Q20" s="31" t="s">
        <v>3</v>
      </c>
      <c r="R20" s="32" t="s">
        <v>23</v>
      </c>
      <c r="S20" s="33" t="s">
        <v>25</v>
      </c>
      <c r="T20" s="14" t="s">
        <v>36</v>
      </c>
      <c r="U20" s="23"/>
      <c r="X20" s="37" t="s">
        <v>29</v>
      </c>
      <c r="Y20" s="35" t="s">
        <v>18</v>
      </c>
      <c r="Z20" s="35" t="s">
        <v>19</v>
      </c>
      <c r="AA20" s="42" t="s">
        <v>27</v>
      </c>
      <c r="AB20" s="56" t="s">
        <v>28</v>
      </c>
      <c r="AC20" s="66" t="s">
        <v>31</v>
      </c>
    </row>
    <row r="21" spans="2:29" x14ac:dyDescent="0.2">
      <c r="B21" s="22">
        <v>1</v>
      </c>
      <c r="C21" s="51" t="str">
        <f ca="1">IF(INDIRECT((ADDRESS(5+$B21,2,1,1,'DataSourceSelection - Periph'!$C$20)))="", "", INDIRECT((ADDRESS(5+$B21,2,1,1,'DataSourceSelection - Periph'!$C$20))))</f>
        <v>Wake Up &amp; Pre-Processing</v>
      </c>
      <c r="D21" s="111">
        <f ca="1">INDIRECT((ADDRESS(5+$B21,3,1,1,'DataSourceSelection - Periph'!$C$20)))</f>
        <v>391.79470000000003</v>
      </c>
      <c r="E21" s="111">
        <f ca="1">INDIRECT((ADDRESS(5+$B21,4,1,1,'DataSourceSelection - Periph'!$C$20)))</f>
        <v>4.0726399999999998</v>
      </c>
      <c r="F21" s="112">
        <f ca="1">INDIRECT((ADDRESS(5+$B21,5,1,1,'DataSourceSelection - Periph'!$C$20)))</f>
        <v>1595.6387670080001</v>
      </c>
      <c r="G21" s="8"/>
      <c r="H21" s="22"/>
      <c r="I21" s="22">
        <v>1</v>
      </c>
      <c r="J21" s="51" t="str">
        <f ca="1">IF(INDIRECT((ADDRESS(5+$B21,2,1,1,'DataSourceSelection - Periph'!$C$25)))="", "", INDIRECT((ADDRESS(5+$B21,2,1,1,'DataSourceSelection - Periph'!$C$25))))</f>
        <v>Wake Up &amp; Pre-processing</v>
      </c>
      <c r="K21" s="111">
        <f ca="1">INDIRECT((ADDRESS(5+$B21,3,1,1,'DataSourceSelection - Periph'!$C$25)))</f>
        <v>391.73940000000005</v>
      </c>
      <c r="L21" s="111">
        <f ca="1">INDIRECT((ADDRESS(5+$B21,4,1,1,'DataSourceSelection - Periph'!$C$25)))</f>
        <v>4.2286699999999993</v>
      </c>
      <c r="M21" s="112">
        <f ca="1">INDIRECT((ADDRESS(5+$B21,5,1,1,'DataSourceSelection - Periph'!$C$25)))</f>
        <v>1656.5366485979998</v>
      </c>
      <c r="N21" s="8"/>
      <c r="P21" s="22">
        <v>1</v>
      </c>
      <c r="Q21" s="51" t="str">
        <f ca="1">IF(INDIRECT((ADDRESS(5+$B21,2,1,1,'DataSourceSelection - Periph'!$C$30)))="", "", INDIRECT((ADDRESS(5+$B21,2,1,1,'DataSourceSelection - Periph'!$C$30))))</f>
        <v/>
      </c>
      <c r="R21" s="111">
        <f ca="1">INDIRECT((ADDRESS(5+$B21,3,1,1,'DataSourceSelection - Periph'!$C$30)))</f>
        <v>0</v>
      </c>
      <c r="S21" s="111">
        <f ca="1">INDIRECT((ADDRESS(5+$B21,4,1,1,'DataSourceSelection - Periph'!$C$30)))</f>
        <v>0</v>
      </c>
      <c r="T21" s="112">
        <f ca="1">INDIRECT((ADDRESS(5+$B21,5,1,1,'DataSourceSelection - Periph'!$C$30)))</f>
        <v>0</v>
      </c>
      <c r="U21" s="8"/>
      <c r="X21" s="36" t="str">
        <f>C18</f>
        <v>Legacy Advertising</v>
      </c>
      <c r="Y21" s="29">
        <v>4</v>
      </c>
      <c r="Z21" s="30">
        <v>30</v>
      </c>
      <c r="AA21" s="43">
        <f ca="1">D41</f>
        <v>63.79332134736358</v>
      </c>
      <c r="AB21" s="57" t="s">
        <v>38</v>
      </c>
      <c r="AC21" s="67">
        <f>Y21/24+Z21/60/24</f>
        <v>0.1875</v>
      </c>
    </row>
    <row r="22" spans="2:29" x14ac:dyDescent="0.2">
      <c r="B22" s="22">
        <v>2</v>
      </c>
      <c r="C22" s="51" t="str">
        <f ca="1">IF(INDIRECT((ADDRESS(5+$B22,2,1,1,'DataSourceSelection - Periph'!$C$20)))="", "", INDIRECT((ADDRESS(5+$B22,2,1,1,'DataSourceSelection - Periph'!$C$20))))</f>
        <v>Radio Preparation</v>
      </c>
      <c r="D22" s="111">
        <f ca="1">INDIRECT((ADDRESS(5+$B22,3,1,1,'DataSourceSelection - Periph'!$C$20)))</f>
        <v>463.30770000000001</v>
      </c>
      <c r="E22" s="111">
        <f ca="1">INDIRECT((ADDRESS(5+$B22,4,1,1,'DataSourceSelection - Periph'!$C$20)))</f>
        <v>3.0388480000000002</v>
      </c>
      <c r="F22" s="113">
        <f ca="1">INDIRECT((ADDRESS(5+$B22,5,1,1,'DataSourceSelection - Periph'!$C$20)))</f>
        <v>1407.9216775296002</v>
      </c>
      <c r="G22" s="8"/>
      <c r="H22" s="22"/>
      <c r="I22" s="22">
        <v>2</v>
      </c>
      <c r="J22" s="51" t="str">
        <f ca="1">IF(INDIRECT((ADDRESS(5+$B22,2,1,1,'DataSourceSelection - Periph'!$C$25)))="", "", INDIRECT((ADDRESS(5+$B22,2,1,1,'DataSourceSelection - Periph'!$C$25))))</f>
        <v xml:space="preserve">Preparation for Recieve </v>
      </c>
      <c r="K22" s="111">
        <f ca="1">INDIRECT((ADDRESS(5+$B22,3,1,1,'DataSourceSelection - Periph'!$C$25)))</f>
        <v>369.85719999999998</v>
      </c>
      <c r="L22" s="111">
        <f ca="1">INDIRECT((ADDRESS(5+$B22,4,1,1,'DataSourceSelection - Periph'!$C$25)))</f>
        <v>3.122541</v>
      </c>
      <c r="M22" s="113">
        <f ca="1">INDIRECT((ADDRESS(5+$B22,5,1,1,'DataSourceSelection - Periph'!$C$25)))</f>
        <v>1154.8942711452</v>
      </c>
      <c r="N22" s="8"/>
      <c r="P22" s="22">
        <v>2</v>
      </c>
      <c r="Q22" s="51" t="str">
        <f ca="1">IF(INDIRECT((ADDRESS(5+$B22,2,1,1,'DataSourceSelection - Periph'!$C$30)))="", "", INDIRECT((ADDRESS(5+$B22,2,1,1,'DataSourceSelection - Periph'!$C$30))))</f>
        <v/>
      </c>
      <c r="R22" s="111">
        <f ca="1">INDIRECT((ADDRESS(5+$B22,3,1,1,'DataSourceSelection - Periph'!$C$30)))</f>
        <v>0</v>
      </c>
      <c r="S22" s="111">
        <f ca="1">INDIRECT((ADDRESS(5+$B22,4,1,1,'DataSourceSelection - Periph'!$C$30)))</f>
        <v>0</v>
      </c>
      <c r="T22" s="113">
        <f ca="1">INDIRECT((ADDRESS(5+$B22,5,1,1,'DataSourceSelection - Periph'!$C$30)))</f>
        <v>0</v>
      </c>
      <c r="U22" s="8"/>
      <c r="X22" s="36" t="str">
        <f>J18</f>
        <v>Connected as Peripheral</v>
      </c>
      <c r="Y22" s="29">
        <v>4</v>
      </c>
      <c r="Z22" s="30">
        <v>30</v>
      </c>
      <c r="AA22" s="43">
        <f ca="1">K41</f>
        <v>27.057091741682875</v>
      </c>
      <c r="AB22" s="57" t="s">
        <v>38</v>
      </c>
      <c r="AC22" s="67">
        <f>Y22/24+Z22/60/24</f>
        <v>0.1875</v>
      </c>
    </row>
    <row r="23" spans="2:29" x14ac:dyDescent="0.2">
      <c r="B23" s="22">
        <v>3</v>
      </c>
      <c r="C23" s="51" t="str">
        <f ca="1">IF(INDIRECT((ADDRESS(5+$B23,2,1,1,'DataSourceSelection - Periph'!$C$20)))="", "", INDIRECT((ADDRESS(5+$B23,2,1,1,'DataSourceSelection - Periph'!$C$20))))</f>
        <v>Transmit (TX)</v>
      </c>
      <c r="D23" s="111">
        <f ca="1">INDIRECT((ADDRESS(5+$B23,3,1,1,'DataSourceSelection - Periph'!$C$20)))</f>
        <v>327.25559999999996</v>
      </c>
      <c r="E23" s="111">
        <f ca="1">INDIRECT((ADDRESS(5+$B23,4,1,1,'DataSourceSelection - Periph'!$C$20)))</f>
        <v>5.113316666666667</v>
      </c>
      <c r="F23" s="113">
        <f ca="1">INDIRECT((ADDRESS(5+$B23,5,1,1,'DataSourceSelection - Periph'!$C$20)))</f>
        <v>1673.36151374</v>
      </c>
      <c r="G23" s="8"/>
      <c r="H23" s="22"/>
      <c r="I23" s="22">
        <v>3</v>
      </c>
      <c r="J23" s="51" t="str">
        <f ca="1">IF(INDIRECT((ADDRESS(5+$B23,2,1,1,'DataSourceSelection - Periph'!$C$25)))="", "", INDIRECT((ADDRESS(5+$B23,2,1,1,'DataSourceSelection - Periph'!$C$25))))</f>
        <v>Recieve (RX)</v>
      </c>
      <c r="K23" s="111">
        <f ca="1">INDIRECT((ADDRESS(5+$B23,3,1,1,'DataSourceSelection - Periph'!$C$25)))</f>
        <v>182.7345</v>
      </c>
      <c r="L23" s="111">
        <f ca="1">INDIRECT((ADDRESS(5+$B23,4,1,1,'DataSourceSelection - Periph'!$C$25)))</f>
        <v>4.6614433333333336</v>
      </c>
      <c r="M23" s="113">
        <f ca="1">INDIRECT((ADDRESS(5+$B23,5,1,1,'DataSourceSelection - Periph'!$C$25)))</f>
        <v>851.80651679499999</v>
      </c>
      <c r="N23" s="8"/>
      <c r="P23" s="22">
        <v>3</v>
      </c>
      <c r="Q23" s="51" t="str">
        <f ca="1">IF(INDIRECT((ADDRESS(5+$B23,2,1,1,'DataSourceSelection - Periph'!$C$30)))="", "", INDIRECT((ADDRESS(5+$B23,2,1,1,'DataSourceSelection - Periph'!$C$30))))</f>
        <v/>
      </c>
      <c r="R23" s="111">
        <f ca="1">INDIRECT((ADDRESS(5+$B23,3,1,1,'DataSourceSelection - Periph'!$C$30)))</f>
        <v>0</v>
      </c>
      <c r="S23" s="111">
        <f ca="1">INDIRECT((ADDRESS(5+$B23,4,1,1,'DataSourceSelection - Periph'!$C$30)))</f>
        <v>0</v>
      </c>
      <c r="T23" s="113">
        <f ca="1">INDIRECT((ADDRESS(5+$B23,5,1,1,'DataSourceSelection - Periph'!$C$30)))</f>
        <v>0</v>
      </c>
      <c r="U23" s="8"/>
      <c r="X23" s="36" t="str">
        <f>Q18</f>
        <v>None</v>
      </c>
      <c r="Y23" s="29">
        <v>0</v>
      </c>
      <c r="Z23" s="30">
        <v>0</v>
      </c>
      <c r="AA23" s="43">
        <f ca="1">R41</f>
        <v>0</v>
      </c>
      <c r="AB23" s="57" t="s">
        <v>38</v>
      </c>
      <c r="AC23" s="67">
        <f>Y23/24+Z23/60/24</f>
        <v>0</v>
      </c>
    </row>
    <row r="24" spans="2:29" x14ac:dyDescent="0.2">
      <c r="B24" s="22">
        <v>4</v>
      </c>
      <c r="C24" s="51" t="str">
        <f ca="1">IF(INDIRECT((ADDRESS(5+$B24,2,1,1,'DataSourceSelection - Periph'!$C$20)))="", "", INDIRECT((ADDRESS(5+$B24,2,1,1,'DataSourceSelection - Periph'!$C$20))))</f>
        <v>TX to RX transition</v>
      </c>
      <c r="D24" s="111">
        <f ca="1">INDIRECT((ADDRESS(5+$B24,3,1,1,'DataSourceSelection - Periph'!$C$20)))</f>
        <v>76.784260000000003</v>
      </c>
      <c r="E24" s="111">
        <f ca="1">INDIRECT((ADDRESS(5+$B24,4,1,1,'DataSourceSelection - Periph'!$C$20)))</f>
        <v>2.9384796666666668</v>
      </c>
      <c r="F24" s="113">
        <f ca="1">INDIRECT((ADDRESS(5+$B24,5,1,1,'DataSourceSelection - Periph'!$C$20)))</f>
        <v>225.62898673004668</v>
      </c>
      <c r="G24" s="8"/>
      <c r="H24" s="22"/>
      <c r="I24" s="22">
        <v>4</v>
      </c>
      <c r="J24" s="51" t="str">
        <f ca="1">IF(INDIRECT((ADDRESS(5+$B24,2,1,1,'DataSourceSelection - Periph'!$C$25)))="", "", INDIRECT((ADDRESS(5+$B24,2,1,1,'DataSourceSelection - Periph'!$C$25))))</f>
        <v>RX to TX transition</v>
      </c>
      <c r="K24" s="111">
        <f ca="1">INDIRECT((ADDRESS(5+$B24,3,1,1,'DataSourceSelection - Periph'!$C$25)))</f>
        <v>38.257580000000004</v>
      </c>
      <c r="L24" s="111">
        <f ca="1">INDIRECT((ADDRESS(5+$B24,4,1,1,'DataSourceSelection - Periph'!$C$25)))</f>
        <v>4.6964933333333336</v>
      </c>
      <c r="M24" s="113">
        <f ca="1">INDIRECT((ADDRESS(5+$B24,5,1,1,'DataSourceSelection - Periph'!$C$25)))</f>
        <v>179.67646941946668</v>
      </c>
      <c r="N24" s="8"/>
      <c r="P24" s="22">
        <v>4</v>
      </c>
      <c r="Q24" s="51" t="str">
        <f ca="1">IF(INDIRECT((ADDRESS(5+$B24,2,1,1,'DataSourceSelection - Periph'!$C$30)))="", "", INDIRECT((ADDRESS(5+$B24,2,1,1,'DataSourceSelection - Periph'!$C$30))))</f>
        <v/>
      </c>
      <c r="R24" s="111">
        <f ca="1">INDIRECT((ADDRESS(5+$B24,3,1,1,'DataSourceSelection - Periph'!$C$30)))</f>
        <v>0</v>
      </c>
      <c r="S24" s="111">
        <f ca="1">INDIRECT((ADDRESS(5+$B24,4,1,1,'DataSourceSelection - Periph'!$C$30)))</f>
        <v>0</v>
      </c>
      <c r="T24" s="113">
        <f ca="1">INDIRECT((ADDRESS(5+$B24,5,1,1,'DataSourceSelection - Periph'!$C$30)))</f>
        <v>0</v>
      </c>
      <c r="U24" s="8"/>
      <c r="X24" s="36" t="s">
        <v>26</v>
      </c>
      <c r="Y24" s="30">
        <v>1</v>
      </c>
      <c r="Z24" s="30">
        <v>0</v>
      </c>
      <c r="AA24" s="43">
        <v>1000</v>
      </c>
      <c r="AB24" s="57" t="s">
        <v>38</v>
      </c>
      <c r="AC24" s="67">
        <f>Y24/24+Z24/60/24</f>
        <v>4.1666666666666664E-2</v>
      </c>
    </row>
    <row r="25" spans="2:29" x14ac:dyDescent="0.2">
      <c r="B25" s="22">
        <v>5</v>
      </c>
      <c r="C25" s="51" t="str">
        <f ca="1">IF(INDIRECT((ADDRESS(5+$B25,2,1,1,'DataSourceSelection - Periph'!$C$20)))="", "", INDIRECT((ADDRESS(5+$B25,2,1,1,'DataSourceSelection - Periph'!$C$20))))</f>
        <v>Recieve (RX)</v>
      </c>
      <c r="D25" s="111">
        <f ca="1">INDIRECT((ADDRESS(5+$B25,3,1,1,'DataSourceSelection - Periph'!$C$20)))</f>
        <v>115.74459999999999</v>
      </c>
      <c r="E25" s="111">
        <f ca="1">INDIRECT((ADDRESS(5+$B25,4,1,1,'DataSourceSelection - Periph'!$C$20)))</f>
        <v>4.8636499999999998</v>
      </c>
      <c r="F25" s="113">
        <f ca="1">INDIRECT((ADDRESS(5+$B25,5,1,1,'DataSourceSelection - Periph'!$C$20)))</f>
        <v>562.94122378999998</v>
      </c>
      <c r="G25" s="8"/>
      <c r="H25" s="22"/>
      <c r="I25" s="22">
        <v>5</v>
      </c>
      <c r="J25" s="51" t="str">
        <f ca="1">IF(INDIRECT((ADDRESS(5+$B25,2,1,1,'DataSourceSelection - Periph'!$C$25)))="", "", INDIRECT((ADDRESS(5+$B25,2,1,1,'DataSourceSelection - Periph'!$C$25))))</f>
        <v>Transmit (TX)</v>
      </c>
      <c r="K25" s="111">
        <f ca="1">INDIRECT((ADDRESS(5+$B25,3,1,1,'DataSourceSelection - Periph'!$C$25)))</f>
        <v>196.25129999999999</v>
      </c>
      <c r="L25" s="111">
        <f ca="1">INDIRECT((ADDRESS(5+$B25,4,1,1,'DataSourceSelection - Periph'!$C$25)))</f>
        <v>5.1374266666666664</v>
      </c>
      <c r="M25" s="113">
        <f ca="1">INDIRECT((ADDRESS(5+$B25,5,1,1,'DataSourceSelection - Periph'!$C$25)))</f>
        <v>1008.2266619879998</v>
      </c>
      <c r="N25" s="8"/>
      <c r="P25" s="22">
        <v>5</v>
      </c>
      <c r="Q25" s="51" t="str">
        <f ca="1">IF(INDIRECT((ADDRESS(5+$B25,2,1,1,'DataSourceSelection - Periph'!$C$30)))="", "", INDIRECT((ADDRESS(5+$B25,2,1,1,'DataSourceSelection - Periph'!$C$30))))</f>
        <v/>
      </c>
      <c r="R25" s="111">
        <f ca="1">INDIRECT((ADDRESS(5+$B25,3,1,1,'DataSourceSelection - Periph'!$C$30)))</f>
        <v>0</v>
      </c>
      <c r="S25" s="111">
        <f ca="1">INDIRECT((ADDRESS(5+$B25,4,1,1,'DataSourceSelection - Periph'!$C$30)))</f>
        <v>0</v>
      </c>
      <c r="T25" s="113">
        <f ca="1">INDIRECT((ADDRESS(5+$B25,5,1,1,'DataSourceSelection - Periph'!$C$30)))</f>
        <v>0</v>
      </c>
      <c r="U25" s="8"/>
      <c r="X25" s="41" t="s">
        <v>11</v>
      </c>
      <c r="Y25" s="132">
        <f>24-SUM(Y21:Y24)-IF(SUM(Z21:Z24)=0,0,(SUM(Z21:Z24)+Z25)/60)</f>
        <v>14</v>
      </c>
      <c r="Z25" s="132">
        <f>MOD(60-MOD(SUM(Z21:Z24),60),60)</f>
        <v>0</v>
      </c>
      <c r="AA25" s="44">
        <v>0.56999999999999995</v>
      </c>
      <c r="AB25" s="57" t="s">
        <v>38</v>
      </c>
      <c r="AC25" s="68">
        <f>(1-SUM(AC21:AC24))</f>
        <v>0.58333333333333326</v>
      </c>
    </row>
    <row r="26" spans="2:29" x14ac:dyDescent="0.2">
      <c r="B26" s="22">
        <v>6</v>
      </c>
      <c r="C26" s="51" t="str">
        <f ca="1">IF(INDIRECT((ADDRESS(5+$B26,2,1,1,'DataSourceSelection - Periph'!$C$20)))="", "", INDIRECT((ADDRESS(5+$B26,2,1,1,'DataSourceSelection - Periph'!$C$20))))</f>
        <v>RX to TX transition</v>
      </c>
      <c r="D26" s="111">
        <f ca="1">INDIRECT((ADDRESS(5+$B26,3,1,1,'DataSourceSelection - Periph'!$C$20)))</f>
        <v>372.4323</v>
      </c>
      <c r="E26" s="111">
        <f ca="1">INDIRECT((ADDRESS(5+$B26,4,1,1,'DataSourceSelection - Periph'!$C$20)))</f>
        <v>2.9429466666666664</v>
      </c>
      <c r="F26" s="113">
        <f ca="1">INDIRECT((ADDRESS(5+$B26,5,1,1,'DataSourceSelection - Periph'!$C$20)))</f>
        <v>1096.048395844</v>
      </c>
      <c r="G26" s="8"/>
      <c r="H26" s="22"/>
      <c r="I26" s="22">
        <v>6</v>
      </c>
      <c r="J26" s="51" t="str">
        <f ca="1">IF(INDIRECT((ADDRESS(5+$B26,2,1,1,'DataSourceSelection - Periph'!$C$25)))="", "", INDIRECT((ADDRESS(5+$B26,2,1,1,'DataSourceSelection - Periph'!$C$25))))</f>
        <v>Post-Processing</v>
      </c>
      <c r="K26" s="111">
        <f ca="1">INDIRECT((ADDRESS(5+$B26,3,1,1,'DataSourceSelection - Periph'!$C$25)))</f>
        <v>126.2623</v>
      </c>
      <c r="L26" s="111">
        <f ca="1">INDIRECT((ADDRESS(5+$B26,4,1,1,'DataSourceSelection - Periph'!$C$25)))</f>
        <v>4.0794200000000007</v>
      </c>
      <c r="M26" s="113">
        <f ca="1">INDIRECT((ADDRESS(5+$B26,5,1,1,'DataSourceSelection - Periph'!$C$25)))</f>
        <v>515.07695186600006</v>
      </c>
      <c r="N26" s="8"/>
      <c r="P26" s="22">
        <v>6</v>
      </c>
      <c r="Q26" s="51" t="str">
        <f ca="1">IF(INDIRECT((ADDRESS(5+$B26,2,1,1,'DataSourceSelection - Periph'!$C$30)))="", "", INDIRECT((ADDRESS(5+$B26,2,1,1,'DataSourceSelection - Periph'!$C$30))))</f>
        <v/>
      </c>
      <c r="R26" s="111">
        <f ca="1">INDIRECT((ADDRESS(5+$B26,3,1,1,'DataSourceSelection - Periph'!$C$30)))</f>
        <v>0</v>
      </c>
      <c r="S26" s="111">
        <f ca="1">INDIRECT((ADDRESS(5+$B26,4,1,1,'DataSourceSelection - Periph'!$C$30)))</f>
        <v>0</v>
      </c>
      <c r="T26" s="113">
        <f ca="1">INDIRECT((ADDRESS(5+$B26,5,1,1,'DataSourceSelection - Periph'!$C$30)))</f>
        <v>0</v>
      </c>
      <c r="U26" s="8"/>
      <c r="X26" s="69" t="s">
        <v>30</v>
      </c>
      <c r="Y26" s="52"/>
      <c r="Z26" s="52"/>
      <c r="AA26" s="53">
        <f ca="1">SUMPRODUCT(AA21:AA25,AC21:AC25)</f>
        <v>59.033619120862873</v>
      </c>
      <c r="AB26" s="52" t="s">
        <v>38</v>
      </c>
      <c r="AC26" s="70"/>
    </row>
    <row r="27" spans="2:29" x14ac:dyDescent="0.2">
      <c r="B27" s="22">
        <v>7</v>
      </c>
      <c r="C27" s="51" t="str">
        <f ca="1">IF(INDIRECT((ADDRESS(5+$B27,2,1,1,'DataSourceSelection - Periph'!$C$20)))="", "", INDIRECT((ADDRESS(5+$B27,2,1,1,'DataSourceSelection - Periph'!$C$20))))</f>
        <v>Transmit (TX)</v>
      </c>
      <c r="D27" s="111">
        <f ca="1">INDIRECT((ADDRESS(5+$B27,3,1,1,'DataSourceSelection - Periph'!$C$20)))</f>
        <v>327.25559999999996</v>
      </c>
      <c r="E27" s="111">
        <f ca="1">INDIRECT((ADDRESS(5+$B27,4,1,1,'DataSourceSelection - Periph'!$C$20)))</f>
        <v>4.9986466666666658</v>
      </c>
      <c r="F27" s="113">
        <f ca="1">INDIRECT((ADDRESS(5+$B27,5,1,1,'DataSourceSelection - Periph'!$C$20)))</f>
        <v>1635.8351140879995</v>
      </c>
      <c r="G27" s="8"/>
      <c r="H27" s="22"/>
      <c r="I27" s="22">
        <v>7</v>
      </c>
      <c r="J27" s="51" t="str">
        <f ca="1">IF(INDIRECT((ADDRESS(5+$B27,2,1,1,'DataSourceSelection - Periph'!$C$25)))="", "", INDIRECT((ADDRESS(5+$B27,2,1,1,'DataSourceSelection - Periph'!$C$25))))</f>
        <v/>
      </c>
      <c r="K27" s="111">
        <f ca="1">INDIRECT((ADDRESS(5+$B27,3,1,1,'DataSourceSelection - Periph'!$C$25)))</f>
        <v>0</v>
      </c>
      <c r="L27" s="111">
        <f ca="1">INDIRECT((ADDRESS(5+$B27,4,1,1,'DataSourceSelection - Periph'!$C$25)))</f>
        <v>0</v>
      </c>
      <c r="M27" s="113">
        <f ca="1">INDIRECT((ADDRESS(5+$B27,5,1,1,'DataSourceSelection - Periph'!$C$25)))</f>
        <v>0</v>
      </c>
      <c r="N27" s="8"/>
      <c r="P27" s="22">
        <v>7</v>
      </c>
      <c r="Q27" s="51" t="str">
        <f ca="1">IF(INDIRECT((ADDRESS(5+$B27,2,1,1,'DataSourceSelection - Periph'!$C$30)))="", "", INDIRECT((ADDRESS(5+$B27,2,1,1,'DataSourceSelection - Periph'!$C$30))))</f>
        <v/>
      </c>
      <c r="R27" s="111">
        <f ca="1">INDIRECT((ADDRESS(5+$B27,3,1,1,'DataSourceSelection - Periph'!$C$30)))</f>
        <v>0</v>
      </c>
      <c r="S27" s="111">
        <f ca="1">INDIRECT((ADDRESS(5+$B27,4,1,1,'DataSourceSelection - Periph'!$C$30)))</f>
        <v>0</v>
      </c>
      <c r="T27" s="113">
        <f ca="1">INDIRECT((ADDRESS(5+$B27,5,1,1,'DataSourceSelection - Periph'!$C$30)))</f>
        <v>0</v>
      </c>
      <c r="U27" s="8"/>
      <c r="X27" s="39"/>
      <c r="Y27" s="34"/>
      <c r="Z27" s="34"/>
      <c r="AA27" s="47">
        <f ca="1">D4/(AA26/1000)</f>
        <v>3811.3875339295182</v>
      </c>
      <c r="AB27" s="34" t="s">
        <v>18</v>
      </c>
      <c r="AC27" s="40"/>
    </row>
    <row r="28" spans="2:29" x14ac:dyDescent="0.2">
      <c r="B28" s="22">
        <v>8</v>
      </c>
      <c r="C28" s="51" t="str">
        <f ca="1">IF(INDIRECT((ADDRESS(5+$B28,2,1,1,'DataSourceSelection - Periph'!$C$20)))="", "", INDIRECT((ADDRESS(5+$B28,2,1,1,'DataSourceSelection - Periph'!$C$20))))</f>
        <v>TX to RX transition</v>
      </c>
      <c r="D28" s="111">
        <f ca="1">INDIRECT((ADDRESS(5+$B28,3,1,1,'DataSourceSelection - Periph'!$C$20)))</f>
        <v>74.617199999999997</v>
      </c>
      <c r="E28" s="111">
        <f ca="1">INDIRECT((ADDRESS(5+$B28,4,1,1,'DataSourceSelection - Periph'!$C$20)))</f>
        <v>2.9272503333333337</v>
      </c>
      <c r="F28" s="113">
        <f ca="1">INDIRECT((ADDRESS(5+$B28,5,1,1,'DataSourceSelection - Periph'!$C$20)))</f>
        <v>218.42322357240002</v>
      </c>
      <c r="G28" s="8"/>
      <c r="H28" s="22"/>
      <c r="I28" s="22">
        <v>8</v>
      </c>
      <c r="J28" s="51" t="str">
        <f ca="1">IF(INDIRECT((ADDRESS(5+$B28,2,1,1,'DataSourceSelection - Periph'!$C$25)))="", "", INDIRECT((ADDRESS(5+$B28,2,1,1,'DataSourceSelection - Periph'!$C$25))))</f>
        <v/>
      </c>
      <c r="K28" s="111">
        <f ca="1">INDIRECT((ADDRESS(5+$B28,3,1,1,'DataSourceSelection - Periph'!$C$25)))</f>
        <v>0</v>
      </c>
      <c r="L28" s="111">
        <f ca="1">INDIRECT((ADDRESS(5+$B28,4,1,1,'DataSourceSelection - Periph'!$C$25)))</f>
        <v>0</v>
      </c>
      <c r="M28" s="113">
        <f ca="1">INDIRECT((ADDRESS(5+$B28,5,1,1,'DataSourceSelection - Periph'!$C$25)))</f>
        <v>0</v>
      </c>
      <c r="N28" s="8"/>
      <c r="P28" s="22">
        <v>8</v>
      </c>
      <c r="Q28" s="51" t="str">
        <f ca="1">IF(INDIRECT((ADDRESS(5+$B28,2,1,1,'DataSourceSelection - Periph'!$C$30)))="", "", INDIRECT((ADDRESS(5+$B28,2,1,1,'DataSourceSelection - Periph'!$C$30))))</f>
        <v/>
      </c>
      <c r="R28" s="111">
        <f ca="1">INDIRECT((ADDRESS(5+$B28,3,1,1,'DataSourceSelection - Periph'!$C$30)))</f>
        <v>0</v>
      </c>
      <c r="S28" s="111">
        <f ca="1">INDIRECT((ADDRESS(5+$B28,4,1,1,'DataSourceSelection - Periph'!$C$30)))</f>
        <v>0</v>
      </c>
      <c r="T28" s="113">
        <f ca="1">INDIRECT((ADDRESS(5+$B28,5,1,1,'DataSourceSelection - Periph'!$C$30)))</f>
        <v>0</v>
      </c>
      <c r="U28" s="8"/>
      <c r="X28" s="38" t="s">
        <v>20</v>
      </c>
      <c r="Y28" s="34"/>
      <c r="Z28" s="34"/>
      <c r="AA28" s="47">
        <f ca="1">AA27/24</f>
        <v>158.80781391372992</v>
      </c>
      <c r="AB28" s="34" t="s">
        <v>21</v>
      </c>
      <c r="AC28" s="40"/>
    </row>
    <row r="29" spans="2:29" x14ac:dyDescent="0.2">
      <c r="B29" s="22">
        <v>9</v>
      </c>
      <c r="C29" s="51" t="str">
        <f ca="1">IF(INDIRECT((ADDRESS(5+$B29,2,1,1,'DataSourceSelection - Periph'!$C$20)))="", "", INDIRECT((ADDRESS(5+$B29,2,1,1,'DataSourceSelection - Periph'!$C$20))))</f>
        <v>Recieve (RX)</v>
      </c>
      <c r="D29" s="111">
        <f ca="1">INDIRECT((ADDRESS(5+$B29,3,1,1,'DataSourceSelection - Periph'!$C$20)))</f>
        <v>119.09439999999999</v>
      </c>
      <c r="E29" s="111">
        <f ca="1">INDIRECT((ADDRESS(5+$B29,4,1,1,'DataSourceSelection - Periph'!$C$20)))</f>
        <v>4.9328233333333333</v>
      </c>
      <c r="F29" s="113">
        <f ca="1">INDIRECT((ADDRESS(5+$B29,5,1,1,'DataSourceSelection - Periph'!$C$20)))</f>
        <v>587.47163518933326</v>
      </c>
      <c r="G29" s="8"/>
      <c r="H29" s="22"/>
      <c r="I29" s="22">
        <v>9</v>
      </c>
      <c r="J29" s="51" t="str">
        <f ca="1">IF(INDIRECT((ADDRESS(5+$B29,2,1,1,'DataSourceSelection - Periph'!$C$25)))="", "", INDIRECT((ADDRESS(5+$B29,2,1,1,'DataSourceSelection - Periph'!$C$25))))</f>
        <v/>
      </c>
      <c r="K29" s="111">
        <f ca="1">INDIRECT((ADDRESS(5+$B29,3,1,1,'DataSourceSelection - Periph'!$C$25)))</f>
        <v>0</v>
      </c>
      <c r="L29" s="111">
        <f ca="1">INDIRECT((ADDRESS(5+$B29,4,1,1,'DataSourceSelection - Periph'!$C$25)))</f>
        <v>0</v>
      </c>
      <c r="M29" s="113">
        <f ca="1">INDIRECT((ADDRESS(5+$B29,5,1,1,'DataSourceSelection - Periph'!$C$25)))</f>
        <v>0</v>
      </c>
      <c r="N29" s="8"/>
      <c r="P29" s="22">
        <v>9</v>
      </c>
      <c r="Q29" s="51" t="str">
        <f ca="1">IF(INDIRECT((ADDRESS(5+$B29,2,1,1,'DataSourceSelection - Periph'!$C$30)))="", "", INDIRECT((ADDRESS(5+$B29,2,1,1,'DataSourceSelection - Periph'!$C$30))))</f>
        <v/>
      </c>
      <c r="R29" s="111">
        <f ca="1">INDIRECT((ADDRESS(5+$B29,3,1,1,'DataSourceSelection - Periph'!$C$30)))</f>
        <v>0</v>
      </c>
      <c r="S29" s="111">
        <f ca="1">INDIRECT((ADDRESS(5+$B29,4,1,1,'DataSourceSelection - Periph'!$C$30)))</f>
        <v>0</v>
      </c>
      <c r="T29" s="113">
        <f ca="1">INDIRECT((ADDRESS(5+$B29,5,1,1,'DataSourceSelection - Periph'!$C$30)))</f>
        <v>0</v>
      </c>
      <c r="U29" s="8"/>
      <c r="X29" s="71"/>
      <c r="Y29" s="72"/>
      <c r="Z29" s="72"/>
      <c r="AA29" s="73">
        <f ca="1">AA28/365</f>
        <v>0.4350899011335066</v>
      </c>
      <c r="AB29" s="72" t="s">
        <v>22</v>
      </c>
      <c r="AC29" s="74"/>
    </row>
    <row r="30" spans="2:29" x14ac:dyDescent="0.2">
      <c r="B30" s="22">
        <v>10</v>
      </c>
      <c r="C30" s="51" t="str">
        <f ca="1">IF(INDIRECT((ADDRESS(5+$B30,2,1,1,'DataSourceSelection - Periph'!$C$20)))="", "", INDIRECT((ADDRESS(5+$B30,2,1,1,'DataSourceSelection - Periph'!$C$20))))</f>
        <v>RX to TX transition</v>
      </c>
      <c r="D30" s="111">
        <f ca="1">INDIRECT((ADDRESS(5+$B30,3,1,1,'DataSourceSelection - Periph'!$C$20)))</f>
        <v>371.90719999999999</v>
      </c>
      <c r="E30" s="111">
        <f ca="1">INDIRECT((ADDRESS(5+$B30,4,1,1,'DataSourceSelection - Periph'!$C$20)))</f>
        <v>2.9496626666666668</v>
      </c>
      <c r="F30" s="113">
        <f ca="1">INDIRECT((ADDRESS(5+$B30,5,1,1,'DataSourceSelection - Periph'!$C$20)))</f>
        <v>1097.0007833045333</v>
      </c>
      <c r="G30" s="8"/>
      <c r="H30" s="22"/>
      <c r="I30" s="22">
        <v>10</v>
      </c>
      <c r="J30" s="51" t="str">
        <f ca="1">IF(INDIRECT((ADDRESS(5+$B30,2,1,1,'DataSourceSelection - Periph'!$C$25)))="", "", INDIRECT((ADDRESS(5+$B30,2,1,1,'DataSourceSelection - Periph'!$C$25))))</f>
        <v/>
      </c>
      <c r="K30" s="111">
        <f ca="1">INDIRECT((ADDRESS(5+$B30,3,1,1,'DataSourceSelection - Periph'!$C$25)))</f>
        <v>0</v>
      </c>
      <c r="L30" s="111">
        <f ca="1">INDIRECT((ADDRESS(5+$B30,4,1,1,'DataSourceSelection - Periph'!$C$25)))</f>
        <v>0</v>
      </c>
      <c r="M30" s="113">
        <f ca="1">INDIRECT((ADDRESS(5+$B30,5,1,1,'DataSourceSelection - Periph'!$C$25)))</f>
        <v>0</v>
      </c>
      <c r="N30" s="8"/>
      <c r="P30" s="22">
        <v>10</v>
      </c>
      <c r="Q30" s="51" t="str">
        <f ca="1">IF(INDIRECT((ADDRESS(5+$B30,2,1,1,'DataSourceSelection - Periph'!$C$30)))="", "", INDIRECT((ADDRESS(5+$B30,2,1,1,'DataSourceSelection - Periph'!$C$30))))</f>
        <v/>
      </c>
      <c r="R30" s="111">
        <f ca="1">INDIRECT((ADDRESS(5+$B30,3,1,1,'DataSourceSelection - Periph'!$C$30)))</f>
        <v>0</v>
      </c>
      <c r="S30" s="111">
        <f ca="1">INDIRECT((ADDRESS(5+$B30,4,1,1,'DataSourceSelection - Periph'!$C$30)))</f>
        <v>0</v>
      </c>
      <c r="T30" s="113">
        <f ca="1">INDIRECT((ADDRESS(5+$B30,5,1,1,'DataSourceSelection - Periph'!$C$30)))</f>
        <v>0</v>
      </c>
      <c r="U30" s="8"/>
      <c r="X30" s="21"/>
      <c r="Y30" s="6"/>
      <c r="Z30" s="6"/>
      <c r="AA30" s="6"/>
      <c r="AB30" s="6"/>
      <c r="AC30" s="2"/>
    </row>
    <row r="31" spans="2:29" x14ac:dyDescent="0.2">
      <c r="B31" s="22">
        <v>11</v>
      </c>
      <c r="C31" s="51" t="str">
        <f ca="1">IF(INDIRECT((ADDRESS(5+$B31,2,1,1,'DataSourceSelection - Periph'!$C$20)))="", "", INDIRECT((ADDRESS(5+$B31,2,1,1,'DataSourceSelection - Periph'!$C$20))))</f>
        <v>Transmit (TX)</v>
      </c>
      <c r="D31" s="111">
        <f ca="1">INDIRECT((ADDRESS(5+$B31,3,1,1,'DataSourceSelection - Periph'!$C$20)))</f>
        <v>327.25559999999996</v>
      </c>
      <c r="E31" s="111">
        <f ca="1">INDIRECT((ADDRESS(5+$B31,4,1,1,'DataSourceSelection - Periph'!$C$20)))</f>
        <v>4.9671433333333335</v>
      </c>
      <c r="F31" s="113">
        <f ca="1">INDIRECT((ADDRESS(5+$B31,5,1,1,'DataSourceSelection - Periph'!$C$20)))</f>
        <v>1625.5254718359997</v>
      </c>
      <c r="G31" s="8"/>
      <c r="H31" s="22"/>
      <c r="I31" s="22">
        <v>11</v>
      </c>
      <c r="J31" s="51" t="str">
        <f ca="1">IF(INDIRECT((ADDRESS(5+$B31,2,1,1,'DataSourceSelection - Periph'!$C$25)))="", "", INDIRECT((ADDRESS(5+$B31,2,1,1,'DataSourceSelection - Periph'!$C$25))))</f>
        <v/>
      </c>
      <c r="K31" s="111">
        <f ca="1">INDIRECT((ADDRESS(5+$B31,3,1,1,'DataSourceSelection - Periph'!$C$25)))</f>
        <v>0</v>
      </c>
      <c r="L31" s="111">
        <f ca="1">INDIRECT((ADDRESS(5+$B31,4,1,1,'DataSourceSelection - Periph'!$C$25)))</f>
        <v>0</v>
      </c>
      <c r="M31" s="113">
        <f ca="1">INDIRECT((ADDRESS(5+$B31,5,1,1,'DataSourceSelection - Periph'!$C$25)))</f>
        <v>0</v>
      </c>
      <c r="N31" s="8"/>
      <c r="P31" s="22">
        <v>11</v>
      </c>
      <c r="Q31" s="51" t="str">
        <f ca="1">IF(INDIRECT((ADDRESS(5+$B31,2,1,1,'DataSourceSelection - Periph'!$C$30)))="", "", INDIRECT((ADDRESS(5+$B31,2,1,1,'DataSourceSelection - Periph'!$C$30))))</f>
        <v/>
      </c>
      <c r="R31" s="111">
        <f ca="1">INDIRECT((ADDRESS(5+$B31,3,1,1,'DataSourceSelection - Periph'!$C$30)))</f>
        <v>0</v>
      </c>
      <c r="S31" s="111">
        <f ca="1">INDIRECT((ADDRESS(5+$B31,4,1,1,'DataSourceSelection - Periph'!$C$30)))</f>
        <v>0</v>
      </c>
      <c r="T31" s="113">
        <f ca="1">INDIRECT((ADDRESS(5+$B31,5,1,1,'DataSourceSelection - Periph'!$C$30)))</f>
        <v>0</v>
      </c>
      <c r="U31" s="8"/>
      <c r="X31" s="22"/>
      <c r="AC31" s="8"/>
    </row>
    <row r="32" spans="2:29" x14ac:dyDescent="0.2">
      <c r="B32" s="22">
        <v>12</v>
      </c>
      <c r="C32" s="51" t="str">
        <f ca="1">IF(INDIRECT((ADDRESS(5+$B32,2,1,1,'DataSourceSelection - Periph'!$C$20)))="", "", INDIRECT((ADDRESS(5+$B32,2,1,1,'DataSourceSelection - Periph'!$C$20))))</f>
        <v>TX to RX transition</v>
      </c>
      <c r="D32" s="111">
        <f ca="1">INDIRECT((ADDRESS(5+$B32,3,1,1,'DataSourceSelection - Periph'!$C$20)))</f>
        <v>74.614800000000002</v>
      </c>
      <c r="E32" s="111">
        <f ca="1">INDIRECT((ADDRESS(5+$B32,4,1,1,'DataSourceSelection - Periph'!$C$20)))</f>
        <v>2.9366873333333334</v>
      </c>
      <c r="F32" s="113">
        <f ca="1">INDIRECT((ADDRESS(5+$B32,5,1,1,'DataSourceSelection - Periph'!$C$20)))</f>
        <v>219.12033803920002</v>
      </c>
      <c r="G32" s="8"/>
      <c r="H32" s="22"/>
      <c r="I32" s="22">
        <v>12</v>
      </c>
      <c r="J32" s="51" t="str">
        <f ca="1">IF(INDIRECT((ADDRESS(5+$B32,2,1,1,'DataSourceSelection - Periph'!$C$25)))="", "", INDIRECT((ADDRESS(5+$B32,2,1,1,'DataSourceSelection - Periph'!$C$25))))</f>
        <v/>
      </c>
      <c r="K32" s="111">
        <f ca="1">INDIRECT((ADDRESS(5+$B32,3,1,1,'DataSourceSelection - Periph'!$C$25)))</f>
        <v>0</v>
      </c>
      <c r="L32" s="111">
        <f ca="1">INDIRECT((ADDRESS(5+$B32,4,1,1,'DataSourceSelection - Periph'!$C$25)))</f>
        <v>0</v>
      </c>
      <c r="M32" s="113">
        <f ca="1">INDIRECT((ADDRESS(5+$B32,5,1,1,'DataSourceSelection - Periph'!$C$25)))</f>
        <v>0</v>
      </c>
      <c r="N32" s="8"/>
      <c r="P32" s="22">
        <v>12</v>
      </c>
      <c r="Q32" s="51" t="str">
        <f ca="1">IF(INDIRECT((ADDRESS(5+$B32,2,1,1,'DataSourceSelection - Periph'!$C$30)))="", "", INDIRECT((ADDRESS(5+$B32,2,1,1,'DataSourceSelection - Periph'!$C$30))))</f>
        <v/>
      </c>
      <c r="R32" s="111">
        <f ca="1">INDIRECT((ADDRESS(5+$B32,3,1,1,'DataSourceSelection - Periph'!$C$30)))</f>
        <v>0</v>
      </c>
      <c r="S32" s="111">
        <f ca="1">INDIRECT((ADDRESS(5+$B32,4,1,1,'DataSourceSelection - Periph'!$C$30)))</f>
        <v>0</v>
      </c>
      <c r="T32" s="113">
        <f ca="1">INDIRECT((ADDRESS(5+$B32,5,1,1,'DataSourceSelection - Periph'!$C$30)))</f>
        <v>0</v>
      </c>
      <c r="U32" s="8"/>
      <c r="X32" s="22"/>
      <c r="AC32" s="8"/>
    </row>
    <row r="33" spans="2:29" x14ac:dyDescent="0.2">
      <c r="B33" s="22">
        <v>13</v>
      </c>
      <c r="C33" s="51" t="str">
        <f ca="1">IF(INDIRECT((ADDRESS(5+$B33,2,1,1,'DataSourceSelection - Periph'!$C$20)))="", "", INDIRECT((ADDRESS(5+$B33,2,1,1,'DataSourceSelection - Periph'!$C$20))))</f>
        <v>Recieve (RX)</v>
      </c>
      <c r="D33" s="111">
        <f ca="1">INDIRECT((ADDRESS(5+$B33,3,1,1,'DataSourceSelection - Periph'!$C$20)))</f>
        <v>118.86019999999999</v>
      </c>
      <c r="E33" s="111">
        <f ca="1">INDIRECT((ADDRESS(5+$B33,4,1,1,'DataSourceSelection - Periph'!$C$20)))</f>
        <v>4.9199133333333336</v>
      </c>
      <c r="F33" s="113">
        <f ca="1">INDIRECT((ADDRESS(5+$B33,5,1,1,'DataSourceSelection - Periph'!$C$20)))</f>
        <v>584.78188278266668</v>
      </c>
      <c r="G33" s="8"/>
      <c r="H33" s="22"/>
      <c r="I33" s="22">
        <v>13</v>
      </c>
      <c r="J33" s="51" t="str">
        <f ca="1">IF(INDIRECT((ADDRESS(5+$B33,2,1,1,'DataSourceSelection - Periph'!$C$25)))="", "", INDIRECT((ADDRESS(5+$B33,2,1,1,'DataSourceSelection - Periph'!$C$25))))</f>
        <v/>
      </c>
      <c r="K33" s="111">
        <f ca="1">INDIRECT((ADDRESS(5+$B33,3,1,1,'DataSourceSelection - Periph'!$C$25)))</f>
        <v>0</v>
      </c>
      <c r="L33" s="111">
        <f ca="1">INDIRECT((ADDRESS(5+$B33,4,1,1,'DataSourceSelection - Periph'!$C$25)))</f>
        <v>0</v>
      </c>
      <c r="M33" s="113">
        <f ca="1">INDIRECT((ADDRESS(5+$B33,5,1,1,'DataSourceSelection - Periph'!$C$25)))</f>
        <v>0</v>
      </c>
      <c r="N33" s="8"/>
      <c r="P33" s="22">
        <v>13</v>
      </c>
      <c r="Q33" s="51" t="str">
        <f ca="1">IF(INDIRECT((ADDRESS(5+$B33,2,1,1,'DataSourceSelection - Periph'!$C$30)))="", "", INDIRECT((ADDRESS(5+$B33,2,1,1,'DataSourceSelection - Periph'!$C$30))))</f>
        <v/>
      </c>
      <c r="R33" s="111">
        <f ca="1">INDIRECT((ADDRESS(5+$B33,3,1,1,'DataSourceSelection - Periph'!$C$30)))</f>
        <v>0</v>
      </c>
      <c r="S33" s="111">
        <f ca="1">INDIRECT((ADDRESS(5+$B33,4,1,1,'DataSourceSelection - Periph'!$C$30)))</f>
        <v>0</v>
      </c>
      <c r="T33" s="113">
        <f ca="1">INDIRECT((ADDRESS(5+$B33,5,1,1,'DataSourceSelection - Periph'!$C$30)))</f>
        <v>0</v>
      </c>
      <c r="U33" s="8"/>
      <c r="X33" s="22"/>
      <c r="AC33" s="8"/>
    </row>
    <row r="34" spans="2:29" x14ac:dyDescent="0.2">
      <c r="B34" s="22">
        <v>14</v>
      </c>
      <c r="C34" s="51" t="str">
        <f ca="1">IF(INDIRECT((ADDRESS(5+$B34,2,1,1,'DataSourceSelection - Periph'!$C$20)))="", "", INDIRECT((ADDRESS(5+$B34,2,1,1,'DataSourceSelection - Periph'!$C$20))))</f>
        <v>Post-Processing</v>
      </c>
      <c r="D34" s="111">
        <f ca="1">INDIRECT((ADDRESS(5+$B34,3,1,1,'DataSourceSelection - Periph'!$C$20)))</f>
        <v>150.5265</v>
      </c>
      <c r="E34" s="111">
        <f ca="1">INDIRECT((ADDRESS(5+$B34,4,1,1,'DataSourceSelection - Periph'!$C$20)))</f>
        <v>3.3373366666666664</v>
      </c>
      <c r="F34" s="113">
        <f ca="1">INDIRECT((ADDRESS(5+$B34,5,1,1,'DataSourceSelection - Periph'!$C$20)))</f>
        <v>502.35760775499995</v>
      </c>
      <c r="G34" s="8"/>
      <c r="H34" s="22"/>
      <c r="I34" s="22">
        <v>14</v>
      </c>
      <c r="J34" s="51" t="str">
        <f ca="1">IF(INDIRECT((ADDRESS(5+$B34,2,1,1,'DataSourceSelection - Periph'!$C$25)))="", "", INDIRECT((ADDRESS(5+$B34,2,1,1,'DataSourceSelection - Periph'!$C$25))))</f>
        <v/>
      </c>
      <c r="K34" s="111">
        <f ca="1">INDIRECT((ADDRESS(5+$B34,3,1,1,'DataSourceSelection - Periph'!$C$25)))</f>
        <v>0</v>
      </c>
      <c r="L34" s="111">
        <f ca="1">INDIRECT((ADDRESS(5+$B34,4,1,1,'DataSourceSelection - Periph'!$C$25)))</f>
        <v>0</v>
      </c>
      <c r="M34" s="113">
        <f ca="1">INDIRECT((ADDRESS(5+$B34,5,1,1,'DataSourceSelection - Periph'!$C$25)))</f>
        <v>0</v>
      </c>
      <c r="N34" s="8"/>
      <c r="P34" s="22">
        <v>14</v>
      </c>
      <c r="Q34" s="51" t="str">
        <f ca="1">IF(INDIRECT((ADDRESS(5+$B34,2,1,1,'DataSourceSelection - Periph'!$C$30)))="", "", INDIRECT((ADDRESS(5+$B34,2,1,1,'DataSourceSelection - Periph'!$C$30))))</f>
        <v/>
      </c>
      <c r="R34" s="111">
        <f ca="1">INDIRECT((ADDRESS(5+$B34,3,1,1,'DataSourceSelection - Periph'!$C$30)))</f>
        <v>0</v>
      </c>
      <c r="S34" s="111">
        <f ca="1">INDIRECT((ADDRESS(5+$B34,4,1,1,'DataSourceSelection - Periph'!$C$30)))</f>
        <v>0</v>
      </c>
      <c r="T34" s="113">
        <f ca="1">INDIRECT((ADDRESS(5+$B34,5,1,1,'DataSourceSelection - Periph'!$C$30)))</f>
        <v>0</v>
      </c>
      <c r="U34" s="8"/>
      <c r="X34" s="22"/>
      <c r="AC34" s="8"/>
    </row>
    <row r="35" spans="2:29" x14ac:dyDescent="0.2">
      <c r="B35" s="22">
        <v>15</v>
      </c>
      <c r="C35" s="51" t="str">
        <f ca="1">IF(INDIRECT((ADDRESS(5+$B35,2,1,1,'DataSourceSelection - Periph'!$C$20)))="", "", INDIRECT((ADDRESS(5+$B35,2,1,1,'DataSourceSelection - Periph'!$C$20))))</f>
        <v/>
      </c>
      <c r="D35" s="111">
        <f ca="1">INDIRECT((ADDRESS(5+$B35,3,1,1,'DataSourceSelection - Periph'!$C$20)))</f>
        <v>0</v>
      </c>
      <c r="E35" s="111">
        <f ca="1">INDIRECT((ADDRESS(5+$B35,4,1,1,'DataSourceSelection - Periph'!$C$20)))</f>
        <v>0</v>
      </c>
      <c r="F35" s="113">
        <f ca="1">INDIRECT((ADDRESS(5+$B35,5,1,1,'DataSourceSelection - Periph'!$C$20)))</f>
        <v>0</v>
      </c>
      <c r="G35" s="8"/>
      <c r="H35" s="22"/>
      <c r="I35" s="22">
        <v>15</v>
      </c>
      <c r="J35" s="51" t="str">
        <f ca="1">IF(INDIRECT((ADDRESS(5+$B35,2,1,1,'DataSourceSelection - Periph'!$C$25)))="", "", INDIRECT((ADDRESS(5+$B35,2,1,1,'DataSourceSelection - Periph'!$C$25))))</f>
        <v/>
      </c>
      <c r="K35" s="111">
        <f ca="1">INDIRECT((ADDRESS(5+$B35,3,1,1,'DataSourceSelection - Periph'!$C$25)))</f>
        <v>0</v>
      </c>
      <c r="L35" s="111">
        <f ca="1">INDIRECT((ADDRESS(5+$B35,4,1,1,'DataSourceSelection - Periph'!$C$25)))</f>
        <v>0</v>
      </c>
      <c r="M35" s="113">
        <f ca="1">INDIRECT((ADDRESS(5+$B35,5,1,1,'DataSourceSelection - Periph'!$C$25)))</f>
        <v>0</v>
      </c>
      <c r="N35" s="54"/>
      <c r="P35" s="22">
        <v>15</v>
      </c>
      <c r="Q35" s="51" t="str">
        <f ca="1">IF(INDIRECT((ADDRESS(5+$B35,2,1,1,'DataSourceSelection - Periph'!$C$30)))="", "", INDIRECT((ADDRESS(5+$B35,2,1,1,'DataSourceSelection - Periph'!$C$30))))</f>
        <v>Total time [us]</v>
      </c>
      <c r="R35" s="111">
        <f ca="1">INDIRECT((ADDRESS(5+$B35,3,1,1,'DataSourceSelection - Periph'!$C$30)))</f>
        <v>0</v>
      </c>
      <c r="S35" s="111">
        <f ca="1">INDIRECT((ADDRESS(5+$B35,4,1,1,'DataSourceSelection - Periph'!$C$30)))</f>
        <v>0</v>
      </c>
      <c r="T35" s="113">
        <f ca="1">INDIRECT((ADDRESS(5+$B35,5,1,1,'DataSourceSelection - Periph'!$C$30)))</f>
        <v>0</v>
      </c>
      <c r="U35" s="54"/>
      <c r="X35" s="22"/>
      <c r="AC35" s="8"/>
    </row>
    <row r="36" spans="2:29" x14ac:dyDescent="0.2">
      <c r="B36" s="22">
        <v>16</v>
      </c>
      <c r="C36" s="51" t="str">
        <f ca="1">IF(INDIRECT((ADDRESS(5+$B36,2,1,1,'DataSourceSelection - Periph'!$C$20)))="", "", INDIRECT((ADDRESS(5+$B36,2,1,1,'DataSourceSelection - Periph'!$C$20))))</f>
        <v/>
      </c>
      <c r="D36" s="111">
        <f ca="1">INDIRECT((ADDRESS(5+$B36,3,1,1,'DataSourceSelection - Periph'!$C$20)))</f>
        <v>0</v>
      </c>
      <c r="E36" s="111">
        <f ca="1">INDIRECT((ADDRESS(5+$B36,4,1,1,'DataSourceSelection - Periph'!$C$20)))</f>
        <v>0</v>
      </c>
      <c r="F36" s="113">
        <f ca="1">INDIRECT((ADDRESS(5+$B36,5,1,1,'DataSourceSelection - Periph'!$C$20)))</f>
        <v>0</v>
      </c>
      <c r="G36" s="8"/>
      <c r="H36" s="22"/>
      <c r="I36" s="22">
        <v>16</v>
      </c>
      <c r="J36" s="51" t="str">
        <f ca="1">IF(INDIRECT((ADDRESS(5+$B36,2,1,1,'DataSourceSelection - Periph'!$C$25)))="", "", INDIRECT((ADDRESS(5+$B36,2,1,1,'DataSourceSelection - Periph'!$C$25))))</f>
        <v/>
      </c>
      <c r="K36" s="111">
        <f ca="1">INDIRECT((ADDRESS(5+$B36,3,1,1,'DataSourceSelection - Periph'!$C$25)))</f>
        <v>0</v>
      </c>
      <c r="L36" s="111">
        <f ca="1">INDIRECT((ADDRESS(5+$B36,4,1,1,'DataSourceSelection - Periph'!$C$25)))</f>
        <v>0</v>
      </c>
      <c r="M36" s="113">
        <f ca="1">INDIRECT((ADDRESS(5+$B36,5,1,1,'DataSourceSelection - Periph'!$C$25)))</f>
        <v>0</v>
      </c>
      <c r="N36" s="54"/>
      <c r="P36" s="22">
        <v>16</v>
      </c>
      <c r="Q36" s="51" t="str">
        <f ca="1">IF(INDIRECT((ADDRESS(5+$B36,2,1,1,'DataSourceSelection - Periph'!$C$30)))="", "", INDIRECT((ADDRESS(5+$B36,2,1,1,'DataSourceSelection - Periph'!$C$30))))</f>
        <v>Total time * current [us*mA]</v>
      </c>
      <c r="R36" s="111">
        <f ca="1">INDIRECT((ADDRESS(5+$B36,3,1,1,'DataSourceSelection - Periph'!$C$30)))</f>
        <v>0</v>
      </c>
      <c r="S36" s="111">
        <f ca="1">INDIRECT((ADDRESS(5+$B36,4,1,1,'DataSourceSelection - Periph'!$C$30)))</f>
        <v>0</v>
      </c>
      <c r="T36" s="113">
        <f ca="1">INDIRECT((ADDRESS(5+$B36,5,1,1,'DataSourceSelection - Periph'!$C$30)))</f>
        <v>0</v>
      </c>
      <c r="U36" s="54"/>
      <c r="X36" s="22"/>
      <c r="AC36" s="8"/>
    </row>
    <row r="37" spans="2:29" x14ac:dyDescent="0.2">
      <c r="B37" s="22"/>
      <c r="C37" s="82" t="str">
        <f ca="1">INDIRECT((ADDRESS(23,2,1,1,'DataSourceSelection - Periph'!$C$20)))</f>
        <v>Total time of advertising event [us]</v>
      </c>
      <c r="D37" s="133">
        <f ca="1">INDIRECT((ADDRESS(23,3,1,1,'DataSourceSelection - Periph'!$C$20)))</f>
        <v>3311.4506599999995</v>
      </c>
      <c r="E37" s="4"/>
      <c r="F37" s="2"/>
      <c r="G37" s="8"/>
      <c r="I37" s="22"/>
      <c r="J37" s="82" t="str">
        <f ca="1">INDIRECT((ADDRESS(23,2,1,1,'DataSourceSelection - Periph'!$C$25)))</f>
        <v>Total time of connection event [us]</v>
      </c>
      <c r="K37" s="133">
        <f ca="1">INDIRECT((ADDRESS(23,3,1,1,'DataSourceSelection - Periph'!$C$25)))</f>
        <v>1305.1022800000001</v>
      </c>
      <c r="L37" s="4"/>
      <c r="M37" s="2"/>
      <c r="N37" s="54"/>
      <c r="P37" s="22"/>
      <c r="Q37" s="82">
        <f ca="1">INDIRECT((ADDRESS(23,2,1,1,'DataSourceSelection - Periph'!$C$30)))</f>
        <v>0</v>
      </c>
      <c r="R37" s="133">
        <f ca="1">INDIRECT((ADDRESS(23,3,1,1,'DataSourceSelection - Periph'!$C$30)))</f>
        <v>0</v>
      </c>
      <c r="S37" s="4"/>
      <c r="T37" s="2"/>
      <c r="U37" s="54"/>
      <c r="X37" s="22"/>
      <c r="AC37" s="8"/>
    </row>
    <row r="38" spans="2:29" x14ac:dyDescent="0.2">
      <c r="B38" s="22"/>
      <c r="C38" s="114" t="str">
        <f ca="1">INDIRECT((ADDRESS(24,2,1,1,'DataSourceSelection - Periph'!$C$20)))</f>
        <v>Total time * current [us*mA]</v>
      </c>
      <c r="D38" s="60"/>
      <c r="E38" s="5"/>
      <c r="F38" s="62">
        <f ca="1">INDIRECT((ADDRESS(24,5,1,1,'DataSourceSelection - Periph'!$C$20)))</f>
        <v>13032.056621208778</v>
      </c>
      <c r="G38" s="8"/>
      <c r="I38" s="22"/>
      <c r="J38" s="114" t="str">
        <f ca="1">INDIRECT((ADDRESS(24,2,1,1,'DataSourceSelection - Periph'!$C$25)))</f>
        <v>Total time * current [us*mA]</v>
      </c>
      <c r="K38" s="60"/>
      <c r="L38" s="5"/>
      <c r="M38" s="62">
        <f ca="1">INDIRECT((ADDRESS(24,5,1,1,'DataSourceSelection - Periph'!$C$25)))</f>
        <v>5366.2175198116665</v>
      </c>
      <c r="N38" s="8"/>
      <c r="P38" s="22"/>
      <c r="Q38" s="114">
        <f ca="1">INDIRECT((ADDRESS(24,2,1,1,'DataSourceSelection - Periph'!$C$30)))</f>
        <v>0</v>
      </c>
      <c r="R38" s="60"/>
      <c r="S38" s="5"/>
      <c r="T38" s="62">
        <f ca="1">INDIRECT((ADDRESS(24,5,1,1,'DataSourceSelection - Periph'!$C$30)))</f>
        <v>0</v>
      </c>
      <c r="U38" s="8"/>
      <c r="X38" s="22"/>
      <c r="AC38" s="8"/>
    </row>
    <row r="39" spans="2:29" x14ac:dyDescent="0.2">
      <c r="B39" s="22"/>
      <c r="C39" s="115" t="str">
        <f ca="1">INDIRECT((ADDRESS(25,2,1,1,'DataSourceSelection - Periph'!$C$20)))</f>
        <v>Average Current draw during advertising event [uA]</v>
      </c>
      <c r="D39" s="79"/>
      <c r="E39" s="7"/>
      <c r="F39" s="59">
        <f ca="1">INDIRECT((ADDRESS(25,5,1,1,'DataSourceSelection - Periph'!$C$20)))</f>
        <v>3935.4524524936692</v>
      </c>
      <c r="G39" s="8"/>
      <c r="I39" s="22"/>
      <c r="J39" s="115" t="str">
        <f ca="1">INDIRECT((ADDRESS(25,2,1,1,'DataSourceSelection - Periph'!$C$25)))</f>
        <v>Average Current draw during connection event [uA]</v>
      </c>
      <c r="K39" s="79"/>
      <c r="L39" s="7"/>
      <c r="M39" s="59">
        <f ca="1">INDIRECT((ADDRESS(25,5,1,1,'DataSourceSelection - Periph'!$C$25)))</f>
        <v>4111.721818317309</v>
      </c>
      <c r="N39" s="8"/>
      <c r="P39" s="22"/>
      <c r="Q39" s="115">
        <f ca="1">INDIRECT((ADDRESS(25,2,1,1,'DataSourceSelection - Periph'!$C$30)))</f>
        <v>0</v>
      </c>
      <c r="R39" s="79"/>
      <c r="S39" s="7"/>
      <c r="T39" s="59">
        <f ca="1">INDIRECT((ADDRESS(25,5,1,1,'DataSourceSelection - Periph'!$C$30)))</f>
        <v>0</v>
      </c>
      <c r="U39" s="8"/>
      <c r="X39" s="22"/>
      <c r="AC39" s="8"/>
    </row>
    <row r="40" spans="2:29" x14ac:dyDescent="0.2">
      <c r="B40" s="22"/>
      <c r="G40" s="8"/>
      <c r="I40" s="22"/>
      <c r="J40" s="3"/>
      <c r="N40" s="8"/>
      <c r="P40" s="22"/>
      <c r="Q40" s="3"/>
      <c r="U40" s="8"/>
      <c r="X40" s="10"/>
      <c r="Y40" s="7"/>
      <c r="Z40" s="7"/>
      <c r="AA40" s="7"/>
      <c r="AB40" s="7"/>
      <c r="AC40" s="9"/>
    </row>
    <row r="41" spans="2:29" ht="15.75" x14ac:dyDescent="0.2">
      <c r="B41" s="22"/>
      <c r="C41" s="16" t="str">
        <f ca="1">INDIRECT((ADDRESS(27,2,1,1,'DataSourceSelection - Periph'!$C$20)))</f>
        <v>Avg. current draw when advertising:</v>
      </c>
      <c r="D41" s="81">
        <f ca="1">INDIRECT((ADDRESS(27,3,1,1,'DataSourceSelection - Periph'!$C$20)))</f>
        <v>63.79332134736358</v>
      </c>
      <c r="E41" s="96" t="s">
        <v>38</v>
      </c>
      <c r="G41" s="8"/>
      <c r="I41" s="22"/>
      <c r="J41" s="16" t="str">
        <f ca="1">INDIRECT((ADDRESS(27,2,1,1,'DataSourceSelection - Periph'!$C$25)))</f>
        <v>Average current draw during connection:</v>
      </c>
      <c r="K41" s="81">
        <f ca="1">INDIRECT((ADDRESS(27,3,1,1,'DataSourceSelection - Periph'!$C$25)))</f>
        <v>27.057091741682875</v>
      </c>
      <c r="L41" s="96" t="s">
        <v>38</v>
      </c>
      <c r="N41" s="8"/>
      <c r="P41" s="22"/>
      <c r="Q41" s="16">
        <f ca="1">INDIRECT((ADDRESS(27,2,1,1,'DataSourceSelection - Periph'!$C$30)))</f>
        <v>0</v>
      </c>
      <c r="R41" s="81">
        <f ca="1">INDIRECT((ADDRESS(27,3,1,1,'DataSourceSelection - Periph'!$C$30)))</f>
        <v>0</v>
      </c>
      <c r="S41" s="96" t="s">
        <v>38</v>
      </c>
      <c r="U41" s="8"/>
    </row>
    <row r="42" spans="2:29" ht="15.75" x14ac:dyDescent="0.2">
      <c r="B42" s="22"/>
      <c r="C42" s="16" t="str">
        <f ca="1">INDIRECT((ADDRESS(28,2,1,1,'DataSourceSelection - Periph'!$C$20)))</f>
        <v>Expected battery life:</v>
      </c>
      <c r="D42" s="95">
        <f ca="1">INDIRECT((ADDRESS(28,3,1,1,'DataSourceSelection - Periph'!$C$20)))</f>
        <v>3527.0149797475419</v>
      </c>
      <c r="E42" s="97" t="s">
        <v>18</v>
      </c>
      <c r="G42" s="8"/>
      <c r="I42" s="22"/>
      <c r="J42" s="16" t="str">
        <f ca="1">INDIRECT((ADDRESS(28,2,1,1,'DataSourceSelection - Periph'!$C$25)))</f>
        <v>Expected battery life:</v>
      </c>
      <c r="K42" s="95">
        <f ca="1">INDIRECT((ADDRESS(28,3,1,1,'DataSourceSelection - Periph'!$C$25)))</f>
        <v>8315.7496063546132</v>
      </c>
      <c r="L42" s="97" t="s">
        <v>18</v>
      </c>
      <c r="N42" s="8"/>
      <c r="P42" s="22"/>
      <c r="Q42" s="16">
        <f ca="1">INDIRECT((ADDRESS(28,2,1,1,'DataSourceSelection - Periph'!$C$30)))</f>
        <v>0</v>
      </c>
      <c r="R42" s="95">
        <f ca="1">INDIRECT((ADDRESS(28,3,1,1,'DataSourceSelection - Periph'!$C$30)))</f>
        <v>0</v>
      </c>
      <c r="S42" s="97" t="s">
        <v>18</v>
      </c>
      <c r="U42" s="8"/>
    </row>
    <row r="43" spans="2:29" ht="15.75" x14ac:dyDescent="0.2">
      <c r="B43" s="22"/>
      <c r="C43" s="16" t="str">
        <f ca="1">INDIRECT((ADDRESS(29,2,1,1,'DataSourceSelection - Periph'!$C$20)))</f>
        <v>Expected battery life:</v>
      </c>
      <c r="D43" s="141">
        <f ca="1">INDIRECT((ADDRESS(29,3,1,1,'DataSourceSelection - Periph'!$C$20)))</f>
        <v>146.95895748948092</v>
      </c>
      <c r="E43" s="96" t="s">
        <v>21</v>
      </c>
      <c r="G43" s="8"/>
      <c r="I43" s="22"/>
      <c r="J43" s="16" t="str">
        <f ca="1">INDIRECT((ADDRESS(29,2,1,1,'DataSourceSelection - Periph'!$C$25)))</f>
        <v>Expected battery life:</v>
      </c>
      <c r="K43" s="88">
        <f ca="1">INDIRECT((ADDRESS(29,3,1,1,'DataSourceSelection - Periph'!$C$25)))</f>
        <v>346.4895669314422</v>
      </c>
      <c r="L43" s="96" t="s">
        <v>21</v>
      </c>
      <c r="N43" s="8"/>
      <c r="P43" s="22"/>
      <c r="Q43" s="16">
        <f ca="1">INDIRECT((ADDRESS(29,2,1,1,'DataSourceSelection - Periph'!$C$30)))</f>
        <v>0</v>
      </c>
      <c r="R43" s="88">
        <f ca="1">INDIRECT((ADDRESS(29,3,1,1,'DataSourceSelection - Periph'!$C$30)))</f>
        <v>0</v>
      </c>
      <c r="S43" s="96" t="s">
        <v>21</v>
      </c>
      <c r="U43" s="8"/>
    </row>
    <row r="44" spans="2:29" x14ac:dyDescent="0.2">
      <c r="B44" s="10"/>
      <c r="C44" s="7"/>
      <c r="D44" s="7"/>
      <c r="E44" s="7"/>
      <c r="F44" s="7"/>
      <c r="G44" s="9"/>
      <c r="I44" s="10"/>
      <c r="J44" s="24"/>
      <c r="K44" s="25"/>
      <c r="L44" s="7"/>
      <c r="M44" s="7"/>
      <c r="N44" s="9"/>
      <c r="P44" s="10"/>
      <c r="Q44" s="24"/>
      <c r="R44" s="25"/>
      <c r="S44" s="7"/>
      <c r="T44" s="7"/>
      <c r="U44" s="9"/>
    </row>
    <row r="45" spans="2:29" x14ac:dyDescent="0.2">
      <c r="C45"/>
    </row>
    <row r="46" spans="2:29" x14ac:dyDescent="0.2">
      <c r="C46"/>
    </row>
    <row r="47" spans="2:29" ht="31.5" customHeight="1" x14ac:dyDescent="0.25">
      <c r="C47" s="198" t="str">
        <f>"Power Consumption profile"&amp;" " &amp; C18</f>
        <v>Power Consumption profile Legacy Advertising</v>
      </c>
      <c r="D47" s="198"/>
      <c r="E47" s="198"/>
      <c r="F47" s="198"/>
      <c r="J47" s="198" t="str">
        <f>"Power Consumption profile"&amp;" " &amp; J18</f>
        <v>Power Consumption profile Connected as Peripheral</v>
      </c>
      <c r="K47" s="198"/>
      <c r="L47" s="198"/>
      <c r="M47" s="198"/>
      <c r="Q47" s="198" t="str">
        <f>"Power Consumption profile"&amp;" " &amp; Q18</f>
        <v>Power Consumption profile None</v>
      </c>
      <c r="R47" s="198"/>
      <c r="S47" s="198"/>
      <c r="T47" s="198"/>
    </row>
    <row r="48" spans="2:29" x14ac:dyDescent="0.2">
      <c r="C48"/>
    </row>
    <row r="49" spans="3:3" x14ac:dyDescent="0.2">
      <c r="C49"/>
    </row>
    <row r="50" spans="3:3" x14ac:dyDescent="0.2">
      <c r="C50"/>
    </row>
    <row r="51" spans="3:3" ht="12.75" customHeight="1" x14ac:dyDescent="0.2">
      <c r="C51"/>
    </row>
    <row r="52" spans="3:3" x14ac:dyDescent="0.2">
      <c r="C52"/>
    </row>
    <row r="53" spans="3:3" x14ac:dyDescent="0.2">
      <c r="C53"/>
    </row>
    <row r="54" spans="3:3" x14ac:dyDescent="0.2">
      <c r="C54"/>
    </row>
    <row r="55" spans="3:3" x14ac:dyDescent="0.2">
      <c r="C55"/>
    </row>
  </sheetData>
  <mergeCells count="14">
    <mergeCell ref="X19:AC19"/>
    <mergeCell ref="F3:K3"/>
    <mergeCell ref="X18:AC18"/>
    <mergeCell ref="N3:P3"/>
    <mergeCell ref="C47:F47"/>
    <mergeCell ref="J47:M47"/>
    <mergeCell ref="Q47:T47"/>
    <mergeCell ref="N4:P4"/>
    <mergeCell ref="N5:P5"/>
    <mergeCell ref="N6:P6"/>
    <mergeCell ref="K18:M18"/>
    <mergeCell ref="D18:F18"/>
    <mergeCell ref="R18:T18"/>
    <mergeCell ref="F11:J11"/>
  </mergeCells>
  <conditionalFormatting sqref="F13:K16 F11:F12 K11:K12">
    <cfRule type="notContainsBlanks" dxfId="10" priority="5">
      <formula>LEN(TRIM(F11))&gt;0</formula>
    </cfRule>
  </conditionalFormatting>
  <conditionalFormatting sqref="Y21:Z25">
    <cfRule type="cellIs" dxfId="9" priority="3" operator="lessThan">
      <formula>0</formula>
    </cfRule>
  </conditionalFormatting>
  <conditionalFormatting sqref="Y21:Y25">
    <cfRule type="cellIs" dxfId="8" priority="2" operator="greaterThan">
      <formula>24</formula>
    </cfRule>
  </conditionalFormatting>
  <conditionalFormatting sqref="Z21:Z25">
    <cfRule type="cellIs" dxfId="7" priority="1" operator="greaterThan">
      <formula>59</formula>
    </cfRule>
  </conditionalFormatting>
  <dataValidations xWindow="478" yWindow="317" count="7">
    <dataValidation type="decimal" errorStyle="warning" allowBlank="1" showInputMessage="1" showErrorMessage="1" error="The advertising data length for legacy advertising shall be in the range of 2 to 31 bytes." prompt="The advertising data length for legacy advertising shall be in the range of 0 to 31 bytes." sqref="D8" xr:uid="{00000000-0002-0000-0100-000000000000}">
      <formula1>0</formula1>
      <formula2>31</formula2>
    </dataValidation>
    <dataValidation type="decimal" errorStyle="warning" showInputMessage="1" showErrorMessage="1" error="The connection interval shall be in the range of 7.5 ms to 4 s." prompt="The connection interval shall be in the range of 7.5 ms to 4 s." sqref="D11" xr:uid="{00000000-0002-0000-0100-000001000000}">
      <formula1>7.5</formula1>
      <formula2>4000</formula2>
    </dataValidation>
    <dataValidation type="decimal" errorStyle="warning" allowBlank="1" showInputMessage="1" showErrorMessage="1" error="The connection  data length shall be in the range of 0 to 251 bytes." prompt="The connection  data length shall be in the range of 0 to 251 bytes." sqref="D12" xr:uid="{00000000-0002-0000-0100-000002000000}">
      <formula1>0</formula1>
      <formula2>251</formula2>
    </dataValidation>
    <dataValidation type="decimal" errorStyle="warning" allowBlank="1" showInputMessage="1" showErrorMessage="1" error="The advertising interval shall be in the range of 20 ms to 10.24 s." prompt="The advertising interval shall be in the range of 20 ms to 10.24 s." sqref="D7" xr:uid="{00000000-0002-0000-0100-000003000000}">
      <formula1>20</formula1>
      <formula2>10240</formula2>
    </dataValidation>
    <dataValidation type="decimal" errorStyle="warning" allowBlank="1" showInputMessage="1" showErrorMessage="1" error="The advertising data length for extended advertising shall be in the range of 2 to 254 bytes." prompt="The advertising data length for extended advertising shall be in the range of 2 to 254 bytes." sqref="D9" xr:uid="{00000000-0002-0000-0100-000004000000}">
      <formula1>2</formula1>
      <formula2>254</formula2>
    </dataValidation>
    <dataValidation type="whole" operator="greaterThan" showInputMessage="1" showErrorMessage="1" error="Invalid battery capacity!" prompt="Battery capacity in mAh_x000a__x000a_Typical Battery Capacities (mAh)_x000a_CR2032: 225_x000a_AAA: 1200_x000a_AA: 2700_x000a_" sqref="D4" xr:uid="{00000000-0002-0000-0100-000006000000}">
      <formula1>0</formula1>
    </dataValidation>
    <dataValidation type="decimal" allowBlank="1" showInputMessage="1" showErrorMessage="1" prompt="between 0 and 1" sqref="D14:D15" xr:uid="{0EB083AE-C50B-405A-B040-ED2D326AE891}">
      <formula1>0</formula1>
      <formula2>1</formula2>
    </dataValidation>
  </dataValidations>
  <pageMargins left="0.75" right="0.75" top="1" bottom="1" header="0.5" footer="0.5"/>
  <pageSetup orientation="portrait" r:id="rId1"/>
  <headerFooter alignWithMargins="0"/>
  <drawing r:id="rId2"/>
  <extLst>
    <ext xmlns:x14="http://schemas.microsoft.com/office/spreadsheetml/2009/9/main" uri="{CCE6A557-97BC-4b89-ADB6-D9C93CAAB3DF}">
      <x14:dataValidations xmlns:xm="http://schemas.microsoft.com/office/excel/2006/main" xWindow="478" yWindow="317" count="5">
        <x14:dataValidation type="list" allowBlank="1" showInputMessage="1" showErrorMessage="1" xr:uid="{00000000-0002-0000-0100-000008000000}">
          <x14:formula1>
            <xm:f>'Input arguments'!$D$12:$D$13</xm:f>
          </x14:formula1>
          <xm:sqref>D5</xm:sqref>
        </x14:dataValidation>
        <x14:dataValidation type="list" allowBlank="1" showInputMessage="1" showErrorMessage="1" xr:uid="{00000000-0002-0000-0100-000009000000}">
          <x14:formula1>
            <xm:f>'Input arguments'!$F$12:$F$14</xm:f>
          </x14:formula1>
          <xm:sqref>D6 D10</xm:sqref>
        </x14:dataValidation>
        <x14:dataValidation type="list" allowBlank="1" showInputMessage="1" showErrorMessage="1" xr:uid="{00000000-0002-0000-0100-00000A000000}">
          <x14:formula1>
            <xm:f>'Input arguments'!$G$2:$G$3</xm:f>
          </x14:formula1>
          <xm:sqref>D13</xm:sqref>
        </x14:dataValidation>
        <x14:dataValidation type="list" allowBlank="1" showInputMessage="1" showErrorMessage="1" xr:uid="{00000000-0002-0000-0100-00000B000000}">
          <x14:formula1>
            <xm:f>'Input arguments'!$B$12:$B$17</xm:f>
          </x14:formula1>
          <xm:sqref>Q18 C18 J18</xm:sqref>
        </x14:dataValidation>
        <x14:dataValidation type="decimal" showInputMessage="1" showErrorMessage="1" prompt="1.8V to 3.6V" xr:uid="{00000000-0002-0000-0100-000007000000}">
          <x14:formula1>
            <xm:f>'Input arguments'!A12</xm:f>
          </x14:formula1>
          <x14:formula2>
            <xm:f>'Input arguments'!A13</xm:f>
          </x14:formula2>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C53"/>
  <sheetViews>
    <sheetView topLeftCell="A27" zoomScale="85" zoomScaleNormal="85" workbookViewId="0">
      <selection activeCell="J10" sqref="J10"/>
    </sheetView>
  </sheetViews>
  <sheetFormatPr defaultColWidth="8.85546875" defaultRowHeight="12.75" x14ac:dyDescent="0.2"/>
  <cols>
    <col min="1" max="1" width="5.140625" customWidth="1"/>
    <col min="2" max="2" width="4.42578125" customWidth="1"/>
    <col min="3" max="3" width="46.85546875" style="3" bestFit="1" customWidth="1"/>
    <col min="4" max="4" width="16.140625" bestFit="1" customWidth="1"/>
    <col min="5" max="5" width="8.42578125" customWidth="1"/>
    <col min="6" max="6" width="14.5703125" customWidth="1"/>
    <col min="7" max="7" width="2.28515625" customWidth="1"/>
    <col min="8" max="8" width="5.7109375" customWidth="1"/>
    <col min="9" max="9" width="4.140625" customWidth="1"/>
    <col min="10" max="10" width="46.85546875" customWidth="1"/>
    <col min="11" max="11" width="17.140625" customWidth="1"/>
    <col min="12" max="12" width="9.5703125" customWidth="1"/>
    <col min="13" max="13" width="14.140625" customWidth="1"/>
    <col min="14" max="14" width="2" customWidth="1"/>
    <col min="15" max="15" width="5.140625" customWidth="1"/>
    <col min="16" max="16" width="4.28515625" customWidth="1"/>
    <col min="17" max="17" width="49.28515625" customWidth="1"/>
    <col min="18" max="18" width="15.7109375" customWidth="1"/>
    <col min="20" max="20" width="15.140625" customWidth="1"/>
    <col min="21" max="21" width="3.140625" customWidth="1"/>
    <col min="22" max="22" width="2" customWidth="1"/>
    <col min="23" max="23" width="2.85546875" customWidth="1"/>
    <col min="24" max="24" width="27.42578125" customWidth="1"/>
    <col min="27" max="27" width="10.85546875" customWidth="1"/>
    <col min="28" max="28" width="6.140625" bestFit="1" customWidth="1"/>
    <col min="29" max="29" width="5.85546875" bestFit="1" customWidth="1"/>
  </cols>
  <sheetData>
    <row r="1" spans="2:29" x14ac:dyDescent="0.2">
      <c r="C1"/>
    </row>
    <row r="2" spans="2:29" ht="24.75" customHeight="1" x14ac:dyDescent="0.2">
      <c r="B2" s="18" t="s">
        <v>40</v>
      </c>
    </row>
    <row r="3" spans="2:29" ht="15.75" x14ac:dyDescent="0.25">
      <c r="C3" s="17" t="s">
        <v>0</v>
      </c>
      <c r="D3" s="63">
        <v>3</v>
      </c>
      <c r="E3" s="65"/>
      <c r="F3" s="192" t="s">
        <v>57</v>
      </c>
      <c r="G3" s="193"/>
      <c r="H3" s="193"/>
      <c r="I3" s="193"/>
      <c r="J3" s="193"/>
      <c r="K3" s="194"/>
      <c r="N3" s="195" t="s">
        <v>1</v>
      </c>
      <c r="O3" s="196"/>
      <c r="P3" s="197"/>
      <c r="Q3" s="104" t="s">
        <v>39</v>
      </c>
    </row>
    <row r="4" spans="2:29" x14ac:dyDescent="0.2">
      <c r="C4" s="13" t="s">
        <v>12</v>
      </c>
      <c r="D4" s="27">
        <v>225</v>
      </c>
      <c r="E4" s="65"/>
      <c r="F4" s="91" t="s">
        <v>59</v>
      </c>
      <c r="G4" s="29"/>
      <c r="H4" s="29"/>
      <c r="I4" s="29"/>
      <c r="J4" s="29"/>
      <c r="K4" s="92"/>
      <c r="N4" s="199" t="s">
        <v>2</v>
      </c>
      <c r="O4" s="199"/>
      <c r="P4" s="199"/>
      <c r="Q4" s="104" t="s">
        <v>112</v>
      </c>
    </row>
    <row r="5" spans="2:29" ht="12.75" customHeight="1" x14ac:dyDescent="0.2">
      <c r="C5" s="14" t="s">
        <v>41</v>
      </c>
      <c r="D5" s="87" t="s">
        <v>52</v>
      </c>
      <c r="E5" s="64" t="s">
        <v>58</v>
      </c>
      <c r="F5" s="39" t="s">
        <v>69</v>
      </c>
      <c r="G5" s="89"/>
      <c r="H5" s="89"/>
      <c r="I5" s="89"/>
      <c r="J5" s="89"/>
      <c r="K5" s="90"/>
      <c r="N5" s="199" t="s">
        <v>46</v>
      </c>
      <c r="O5" s="199"/>
      <c r="P5" s="199"/>
      <c r="Q5" s="121" t="s">
        <v>158</v>
      </c>
    </row>
    <row r="6" spans="2:29" x14ac:dyDescent="0.2">
      <c r="C6" s="14" t="s">
        <v>44</v>
      </c>
      <c r="D6" s="129">
        <v>0</v>
      </c>
      <c r="F6" s="10" t="s">
        <v>72</v>
      </c>
      <c r="G6" s="7"/>
      <c r="H6" s="7"/>
      <c r="I6" s="7"/>
      <c r="J6" s="7"/>
      <c r="K6" s="9"/>
      <c r="N6" s="199" t="s">
        <v>47</v>
      </c>
      <c r="O6" s="199"/>
      <c r="P6" s="199"/>
      <c r="Q6" s="105">
        <v>43740</v>
      </c>
    </row>
    <row r="7" spans="2:29" ht="12.75" customHeight="1" x14ac:dyDescent="0.2">
      <c r="C7" s="14" t="s">
        <v>113</v>
      </c>
      <c r="D7" s="26">
        <v>500</v>
      </c>
      <c r="E7" s="65"/>
    </row>
    <row r="8" spans="2:29" ht="12.75" customHeight="1" x14ac:dyDescent="0.2">
      <c r="C8" s="14" t="s">
        <v>104</v>
      </c>
      <c r="D8" s="26">
        <v>1280</v>
      </c>
      <c r="E8" s="1"/>
    </row>
    <row r="9" spans="2:29" ht="12.75" customHeight="1" x14ac:dyDescent="0.2">
      <c r="C9" s="14" t="s">
        <v>103</v>
      </c>
      <c r="D9" s="63">
        <f>D8-D7</f>
        <v>780</v>
      </c>
      <c r="E9" s="1"/>
    </row>
    <row r="10" spans="2:29" ht="12.75" customHeight="1" x14ac:dyDescent="0.2">
      <c r="C10" s="14" t="s">
        <v>105</v>
      </c>
      <c r="D10" s="63" t="s">
        <v>108</v>
      </c>
      <c r="E10" s="1">
        <v>5</v>
      </c>
      <c r="F10" s="125" t="str">
        <f>IF(D10='Input arguments'!H3,"scan requests expected per scanning window","")</f>
        <v>scan requests expected per scanning window</v>
      </c>
    </row>
    <row r="11" spans="2:29" ht="12.75" customHeight="1" x14ac:dyDescent="0.2">
      <c r="C11" s="14" t="s">
        <v>8</v>
      </c>
      <c r="D11" s="26">
        <v>100</v>
      </c>
      <c r="F11" s="117"/>
      <c r="G11" s="117"/>
      <c r="H11" s="117"/>
      <c r="I11" s="117"/>
      <c r="J11" s="117"/>
      <c r="K11" s="117"/>
    </row>
    <row r="12" spans="2:29" ht="12.75" customHeight="1" x14ac:dyDescent="0.2">
      <c r="C12" s="14" t="s">
        <v>45</v>
      </c>
      <c r="D12" s="128">
        <v>0</v>
      </c>
      <c r="F12" s="201" t="str">
        <f>IF(AND(D13='Input arguments'!$G$2, D11&gt;999),'Input arguments'!$O$2, "")</f>
        <v/>
      </c>
      <c r="G12" s="201"/>
      <c r="H12" s="201"/>
      <c r="I12" s="201"/>
      <c r="J12" s="201"/>
      <c r="K12" s="117"/>
    </row>
    <row r="13" spans="2:29" ht="12.75" customHeight="1" x14ac:dyDescent="0.25">
      <c r="C13" s="14" t="s">
        <v>63</v>
      </c>
      <c r="D13" s="116" t="s">
        <v>64</v>
      </c>
      <c r="F13" s="117"/>
      <c r="G13" s="117"/>
      <c r="H13" s="117"/>
      <c r="I13" s="117"/>
      <c r="J13" s="117"/>
      <c r="K13" s="117"/>
    </row>
    <row r="14" spans="2:29" ht="12.75" customHeight="1" x14ac:dyDescent="0.2">
      <c r="C14"/>
      <c r="J14" s="117"/>
      <c r="K14" s="117"/>
    </row>
    <row r="15" spans="2:29" ht="15" customHeight="1" x14ac:dyDescent="0.25">
      <c r="C15" s="106" t="s">
        <v>78</v>
      </c>
      <c r="D15" s="127"/>
      <c r="E15" s="12"/>
      <c r="F15" s="11"/>
      <c r="J15" s="106" t="s">
        <v>79</v>
      </c>
      <c r="Q15" s="106" t="s">
        <v>80</v>
      </c>
    </row>
    <row r="16" spans="2:29" ht="18" customHeight="1" x14ac:dyDescent="0.25">
      <c r="B16" s="21"/>
      <c r="C16" s="122" t="s">
        <v>111</v>
      </c>
      <c r="D16" s="126" t="str">
        <f>IF(C16='Input arguments'!$I$3,"* power consuption remain the same for all the PHYs","")</f>
        <v>* power consuption remain the same for all the PHYs</v>
      </c>
      <c r="E16" s="126"/>
      <c r="F16" s="126"/>
      <c r="G16" s="6"/>
      <c r="H16" s="54"/>
      <c r="I16" s="6"/>
      <c r="J16" s="122" t="s">
        <v>129</v>
      </c>
      <c r="K16" s="126" t="str">
        <f>IF(J16='Input arguments'!$I$3,"* power consuption remain the same for all the PHYs","")</f>
        <v/>
      </c>
      <c r="L16" s="126"/>
      <c r="M16" s="126"/>
      <c r="N16" s="2"/>
      <c r="O16" s="8"/>
      <c r="P16" s="6"/>
      <c r="Q16" s="122" t="s">
        <v>83</v>
      </c>
      <c r="R16" s="126" t="str">
        <f>IF(Q16='Input arguments'!$I$3,"* power consuption remain the same for all the PHYs","")</f>
        <v/>
      </c>
      <c r="S16" s="126"/>
      <c r="T16" s="126"/>
      <c r="U16" s="2"/>
      <c r="X16" s="192" t="s">
        <v>35</v>
      </c>
      <c r="Y16" s="193"/>
      <c r="Z16" s="193"/>
      <c r="AA16" s="193"/>
      <c r="AB16" s="193"/>
      <c r="AC16" s="194"/>
    </row>
    <row r="17" spans="2:29" ht="14.25" customHeight="1" x14ac:dyDescent="0.25">
      <c r="B17" s="22"/>
      <c r="D17" s="1"/>
      <c r="E17" s="11"/>
      <c r="F17" s="11"/>
      <c r="G17" s="8"/>
      <c r="H17" s="22"/>
      <c r="I17" s="22"/>
      <c r="J17" s="3"/>
      <c r="K17" s="1"/>
      <c r="L17" s="11"/>
      <c r="M17" s="11"/>
      <c r="N17" s="8"/>
      <c r="P17" s="22"/>
      <c r="Q17" s="3"/>
      <c r="R17" s="1"/>
      <c r="S17" s="11"/>
      <c r="T17" s="11"/>
      <c r="U17" s="8"/>
      <c r="X17" s="189" t="s">
        <v>34</v>
      </c>
      <c r="Y17" s="190"/>
      <c r="Z17" s="190"/>
      <c r="AA17" s="190"/>
      <c r="AB17" s="190"/>
      <c r="AC17" s="191"/>
    </row>
    <row r="18" spans="2:29" s="3" customFormat="1" ht="28.5" customHeight="1" x14ac:dyDescent="0.2">
      <c r="B18" s="19"/>
      <c r="C18" s="31" t="s">
        <v>3</v>
      </c>
      <c r="D18" s="32" t="s">
        <v>24</v>
      </c>
      <c r="E18" s="33" t="s">
        <v>25</v>
      </c>
      <c r="F18" s="14" t="s">
        <v>36</v>
      </c>
      <c r="G18" s="23"/>
      <c r="H18" s="19"/>
      <c r="I18" s="19"/>
      <c r="J18" s="31" t="s">
        <v>3</v>
      </c>
      <c r="K18" s="32" t="s">
        <v>23</v>
      </c>
      <c r="L18" s="33" t="s">
        <v>25</v>
      </c>
      <c r="M18" s="14" t="s">
        <v>36</v>
      </c>
      <c r="N18" s="23"/>
      <c r="P18" s="19"/>
      <c r="Q18" s="31" t="s">
        <v>3</v>
      </c>
      <c r="R18" s="32" t="s">
        <v>23</v>
      </c>
      <c r="S18" s="33" t="s">
        <v>25</v>
      </c>
      <c r="T18" s="14" t="s">
        <v>36</v>
      </c>
      <c r="U18" s="23"/>
      <c r="X18" s="37" t="s">
        <v>29</v>
      </c>
      <c r="Y18" s="35" t="s">
        <v>18</v>
      </c>
      <c r="Z18" s="35" t="s">
        <v>19</v>
      </c>
      <c r="AA18" s="42" t="s">
        <v>27</v>
      </c>
      <c r="AB18" s="56" t="s">
        <v>28</v>
      </c>
      <c r="AC18" s="66" t="s">
        <v>31</v>
      </c>
    </row>
    <row r="19" spans="2:29" x14ac:dyDescent="0.2">
      <c r="B19" s="22">
        <v>1</v>
      </c>
      <c r="C19" s="51" t="str">
        <f ca="1">IF(INDIRECT((ADDRESS(5+$B19,2,1,1,'DataSourceSelection - Central'!$C$19)))="", "", INDIRECT((ADDRESS(5+$B19,2,1,1,'DataSourceSelection - Central'!$C$19))))</f>
        <v>Wake Up &amp; Pre-processing</v>
      </c>
      <c r="D19" s="111">
        <f ca="1">INDIRECT((ADDRESS(5+$B19,3,1,1,'DataSourceSelection - Central'!$C$19)))</f>
        <v>1755.2</v>
      </c>
      <c r="E19" s="111">
        <f ca="1">INDIRECT((ADDRESS(5+$B19,4,1,1,'DataSourceSelection - Central'!$C$19)))</f>
        <v>3.1791999999999998</v>
      </c>
      <c r="F19" s="112">
        <f ca="1">INDIRECT((ADDRESS(5+$B19,5,1,1,'DataSourceSelection - Central'!$C$19)))</f>
        <v>5580.13184</v>
      </c>
      <c r="G19" s="8"/>
      <c r="H19" s="22"/>
      <c r="I19" s="22">
        <v>1</v>
      </c>
      <c r="J19" s="51" t="str">
        <f ca="1">IF(INDIRECT((ADDRESS(5+$B19,2,1,1,'DataSourceSelection - Central'!$C$24)))="", "", INDIRECT((ADDRESS(5+$B19,2,1,1,'DataSourceSelection - Central'!$C$24))))</f>
        <v>Wake Up &amp; Pre-processing</v>
      </c>
      <c r="K19" s="111">
        <f ca="1">INDIRECT((ADDRESS(5+$B19,3,1,1,'DataSourceSelection - Central'!$C$24)))</f>
        <v>1283.8888888888889</v>
      </c>
      <c r="L19" s="111">
        <f ca="1">INDIRECT((ADDRESS(5+$B19,4,1,1,'DataSourceSelection - Central'!$C$24)))</f>
        <v>3.1012666666666662</v>
      </c>
      <c r="M19" s="112">
        <f ca="1">INDIRECT((ADDRESS(5+$B19,5,1,1,'DataSourceSelection - Central'!$C$24)))</f>
        <v>3981.6818148148141</v>
      </c>
      <c r="N19" s="8"/>
      <c r="P19" s="22">
        <v>1</v>
      </c>
      <c r="Q19" s="51" t="str">
        <f ca="1">IF(INDIRECT((ADDRESS(5+$B19,2,1,1,'DataSourceSelection - Central'!$C$29)))="", "", INDIRECT((ADDRESS(5+$B19,2,1,1,'DataSourceSelection - Central'!$C$29))))</f>
        <v/>
      </c>
      <c r="R19" s="111">
        <f ca="1">INDIRECT((ADDRESS(5+$B19,3,1,1,'DataSourceSelection - Central'!$C$29)))</f>
        <v>0</v>
      </c>
      <c r="S19" s="111">
        <f ca="1">INDIRECT((ADDRESS(5+$B19,4,1,1,'DataSourceSelection - Central'!$C$29)))</f>
        <v>0</v>
      </c>
      <c r="T19" s="112">
        <f ca="1">INDIRECT((ADDRESS(5+$B19,5,1,1,'DataSourceSelection - Central'!$C$29)))</f>
        <v>0</v>
      </c>
      <c r="U19" s="8"/>
      <c r="X19" s="36" t="str">
        <f>C16</f>
        <v>Scanning</v>
      </c>
      <c r="Y19" s="29">
        <v>0</v>
      </c>
      <c r="Z19" s="30">
        <v>30</v>
      </c>
      <c r="AA19" s="43">
        <f ca="1">D39</f>
        <v>2544.0531275624999</v>
      </c>
      <c r="AB19" s="57" t="s">
        <v>38</v>
      </c>
      <c r="AC19" s="67">
        <f>Y19/24+Z19/60/24</f>
        <v>2.0833333333333332E-2</v>
      </c>
    </row>
    <row r="20" spans="2:29" ht="13.5" customHeight="1" x14ac:dyDescent="0.2">
      <c r="B20" s="22">
        <v>2</v>
      </c>
      <c r="C20" s="51" t="str">
        <f ca="1">IF(INDIRECT((ADDRESS(5+$B20,2,1,1,'DataSourceSelection - Central'!$C$19)))="", "", INDIRECT((ADDRESS(5+$B20,2,1,1,'DataSourceSelection - Central'!$C$19))))</f>
        <v>Receive (RX)</v>
      </c>
      <c r="D20" s="111">
        <f ca="1">INDIRECT((ADDRESS(5+$B20,3,1,1,'DataSourceSelection - Central'!$C$19)))</f>
        <v>500000</v>
      </c>
      <c r="E20" s="111">
        <f ca="1">INDIRECT((ADDRESS(5+$B20,4,1,1,'DataSourceSelection - Central'!$C$19)))</f>
        <v>6.4947999999999997</v>
      </c>
      <c r="F20" s="113">
        <f ca="1">INDIRECT((ADDRESS(5+$B20,5,1,1,'DataSourceSelection - Central'!$C$19)))</f>
        <v>3247400</v>
      </c>
      <c r="G20" s="8"/>
      <c r="H20" s="22"/>
      <c r="I20" s="22">
        <v>2</v>
      </c>
      <c r="J20" s="51" t="str">
        <f ca="1">IF(INDIRECT((ADDRESS(5+$B20,2,1,1,'DataSourceSelection - Central'!$C$24)))="", "", INDIRECT((ADDRESS(5+$B20,2,1,1,'DataSourceSelection - Central'!$C$24))))</f>
        <v xml:space="preserve">Preparation for Tx </v>
      </c>
      <c r="K20" s="111">
        <f ca="1">INDIRECT((ADDRESS(5+$B20,3,1,1,'DataSourceSelection - Central'!$C$24)))</f>
        <v>394.22222222222223</v>
      </c>
      <c r="L20" s="111">
        <f ca="1">INDIRECT((ADDRESS(5+$B20,4,1,1,'DataSourceSelection - Central'!$C$24)))</f>
        <v>3.5755222222222218</v>
      </c>
      <c r="M20" s="113">
        <f ca="1">INDIRECT((ADDRESS(5+$B20,5,1,1,'DataSourceSelection - Central'!$C$24)))</f>
        <v>1409.5503160493827</v>
      </c>
      <c r="N20" s="8"/>
      <c r="P20" s="22">
        <v>2</v>
      </c>
      <c r="Q20" s="51" t="str">
        <f ca="1">IF(INDIRECT((ADDRESS(5+$B20,2,1,1,'DataSourceSelection - Central'!$C$29)))="", "", INDIRECT((ADDRESS(5+$B20,2,1,1,'DataSourceSelection - Central'!$C$29))))</f>
        <v/>
      </c>
      <c r="R20" s="111">
        <f ca="1">INDIRECT((ADDRESS(5+$B20,3,1,1,'DataSourceSelection - Central'!$C$29)))</f>
        <v>0</v>
      </c>
      <c r="S20" s="111">
        <f ca="1">INDIRECT((ADDRESS(5+$B20,4,1,1,'DataSourceSelection - Central'!$C$29)))</f>
        <v>0</v>
      </c>
      <c r="T20" s="113">
        <f ca="1">INDIRECT((ADDRESS(5+$B20,5,1,1,'DataSourceSelection - Central'!$C$29)))</f>
        <v>0</v>
      </c>
      <c r="U20" s="8"/>
      <c r="X20" s="36" t="str">
        <f>J16</f>
        <v>Connected as Central</v>
      </c>
      <c r="Y20" s="29">
        <v>2</v>
      </c>
      <c r="Z20" s="30">
        <v>0</v>
      </c>
      <c r="AA20" s="43">
        <f ca="1">K39</f>
        <v>120.3103558334568</v>
      </c>
      <c r="AB20" s="57" t="s">
        <v>38</v>
      </c>
      <c r="AC20" s="67">
        <f>Y20/24+Z20/60/24</f>
        <v>8.3333333333333329E-2</v>
      </c>
    </row>
    <row r="21" spans="2:29" ht="12" customHeight="1" x14ac:dyDescent="0.2">
      <c r="B21" s="22">
        <v>3</v>
      </c>
      <c r="C21" s="51" t="str">
        <f ca="1">IF(INDIRECT((ADDRESS(5+$B21,2,1,1,'DataSourceSelection - Central'!$C$19)))="", "", INDIRECT((ADDRESS(5+$B21,2,1,1,'DataSourceSelection - Central'!$C$19))))</f>
        <v>Post-processing</v>
      </c>
      <c r="D21" s="111">
        <f ca="1">INDIRECT((ADDRESS(5+$B21,3,1,1,'DataSourceSelection - Central'!$C$19)))</f>
        <v>854</v>
      </c>
      <c r="E21" s="111">
        <f ca="1">INDIRECT((ADDRESS(5+$B21,4,1,1,'DataSourceSelection - Central'!$C$19)))</f>
        <v>2.8071000000000002</v>
      </c>
      <c r="F21" s="113">
        <f ca="1">INDIRECT((ADDRESS(5+$B21,5,1,1,'DataSourceSelection - Central'!$C$19)))</f>
        <v>2397.2634000000003</v>
      </c>
      <c r="G21" s="8"/>
      <c r="H21" s="22"/>
      <c r="I21" s="22">
        <v>3</v>
      </c>
      <c r="J21" s="51" t="str">
        <f ca="1">IF(INDIRECT((ADDRESS(5+$B21,2,1,1,'DataSourceSelection - Central'!$C$24)))="", "", INDIRECT((ADDRESS(5+$B21,2,1,1,'DataSourceSelection - Central'!$C$24))))</f>
        <v>Transmit (TX)</v>
      </c>
      <c r="K21" s="111">
        <f ca="1">INDIRECT((ADDRESS(5+$B21,3,1,1,'DataSourceSelection - Central'!$C$24)))</f>
        <v>84.39</v>
      </c>
      <c r="L21" s="111">
        <f ca="1">INDIRECT((ADDRESS(5+$B21,4,1,1,'DataSourceSelection - Central'!$C$24)))</f>
        <v>7.3402000000000003</v>
      </c>
      <c r="M21" s="113">
        <f ca="1">INDIRECT((ADDRESS(5+$B21,5,1,1,'DataSourceSelection - Central'!$C$24)))</f>
        <v>619.43947800000001</v>
      </c>
      <c r="N21" s="8"/>
      <c r="P21" s="22">
        <v>3</v>
      </c>
      <c r="Q21" s="51" t="str">
        <f ca="1">IF(INDIRECT((ADDRESS(5+$B21,2,1,1,'DataSourceSelection - Central'!$C$29)))="", "", INDIRECT((ADDRESS(5+$B21,2,1,1,'DataSourceSelection - Central'!$C$29))))</f>
        <v/>
      </c>
      <c r="R21" s="111">
        <f ca="1">INDIRECT((ADDRESS(5+$B21,3,1,1,'DataSourceSelection - Central'!$C$29)))</f>
        <v>0</v>
      </c>
      <c r="S21" s="111">
        <f ca="1">INDIRECT((ADDRESS(5+$B21,4,1,1,'DataSourceSelection - Central'!$C$29)))</f>
        <v>0</v>
      </c>
      <c r="T21" s="113">
        <f ca="1">INDIRECT((ADDRESS(5+$B21,5,1,1,'DataSourceSelection - Central'!$C$29)))</f>
        <v>0</v>
      </c>
      <c r="U21" s="8"/>
      <c r="X21" s="36" t="str">
        <f>Q16</f>
        <v>None</v>
      </c>
      <c r="Y21" s="29">
        <v>0</v>
      </c>
      <c r="Z21" s="30">
        <v>0</v>
      </c>
      <c r="AA21" s="43">
        <f ca="1">R39</f>
        <v>0</v>
      </c>
      <c r="AB21" s="57" t="s">
        <v>38</v>
      </c>
      <c r="AC21" s="67">
        <f>Y21/24+Z21/60/24</f>
        <v>0</v>
      </c>
    </row>
    <row r="22" spans="2:29" ht="11.25" customHeight="1" x14ac:dyDescent="0.2">
      <c r="B22" s="22">
        <v>4</v>
      </c>
      <c r="C22" s="51" t="str">
        <f ca="1">IF(INDIRECT((ADDRESS(5+$B22,2,1,1,'DataSourceSelection - Central'!$C$19)))="", "", INDIRECT((ADDRESS(5+$B22,2,1,1,'DataSourceSelection - Central'!$C$19))))</f>
        <v>Standby</v>
      </c>
      <c r="D22" s="111">
        <f ca="1">INDIRECT((ADDRESS(5+$B22,3,1,1,'DataSourceSelection - Central'!$C$19)))</f>
        <v>777390.8</v>
      </c>
      <c r="E22" s="111">
        <f ca="1">INDIRECT((ADDRESS(5+$B22,4,1,1,'DataSourceSelection - Central'!$C$19)))</f>
        <v>1.2999999999999999E-3</v>
      </c>
      <c r="F22" s="113">
        <f ca="1">INDIRECT((ADDRESS(5+$B22,5,1,1,'DataSourceSelection - Central'!$C$19)))</f>
        <v>1010.60804</v>
      </c>
      <c r="G22" s="8"/>
      <c r="H22" s="22"/>
      <c r="I22" s="22">
        <v>4</v>
      </c>
      <c r="J22" s="51" t="str">
        <f ca="1">IF(INDIRECT((ADDRESS(5+$B22,2,1,1,'DataSourceSelection - Central'!$C$24)))="", "", INDIRECT((ADDRESS(5+$B22,2,1,1,'DataSourceSelection - Central'!$C$24))))</f>
        <v>TX to RX transition</v>
      </c>
      <c r="K22" s="111">
        <f ca="1">INDIRECT((ADDRESS(5+$B22,3,1,1,'DataSourceSelection - Central'!$C$24)))</f>
        <v>109.22222222222223</v>
      </c>
      <c r="L22" s="111">
        <f ca="1">INDIRECT((ADDRESS(5+$B22,4,1,1,'DataSourceSelection - Central'!$C$24)))</f>
        <v>5.2093222222222222</v>
      </c>
      <c r="M22" s="113">
        <f ca="1">INDIRECT((ADDRESS(5+$B22,5,1,1,'DataSourceSelection - Central'!$C$24)))</f>
        <v>568.97374938271605</v>
      </c>
      <c r="N22" s="8"/>
      <c r="P22" s="22">
        <v>4</v>
      </c>
      <c r="Q22" s="51" t="str">
        <f ca="1">IF(INDIRECT((ADDRESS(5+$B22,2,1,1,'DataSourceSelection - Central'!$C$29)))="", "", INDIRECT((ADDRESS(5+$B22,2,1,1,'DataSourceSelection - Central'!$C$29))))</f>
        <v/>
      </c>
      <c r="R22" s="111">
        <f ca="1">INDIRECT((ADDRESS(5+$B22,3,1,1,'DataSourceSelection - Central'!$C$29)))</f>
        <v>0</v>
      </c>
      <c r="S22" s="111">
        <f ca="1">INDIRECT((ADDRESS(5+$B22,4,1,1,'DataSourceSelection - Central'!$C$29)))</f>
        <v>0</v>
      </c>
      <c r="T22" s="113">
        <f ca="1">INDIRECT((ADDRESS(5+$B22,5,1,1,'DataSourceSelection - Central'!$C$29)))</f>
        <v>0</v>
      </c>
      <c r="U22" s="8"/>
      <c r="X22" s="36" t="s">
        <v>26</v>
      </c>
      <c r="Y22" s="30">
        <v>1</v>
      </c>
      <c r="Z22" s="30">
        <v>0</v>
      </c>
      <c r="AA22" s="43">
        <v>100</v>
      </c>
      <c r="AB22" s="57" t="s">
        <v>38</v>
      </c>
      <c r="AC22" s="67">
        <f>Y22/24+Z22/60/24</f>
        <v>4.1666666666666664E-2</v>
      </c>
    </row>
    <row r="23" spans="2:29" ht="12" customHeight="1" x14ac:dyDescent="0.2">
      <c r="B23" s="22">
        <v>5</v>
      </c>
      <c r="C23" s="51" t="str">
        <f ca="1">IF(INDIRECT((ADDRESS(5+$B23,2,1,1,'DataSourceSelection - Central'!$C$19)))="", "", INDIRECT((ADDRESS(5+$B23,2,1,1,'DataSourceSelection - Central'!$C$19))))</f>
        <v/>
      </c>
      <c r="D23" s="111">
        <f ca="1">INDIRECT((ADDRESS(5+$B23,3,1,1,'DataSourceSelection - Central'!$C$19)))</f>
        <v>0</v>
      </c>
      <c r="E23" s="111">
        <f ca="1">INDIRECT((ADDRESS(5+$B23,4,1,1,'DataSourceSelection - Central'!$C$19)))</f>
        <v>0</v>
      </c>
      <c r="F23" s="113">
        <f ca="1">INDIRECT((ADDRESS(5+$B23,5,1,1,'DataSourceSelection - Central'!$C$19)))</f>
        <v>0</v>
      </c>
      <c r="G23" s="8"/>
      <c r="H23" s="22"/>
      <c r="I23" s="22">
        <v>5</v>
      </c>
      <c r="J23" s="51" t="str">
        <f ca="1">IF(INDIRECT((ADDRESS(5+$B23,2,1,1,'DataSourceSelection - Central'!$C$24)))="", "", INDIRECT((ADDRESS(5+$B23,2,1,1,'DataSourceSelection - Central'!$C$24))))</f>
        <v>Receive (RX)</v>
      </c>
      <c r="K23" s="111">
        <f ca="1">INDIRECT((ADDRESS(5+$B23,3,1,1,'DataSourceSelection - Central'!$C$24)))</f>
        <v>461.33333333333331</v>
      </c>
      <c r="L23" s="111">
        <f ca="1">INDIRECT((ADDRESS(5+$B23,4,1,1,'DataSourceSelection - Central'!$C$24)))</f>
        <v>6.6890999999999998</v>
      </c>
      <c r="M23" s="113">
        <f ca="1">INDIRECT((ADDRESS(5+$B23,5,1,1,'DataSourceSelection - Central'!$C$24)))</f>
        <v>3085.9047999999998</v>
      </c>
      <c r="N23" s="8"/>
      <c r="P23" s="22">
        <v>5</v>
      </c>
      <c r="Q23" s="51" t="str">
        <f ca="1">IF(INDIRECT((ADDRESS(5+$B23,2,1,1,'DataSourceSelection - Central'!$C$29)))="", "", INDIRECT((ADDRESS(5+$B23,2,1,1,'DataSourceSelection - Central'!$C$29))))</f>
        <v/>
      </c>
      <c r="R23" s="111">
        <f ca="1">INDIRECT((ADDRESS(5+$B23,3,1,1,'DataSourceSelection - Central'!$C$29)))</f>
        <v>0</v>
      </c>
      <c r="S23" s="111">
        <f ca="1">INDIRECT((ADDRESS(5+$B23,4,1,1,'DataSourceSelection - Central'!$C$29)))</f>
        <v>0</v>
      </c>
      <c r="T23" s="113">
        <f ca="1">INDIRECT((ADDRESS(5+$B23,5,1,1,'DataSourceSelection - Central'!$C$29)))</f>
        <v>0</v>
      </c>
      <c r="U23" s="8"/>
      <c r="X23" s="41" t="s">
        <v>11</v>
      </c>
      <c r="Y23" s="132">
        <f>24-SUM(Y19:Y22)-IF(SUM(Z19:Z22)=0,0,(SUM(Z19:Z22)+Z23)/60)</f>
        <v>20</v>
      </c>
      <c r="Z23" s="132">
        <f>MOD(60-MOD(SUM(Z19:Z22),60),60)</f>
        <v>30</v>
      </c>
      <c r="AA23" s="44">
        <v>0.105</v>
      </c>
      <c r="AB23" s="57" t="s">
        <v>38</v>
      </c>
      <c r="AC23" s="68">
        <f>(1-SUM(AC19:AC22))</f>
        <v>0.85416666666666674</v>
      </c>
    </row>
    <row r="24" spans="2:29" ht="15" customHeight="1" x14ac:dyDescent="0.2">
      <c r="B24" s="22">
        <v>6</v>
      </c>
      <c r="C24" s="51" t="str">
        <f ca="1">IF(INDIRECT((ADDRESS(5+$B24,2,1,1,'DataSourceSelection - Central'!$C$19)))="", "", INDIRECT((ADDRESS(5+$B24,2,1,1,'DataSourceSelection - Central'!$C$19))))</f>
        <v/>
      </c>
      <c r="D24" s="111">
        <f ca="1">INDIRECT((ADDRESS(5+$B24,3,1,1,'DataSourceSelection - Central'!$C$19)))</f>
        <v>0</v>
      </c>
      <c r="E24" s="111">
        <f ca="1">INDIRECT((ADDRESS(5+$B24,4,1,1,'DataSourceSelection - Central'!$C$19)))</f>
        <v>0</v>
      </c>
      <c r="F24" s="113">
        <f ca="1">INDIRECT((ADDRESS(5+$B24,5,1,1,'DataSourceSelection - Central'!$C$19)))</f>
        <v>0</v>
      </c>
      <c r="G24" s="8"/>
      <c r="H24" s="22"/>
      <c r="I24" s="22">
        <v>6</v>
      </c>
      <c r="J24" s="51" t="str">
        <f ca="1">IF(INDIRECT((ADDRESS(5+$B24,2,1,1,'DataSourceSelection - Central'!$C$24)))="", "", INDIRECT((ADDRESS(5+$B24,2,1,1,'DataSourceSelection - Central'!$C$24))))</f>
        <v>Post-Processing</v>
      </c>
      <c r="K24" s="111">
        <f ca="1">INDIRECT((ADDRESS(5+$B24,3,1,1,'DataSourceSelection - Central'!$C$24)))</f>
        <v>853.44444444444446</v>
      </c>
      <c r="L24" s="111">
        <f ca="1">INDIRECT((ADDRESS(5+$B24,4,1,1,'DataSourceSelection - Central'!$C$24)))</f>
        <v>2.6242222222222225</v>
      </c>
      <c r="M24" s="113">
        <f ca="1">INDIRECT((ADDRESS(5+$B24,5,1,1,'DataSourceSelection - Central'!$C$24)))</f>
        <v>2239.6278765432103</v>
      </c>
      <c r="N24" s="8"/>
      <c r="P24" s="22">
        <v>6</v>
      </c>
      <c r="Q24" s="51" t="str">
        <f ca="1">IF(INDIRECT((ADDRESS(5+$B24,2,1,1,'DataSourceSelection - Central'!$C$29)))="", "", INDIRECT((ADDRESS(5+$B24,2,1,1,'DataSourceSelection - Central'!$C$29))))</f>
        <v/>
      </c>
      <c r="R24" s="111">
        <f ca="1">INDIRECT((ADDRESS(5+$B24,3,1,1,'DataSourceSelection - Central'!$C$29)))</f>
        <v>0</v>
      </c>
      <c r="S24" s="111">
        <f ca="1">INDIRECT((ADDRESS(5+$B24,4,1,1,'DataSourceSelection - Central'!$C$29)))</f>
        <v>0</v>
      </c>
      <c r="T24" s="113">
        <f ca="1">INDIRECT((ADDRESS(5+$B24,5,1,1,'DataSourceSelection - Central'!$C$29)))</f>
        <v>0</v>
      </c>
      <c r="U24" s="8"/>
      <c r="X24" s="69" t="s">
        <v>30</v>
      </c>
      <c r="Y24" s="52"/>
      <c r="Z24" s="52"/>
      <c r="AA24" s="53">
        <f ca="1">SUMPRODUCT(AA19:AA23,AC19:AC23)</f>
        <v>67.283323977006816</v>
      </c>
      <c r="AB24" s="52" t="s">
        <v>38</v>
      </c>
      <c r="AC24" s="70"/>
    </row>
    <row r="25" spans="2:29" x14ac:dyDescent="0.2">
      <c r="B25" s="22">
        <v>7</v>
      </c>
      <c r="C25" s="51" t="str">
        <f ca="1">IF(INDIRECT((ADDRESS(5+$B25,2,1,1,'DataSourceSelection - Central'!$C$19)))="", "", INDIRECT((ADDRESS(5+$B25,2,1,1,'DataSourceSelection - Central'!$C$19))))</f>
        <v/>
      </c>
      <c r="D25" s="111">
        <f ca="1">INDIRECT((ADDRESS(5+$B25,3,1,1,'DataSourceSelection - Central'!$C$19)))</f>
        <v>0</v>
      </c>
      <c r="E25" s="111">
        <f ca="1">INDIRECT((ADDRESS(5+$B25,4,1,1,'DataSourceSelection - Central'!$C$19)))</f>
        <v>0</v>
      </c>
      <c r="F25" s="113">
        <f ca="1">INDIRECT((ADDRESS(5+$B25,5,1,1,'DataSourceSelection - Central'!$C$19)))</f>
        <v>0</v>
      </c>
      <c r="G25" s="8"/>
      <c r="H25" s="22"/>
      <c r="I25" s="22">
        <v>7</v>
      </c>
      <c r="J25" s="51" t="str">
        <f ca="1">IF(INDIRECT((ADDRESS(5+$B25,2,1,1,'DataSourceSelection - Central'!$C$24)))="", "", INDIRECT((ADDRESS(5+$B25,2,1,1,'DataSourceSelection - Central'!$C$24))))</f>
        <v/>
      </c>
      <c r="K25" s="111">
        <f ca="1">INDIRECT((ADDRESS(5+$B25,3,1,1,'DataSourceSelection - Central'!$C$24)))</f>
        <v>0</v>
      </c>
      <c r="L25" s="111">
        <f ca="1">INDIRECT((ADDRESS(5+$B25,4,1,1,'DataSourceSelection - Central'!$C$24)))</f>
        <v>0</v>
      </c>
      <c r="M25" s="113">
        <f ca="1">INDIRECT((ADDRESS(5+$B25,5,1,1,'DataSourceSelection - Central'!$C$24)))</f>
        <v>0</v>
      </c>
      <c r="N25" s="8"/>
      <c r="P25" s="22">
        <v>7</v>
      </c>
      <c r="Q25" s="51" t="str">
        <f ca="1">IF(INDIRECT((ADDRESS(5+$B25,2,1,1,'DataSourceSelection - Central'!$C$29)))="", "", INDIRECT((ADDRESS(5+$B25,2,1,1,'DataSourceSelection - Central'!$C$29))))</f>
        <v/>
      </c>
      <c r="R25" s="111">
        <f ca="1">INDIRECT((ADDRESS(5+$B25,3,1,1,'DataSourceSelection - Central'!$C$29)))</f>
        <v>0</v>
      </c>
      <c r="S25" s="111">
        <f ca="1">INDIRECT((ADDRESS(5+$B25,4,1,1,'DataSourceSelection - Central'!$C$29)))</f>
        <v>0</v>
      </c>
      <c r="T25" s="113">
        <f ca="1">INDIRECT((ADDRESS(5+$B25,5,1,1,'DataSourceSelection - Central'!$C$29)))</f>
        <v>0</v>
      </c>
      <c r="U25" s="8"/>
      <c r="X25" s="39"/>
      <c r="Y25" s="34"/>
      <c r="Z25" s="34"/>
      <c r="AA25" s="47">
        <f ca="1">D4/(AA24/1000)</f>
        <v>3344.067841786336</v>
      </c>
      <c r="AB25" s="34" t="s">
        <v>18</v>
      </c>
      <c r="AC25" s="40"/>
    </row>
    <row r="26" spans="2:29" x14ac:dyDescent="0.2">
      <c r="B26" s="22">
        <v>8</v>
      </c>
      <c r="C26" s="51" t="str">
        <f ca="1">IF(INDIRECT((ADDRESS(5+$B26,2,1,1,'DataSourceSelection - Central'!$C$19)))="", "", INDIRECT((ADDRESS(5+$B26,2,1,1,'DataSourceSelection - Central'!$C$19))))</f>
        <v/>
      </c>
      <c r="D26" s="111">
        <f ca="1">INDIRECT((ADDRESS(5+$B26,3,1,1,'DataSourceSelection - Central'!$C$19)))</f>
        <v>0</v>
      </c>
      <c r="E26" s="111">
        <f ca="1">INDIRECT((ADDRESS(5+$B26,4,1,1,'DataSourceSelection - Central'!$C$19)))</f>
        <v>0</v>
      </c>
      <c r="F26" s="113">
        <f ca="1">INDIRECT((ADDRESS(5+$B26,5,1,1,'DataSourceSelection - Central'!$C$19)))</f>
        <v>0</v>
      </c>
      <c r="G26" s="8"/>
      <c r="H26" s="22"/>
      <c r="I26" s="22">
        <v>8</v>
      </c>
      <c r="J26" s="51" t="str">
        <f ca="1">IF(INDIRECT((ADDRESS(5+$B26,2,1,1,'DataSourceSelection - Central'!$C$24)))="", "", INDIRECT((ADDRESS(5+$B26,2,1,1,'DataSourceSelection - Central'!$C$24))))</f>
        <v/>
      </c>
      <c r="K26" s="111">
        <f ca="1">INDIRECT((ADDRESS(5+$B26,3,1,1,'DataSourceSelection - Central'!$C$24)))</f>
        <v>0</v>
      </c>
      <c r="L26" s="111">
        <f ca="1">INDIRECT((ADDRESS(5+$B26,4,1,1,'DataSourceSelection - Central'!$C$24)))</f>
        <v>0</v>
      </c>
      <c r="M26" s="113">
        <f ca="1">INDIRECT((ADDRESS(5+$B26,5,1,1,'DataSourceSelection - Central'!$C$24)))</f>
        <v>0</v>
      </c>
      <c r="N26" s="8"/>
      <c r="P26" s="22">
        <v>8</v>
      </c>
      <c r="Q26" s="51" t="str">
        <f ca="1">IF(INDIRECT((ADDRESS(5+$B26,2,1,1,'DataSourceSelection - Central'!$C$29)))="", "", INDIRECT((ADDRESS(5+$B26,2,1,1,'DataSourceSelection - Central'!$C$29))))</f>
        <v/>
      </c>
      <c r="R26" s="111">
        <f ca="1">INDIRECT((ADDRESS(5+$B26,3,1,1,'DataSourceSelection - Central'!$C$29)))</f>
        <v>0</v>
      </c>
      <c r="S26" s="111">
        <f ca="1">INDIRECT((ADDRESS(5+$B26,4,1,1,'DataSourceSelection - Central'!$C$29)))</f>
        <v>0</v>
      </c>
      <c r="T26" s="113">
        <f ca="1">INDIRECT((ADDRESS(5+$B26,5,1,1,'DataSourceSelection - Central'!$C$29)))</f>
        <v>0</v>
      </c>
      <c r="U26" s="8"/>
      <c r="X26" s="38" t="s">
        <v>20</v>
      </c>
      <c r="Y26" s="34"/>
      <c r="Z26" s="34"/>
      <c r="AA26" s="47">
        <f ca="1">AA25/24</f>
        <v>139.33616007443067</v>
      </c>
      <c r="AB26" s="34" t="s">
        <v>21</v>
      </c>
      <c r="AC26" s="40"/>
    </row>
    <row r="27" spans="2:29" x14ac:dyDescent="0.2">
      <c r="B27" s="22">
        <v>9</v>
      </c>
      <c r="C27" s="51" t="str">
        <f ca="1">IF(INDIRECT((ADDRESS(5+$B27,2,1,1,'DataSourceSelection - Central'!$C$19)))="", "", INDIRECT((ADDRESS(5+$B27,2,1,1,'DataSourceSelection - Central'!$C$19))))</f>
        <v/>
      </c>
      <c r="D27" s="111">
        <f ca="1">INDIRECT((ADDRESS(5+$B27,3,1,1,'DataSourceSelection - Central'!$C$19)))</f>
        <v>0</v>
      </c>
      <c r="E27" s="111">
        <f ca="1">INDIRECT((ADDRESS(5+$B27,4,1,1,'DataSourceSelection - Central'!$C$19)))</f>
        <v>0</v>
      </c>
      <c r="F27" s="113">
        <f ca="1">INDIRECT((ADDRESS(5+$B27,5,1,1,'DataSourceSelection - Central'!$C$19)))</f>
        <v>0</v>
      </c>
      <c r="G27" s="8"/>
      <c r="H27" s="22"/>
      <c r="I27" s="22">
        <v>9</v>
      </c>
      <c r="J27" s="51" t="str">
        <f ca="1">IF(INDIRECT((ADDRESS(5+$B27,2,1,1,'DataSourceSelection - Central'!$C$24)))="", "", INDIRECT((ADDRESS(5+$B27,2,1,1,'DataSourceSelection - Central'!$C$24))))</f>
        <v/>
      </c>
      <c r="K27" s="111">
        <f ca="1">INDIRECT((ADDRESS(5+$B27,3,1,1,'DataSourceSelection - Central'!$C$24)))</f>
        <v>0</v>
      </c>
      <c r="L27" s="111">
        <f ca="1">INDIRECT((ADDRESS(5+$B27,4,1,1,'DataSourceSelection - Central'!$C$24)))</f>
        <v>0</v>
      </c>
      <c r="M27" s="113">
        <f ca="1">INDIRECT((ADDRESS(5+$B27,5,1,1,'DataSourceSelection - Central'!$C$24)))</f>
        <v>0</v>
      </c>
      <c r="N27" s="8"/>
      <c r="P27" s="22">
        <v>9</v>
      </c>
      <c r="Q27" s="51" t="str">
        <f ca="1">IF(INDIRECT((ADDRESS(5+$B27,2,1,1,'DataSourceSelection - Central'!$C$29)))="", "", INDIRECT((ADDRESS(5+$B27,2,1,1,'DataSourceSelection - Central'!$C$29))))</f>
        <v/>
      </c>
      <c r="R27" s="111">
        <f ca="1">INDIRECT((ADDRESS(5+$B27,3,1,1,'DataSourceSelection - Central'!$C$29)))</f>
        <v>0</v>
      </c>
      <c r="S27" s="111">
        <f ca="1">INDIRECT((ADDRESS(5+$B27,4,1,1,'DataSourceSelection - Central'!$C$29)))</f>
        <v>0</v>
      </c>
      <c r="T27" s="113">
        <f ca="1">INDIRECT((ADDRESS(5+$B27,5,1,1,'DataSourceSelection - Central'!$C$29)))</f>
        <v>0</v>
      </c>
      <c r="U27" s="8"/>
      <c r="X27" s="71"/>
      <c r="Y27" s="72"/>
      <c r="Z27" s="72"/>
      <c r="AA27" s="73">
        <f ca="1">AA26/365</f>
        <v>0.38174290431350866</v>
      </c>
      <c r="AB27" s="72" t="s">
        <v>22</v>
      </c>
      <c r="AC27" s="74"/>
    </row>
    <row r="28" spans="2:29" x14ac:dyDescent="0.2">
      <c r="B28" s="22">
        <v>10</v>
      </c>
      <c r="C28" s="51" t="str">
        <f ca="1">IF(INDIRECT((ADDRESS(5+$B28,2,1,1,'DataSourceSelection - Central'!$C$19)))="", "", INDIRECT((ADDRESS(5+$B28,2,1,1,'DataSourceSelection - Central'!$C$19))))</f>
        <v/>
      </c>
      <c r="D28" s="111">
        <f ca="1">INDIRECT((ADDRESS(5+$B28,3,1,1,'DataSourceSelection - Central'!$C$19)))</f>
        <v>0</v>
      </c>
      <c r="E28" s="111">
        <f ca="1">INDIRECT((ADDRESS(5+$B28,4,1,1,'DataSourceSelection - Central'!$C$19)))</f>
        <v>0</v>
      </c>
      <c r="F28" s="113">
        <f ca="1">INDIRECT((ADDRESS(5+$B28,5,1,1,'DataSourceSelection - Central'!$C$19)))</f>
        <v>0</v>
      </c>
      <c r="G28" s="8"/>
      <c r="H28" s="22"/>
      <c r="I28" s="22">
        <v>10</v>
      </c>
      <c r="J28" s="51" t="str">
        <f ca="1">IF(INDIRECT((ADDRESS(5+$B28,2,1,1,'DataSourceSelection - Central'!$C$24)))="", "", INDIRECT((ADDRESS(5+$B28,2,1,1,'DataSourceSelection - Central'!$C$24))))</f>
        <v/>
      </c>
      <c r="K28" s="111">
        <f ca="1">INDIRECT((ADDRESS(5+$B28,3,1,1,'DataSourceSelection - Central'!$C$24)))</f>
        <v>0</v>
      </c>
      <c r="L28" s="111">
        <f ca="1">INDIRECT((ADDRESS(5+$B28,4,1,1,'DataSourceSelection - Central'!$C$24)))</f>
        <v>0</v>
      </c>
      <c r="M28" s="113">
        <f ca="1">INDIRECT((ADDRESS(5+$B28,5,1,1,'DataSourceSelection - Central'!$C$24)))</f>
        <v>0</v>
      </c>
      <c r="N28" s="8"/>
      <c r="P28" s="22">
        <v>10</v>
      </c>
      <c r="Q28" s="51" t="str">
        <f ca="1">IF(INDIRECT((ADDRESS(5+$B28,2,1,1,'DataSourceSelection - Central'!$C$29)))="", "", INDIRECT((ADDRESS(5+$B28,2,1,1,'DataSourceSelection - Central'!$C$29))))</f>
        <v/>
      </c>
      <c r="R28" s="111">
        <f ca="1">INDIRECT((ADDRESS(5+$B28,3,1,1,'DataSourceSelection - Central'!$C$29)))</f>
        <v>0</v>
      </c>
      <c r="S28" s="111">
        <f ca="1">INDIRECT((ADDRESS(5+$B28,4,1,1,'DataSourceSelection - Central'!$C$29)))</f>
        <v>0</v>
      </c>
      <c r="T28" s="113">
        <f ca="1">INDIRECT((ADDRESS(5+$B28,5,1,1,'DataSourceSelection - Central'!$C$29)))</f>
        <v>0</v>
      </c>
      <c r="U28" s="8"/>
      <c r="X28" s="21"/>
      <c r="Y28" s="6"/>
      <c r="Z28" s="6"/>
      <c r="AA28" s="6"/>
      <c r="AB28" s="6"/>
      <c r="AC28" s="2"/>
    </row>
    <row r="29" spans="2:29" ht="12" customHeight="1" x14ac:dyDescent="0.2">
      <c r="B29" s="22">
        <v>11</v>
      </c>
      <c r="C29" s="51" t="str">
        <f ca="1">IF(INDIRECT((ADDRESS(5+$B29,2,1,1,'DataSourceSelection - Central'!$C$19)))="", "", INDIRECT((ADDRESS(5+$B29,2,1,1,'DataSourceSelection - Central'!$C$19))))</f>
        <v/>
      </c>
      <c r="D29" s="111">
        <f ca="1">INDIRECT((ADDRESS(5+$B29,3,1,1,'DataSourceSelection - Central'!$C$19)))</f>
        <v>0</v>
      </c>
      <c r="E29" s="111">
        <f ca="1">INDIRECT((ADDRESS(5+$B29,4,1,1,'DataSourceSelection - Central'!$C$19)))</f>
        <v>0</v>
      </c>
      <c r="F29" s="113">
        <f ca="1">INDIRECT((ADDRESS(5+$B29,5,1,1,'DataSourceSelection - Central'!$C$19)))</f>
        <v>0</v>
      </c>
      <c r="G29" s="8"/>
      <c r="H29" s="22"/>
      <c r="I29" s="22">
        <v>11</v>
      </c>
      <c r="J29" s="51" t="str">
        <f ca="1">IF(INDIRECT((ADDRESS(5+$B29,2,1,1,'DataSourceSelection - Central'!$C$24)))="", "", INDIRECT((ADDRESS(5+$B29,2,1,1,'DataSourceSelection - Central'!$C$24))))</f>
        <v/>
      </c>
      <c r="K29" s="111">
        <f ca="1">INDIRECT((ADDRESS(5+$B29,3,1,1,'DataSourceSelection - Central'!$C$24)))</f>
        <v>0</v>
      </c>
      <c r="L29" s="111">
        <f ca="1">INDIRECT((ADDRESS(5+$B29,4,1,1,'DataSourceSelection - Central'!$C$24)))</f>
        <v>0</v>
      </c>
      <c r="M29" s="113">
        <f ca="1">INDIRECT((ADDRESS(5+$B29,5,1,1,'DataSourceSelection - Central'!$C$24)))</f>
        <v>0</v>
      </c>
      <c r="N29" s="8"/>
      <c r="P29" s="22">
        <v>11</v>
      </c>
      <c r="Q29" s="51" t="str">
        <f ca="1">IF(INDIRECT((ADDRESS(5+$B29,2,1,1,'DataSourceSelection - Central'!$C$29)))="", "", INDIRECT((ADDRESS(5+$B29,2,1,1,'DataSourceSelection - Central'!$C$29))))</f>
        <v/>
      </c>
      <c r="R29" s="111">
        <f ca="1">INDIRECT((ADDRESS(5+$B29,3,1,1,'DataSourceSelection - Central'!$C$29)))</f>
        <v>0</v>
      </c>
      <c r="S29" s="111">
        <f ca="1">INDIRECT((ADDRESS(5+$B29,4,1,1,'DataSourceSelection - Central'!$C$29)))</f>
        <v>0</v>
      </c>
      <c r="T29" s="113">
        <f ca="1">INDIRECT((ADDRESS(5+$B29,5,1,1,'DataSourceSelection - Central'!$C$29)))</f>
        <v>0</v>
      </c>
      <c r="U29" s="8"/>
      <c r="X29" s="22"/>
      <c r="AC29" s="8"/>
    </row>
    <row r="30" spans="2:29" x14ac:dyDescent="0.2">
      <c r="B30" s="22">
        <v>12</v>
      </c>
      <c r="C30" s="51" t="str">
        <f ca="1">IF(INDIRECT((ADDRESS(5+$B30,2,1,1,'DataSourceSelection - Central'!$C$19)))="", "", INDIRECT((ADDRESS(5+$B30,2,1,1,'DataSourceSelection - Central'!$C$19))))</f>
        <v/>
      </c>
      <c r="D30" s="111">
        <f ca="1">INDIRECT((ADDRESS(5+$B30,3,1,1,'DataSourceSelection - Central'!$C$19)))</f>
        <v>0</v>
      </c>
      <c r="E30" s="111">
        <f ca="1">INDIRECT((ADDRESS(5+$B30,4,1,1,'DataSourceSelection - Central'!$C$19)))</f>
        <v>0</v>
      </c>
      <c r="F30" s="113">
        <f ca="1">INDIRECT((ADDRESS(5+$B30,5,1,1,'DataSourceSelection - Central'!$C$19)))</f>
        <v>0</v>
      </c>
      <c r="G30" s="8"/>
      <c r="H30" s="22"/>
      <c r="I30" s="22">
        <v>12</v>
      </c>
      <c r="J30" s="51" t="str">
        <f ca="1">IF(INDIRECT((ADDRESS(5+$B30,2,1,1,'DataSourceSelection - Central'!$C$24)))="", "", INDIRECT((ADDRESS(5+$B30,2,1,1,'DataSourceSelection - Central'!$C$24))))</f>
        <v/>
      </c>
      <c r="K30" s="111">
        <f ca="1">INDIRECT((ADDRESS(5+$B30,3,1,1,'DataSourceSelection - Central'!$C$24)))</f>
        <v>0</v>
      </c>
      <c r="L30" s="111">
        <f ca="1">INDIRECT((ADDRESS(5+$B30,4,1,1,'DataSourceSelection - Central'!$C$24)))</f>
        <v>0</v>
      </c>
      <c r="M30" s="113">
        <f ca="1">INDIRECT((ADDRESS(5+$B30,5,1,1,'DataSourceSelection - Central'!$C$24)))</f>
        <v>0</v>
      </c>
      <c r="N30" s="8"/>
      <c r="P30" s="22">
        <v>12</v>
      </c>
      <c r="Q30" s="51" t="str">
        <f ca="1">IF(INDIRECT((ADDRESS(5+$B30,2,1,1,'DataSourceSelection - Central'!$C$29)))="", "", INDIRECT((ADDRESS(5+$B30,2,1,1,'DataSourceSelection - Central'!$C$29))))</f>
        <v/>
      </c>
      <c r="R30" s="111">
        <f ca="1">INDIRECT((ADDRESS(5+$B30,3,1,1,'DataSourceSelection - Central'!$C$29)))</f>
        <v>0</v>
      </c>
      <c r="S30" s="111">
        <f ca="1">INDIRECT((ADDRESS(5+$B30,4,1,1,'DataSourceSelection - Central'!$C$29)))</f>
        <v>0</v>
      </c>
      <c r="T30" s="113">
        <f ca="1">INDIRECT((ADDRESS(5+$B30,5,1,1,'DataSourceSelection - Central'!$C$29)))</f>
        <v>0</v>
      </c>
      <c r="U30" s="8"/>
      <c r="X30" s="22"/>
      <c r="AC30" s="8"/>
    </row>
    <row r="31" spans="2:29" x14ac:dyDescent="0.2">
      <c r="B31" s="22">
        <v>13</v>
      </c>
      <c r="C31" s="51" t="str">
        <f ca="1">IF(INDIRECT((ADDRESS(5+$B31,2,1,1,'DataSourceSelection - Central'!$C$19)))="", "", INDIRECT((ADDRESS(5+$B31,2,1,1,'DataSourceSelection - Central'!$C$19))))</f>
        <v/>
      </c>
      <c r="D31" s="111">
        <f ca="1">INDIRECT((ADDRESS(5+$B31,3,1,1,'DataSourceSelection - Central'!$C$19)))</f>
        <v>0</v>
      </c>
      <c r="E31" s="111">
        <f ca="1">INDIRECT((ADDRESS(5+$B31,4,1,1,'DataSourceSelection - Central'!$C$19)))</f>
        <v>0</v>
      </c>
      <c r="F31" s="113">
        <f ca="1">INDIRECT((ADDRESS(5+$B31,5,1,1,'DataSourceSelection - Central'!$C$19)))</f>
        <v>0</v>
      </c>
      <c r="G31" s="8"/>
      <c r="H31" s="22"/>
      <c r="I31" s="22">
        <v>13</v>
      </c>
      <c r="J31" s="51" t="str">
        <f ca="1">IF(INDIRECT((ADDRESS(5+$B31,2,1,1,'DataSourceSelection - Central'!$C$24)))="", "", INDIRECT((ADDRESS(5+$B31,2,1,1,'DataSourceSelection - Central'!$C$24))))</f>
        <v/>
      </c>
      <c r="K31" s="111">
        <f ca="1">INDIRECT((ADDRESS(5+$B31,3,1,1,'DataSourceSelection - Central'!$C$24)))</f>
        <v>0</v>
      </c>
      <c r="L31" s="111">
        <f ca="1">INDIRECT((ADDRESS(5+$B31,4,1,1,'DataSourceSelection - Central'!$C$24)))</f>
        <v>0</v>
      </c>
      <c r="M31" s="113">
        <f ca="1">INDIRECT((ADDRESS(5+$B31,5,1,1,'DataSourceSelection - Central'!$C$24)))</f>
        <v>0</v>
      </c>
      <c r="N31" s="8"/>
      <c r="P31" s="22">
        <v>13</v>
      </c>
      <c r="Q31" s="51" t="str">
        <f ca="1">IF(INDIRECT((ADDRESS(5+$B31,2,1,1,'DataSourceSelection - Central'!$C$29)))="", "", INDIRECT((ADDRESS(5+$B31,2,1,1,'DataSourceSelection - Central'!$C$29))))</f>
        <v/>
      </c>
      <c r="R31" s="111">
        <f ca="1">INDIRECT((ADDRESS(5+$B31,3,1,1,'DataSourceSelection - Central'!$C$29)))</f>
        <v>0</v>
      </c>
      <c r="S31" s="111">
        <f ca="1">INDIRECT((ADDRESS(5+$B31,4,1,1,'DataSourceSelection - Central'!$C$29)))</f>
        <v>0</v>
      </c>
      <c r="T31" s="113">
        <f ca="1">INDIRECT((ADDRESS(5+$B31,5,1,1,'DataSourceSelection - Central'!$C$29)))</f>
        <v>0</v>
      </c>
      <c r="U31" s="8"/>
      <c r="X31" s="22"/>
      <c r="AC31" s="8"/>
    </row>
    <row r="32" spans="2:29" x14ac:dyDescent="0.2">
      <c r="B32" s="22">
        <v>14</v>
      </c>
      <c r="C32" s="51" t="str">
        <f ca="1">IF(INDIRECT((ADDRESS(5+$B32,2,1,1,'DataSourceSelection - Central'!$C$19)))="", "", INDIRECT((ADDRESS(5+$B32,2,1,1,'DataSourceSelection - Central'!$C$19))))</f>
        <v/>
      </c>
      <c r="D32" s="111">
        <f ca="1">INDIRECT((ADDRESS(5+$B32,3,1,1,'DataSourceSelection - Central'!$C$19)))</f>
        <v>0</v>
      </c>
      <c r="E32" s="111">
        <f ca="1">INDIRECT((ADDRESS(5+$B32,4,1,1,'DataSourceSelection - Central'!$C$19)))</f>
        <v>0</v>
      </c>
      <c r="F32" s="113">
        <f ca="1">INDIRECT((ADDRESS(5+$B32,5,1,1,'DataSourceSelection - Central'!$C$19)))</f>
        <v>0</v>
      </c>
      <c r="G32" s="8"/>
      <c r="H32" s="22"/>
      <c r="I32" s="22">
        <v>14</v>
      </c>
      <c r="J32" s="51" t="str">
        <f ca="1">IF(INDIRECT((ADDRESS(5+$B32,2,1,1,'DataSourceSelection - Central'!$C$24)))="", "", INDIRECT((ADDRESS(5+$B32,2,1,1,'DataSourceSelection - Central'!$C$24))))</f>
        <v/>
      </c>
      <c r="K32" s="111">
        <f ca="1">INDIRECT((ADDRESS(5+$B32,3,1,1,'DataSourceSelection - Central'!$C$24)))</f>
        <v>0</v>
      </c>
      <c r="L32" s="111">
        <f ca="1">INDIRECT((ADDRESS(5+$B32,4,1,1,'DataSourceSelection - Central'!$C$24)))</f>
        <v>0</v>
      </c>
      <c r="M32" s="113">
        <f ca="1">INDIRECT((ADDRESS(5+$B32,5,1,1,'DataSourceSelection - Central'!$C$24)))</f>
        <v>0</v>
      </c>
      <c r="N32" s="8"/>
      <c r="P32" s="22">
        <v>14</v>
      </c>
      <c r="Q32" s="51" t="str">
        <f ca="1">IF(INDIRECT((ADDRESS(5+$B32,2,1,1,'DataSourceSelection - Central'!$C$29)))="", "", INDIRECT((ADDRESS(5+$B32,2,1,1,'DataSourceSelection - Central'!$C$29))))</f>
        <v/>
      </c>
      <c r="R32" s="111">
        <f ca="1">INDIRECT((ADDRESS(5+$B32,3,1,1,'DataSourceSelection - Central'!$C$29)))</f>
        <v>0</v>
      </c>
      <c r="S32" s="111">
        <f ca="1">INDIRECT((ADDRESS(5+$B32,4,1,1,'DataSourceSelection - Central'!$C$29)))</f>
        <v>0</v>
      </c>
      <c r="T32" s="113">
        <f ca="1">INDIRECT((ADDRESS(5+$B32,5,1,1,'DataSourceSelection - Central'!$C$29)))</f>
        <v>0</v>
      </c>
      <c r="U32" s="8"/>
      <c r="X32" s="22"/>
      <c r="AC32" s="8"/>
    </row>
    <row r="33" spans="2:29" x14ac:dyDescent="0.2">
      <c r="B33" s="22"/>
      <c r="C33" s="83"/>
      <c r="D33" s="85"/>
      <c r="E33" s="85"/>
      <c r="F33" s="85"/>
      <c r="G33" s="8"/>
      <c r="H33" s="22"/>
      <c r="I33" s="22"/>
      <c r="J33" s="55"/>
      <c r="K33" s="49"/>
      <c r="L33" s="45"/>
      <c r="M33" s="49"/>
      <c r="N33" s="54"/>
      <c r="P33" s="22"/>
      <c r="Q33" s="55"/>
      <c r="R33" s="49"/>
      <c r="S33" s="45"/>
      <c r="T33" s="49"/>
      <c r="U33" s="54"/>
      <c r="X33" s="22"/>
      <c r="AC33" s="8"/>
    </row>
    <row r="34" spans="2:29" x14ac:dyDescent="0.2">
      <c r="B34" s="22"/>
      <c r="C34" s="84"/>
      <c r="D34" s="86"/>
      <c r="E34" s="86"/>
      <c r="F34" s="86"/>
      <c r="G34" s="8"/>
      <c r="H34" s="22"/>
      <c r="I34" s="22"/>
      <c r="J34" s="48"/>
      <c r="K34" s="50"/>
      <c r="L34" s="46"/>
      <c r="M34" s="50"/>
      <c r="N34" s="54"/>
      <c r="P34" s="22"/>
      <c r="Q34" s="48"/>
      <c r="R34" s="50"/>
      <c r="S34" s="46"/>
      <c r="T34" s="50"/>
      <c r="U34" s="54"/>
      <c r="X34" s="22"/>
      <c r="AC34" s="8"/>
    </row>
    <row r="35" spans="2:29" ht="16.5" customHeight="1" x14ac:dyDescent="0.2">
      <c r="B35" s="22"/>
      <c r="C35" s="82" t="str">
        <f ca="1">INDIRECT((ADDRESS(23,2,1,1,'DataSourceSelection - Central'!$C$19)))</f>
        <v>Total time of scanning event [us]</v>
      </c>
      <c r="D35" s="133">
        <f ca="1">INDIRECT((ADDRESS(23,3,1,1,'DataSourceSelection - Central'!$C$19)))</f>
        <v>1280000</v>
      </c>
      <c r="E35" s="4"/>
      <c r="F35" s="2"/>
      <c r="G35" s="8"/>
      <c r="I35" s="22"/>
      <c r="J35" s="82" t="str">
        <f ca="1">INDIRECT((ADDRESS(23,2,1,1,'DataSourceSelection - Central'!$C$24)))</f>
        <v>Total time of connection event [us]</v>
      </c>
      <c r="K35" s="133">
        <f ca="1">INDIRECT((ADDRESS(23,3,1,1,'DataSourceSelection - Central'!$C$24)))</f>
        <v>3186.5011111111112</v>
      </c>
      <c r="L35" s="4"/>
      <c r="M35" s="2"/>
      <c r="N35" s="54"/>
      <c r="P35" s="22"/>
      <c r="Q35" s="82">
        <f ca="1">INDIRECT((ADDRESS(23,2,1,1,'DataSourceSelection - Central'!$C$29)))</f>
        <v>0</v>
      </c>
      <c r="R35" s="133">
        <f ca="1">INDIRECT((ADDRESS(23,3,1,1,'DataSourceSelection - Central'!$C$29)))</f>
        <v>0</v>
      </c>
      <c r="S35" s="4"/>
      <c r="T35" s="2"/>
      <c r="U35" s="54"/>
      <c r="X35" s="22"/>
      <c r="AC35" s="8"/>
    </row>
    <row r="36" spans="2:29" ht="12" customHeight="1" x14ac:dyDescent="0.2">
      <c r="B36" s="22"/>
      <c r="C36" s="114" t="str">
        <f ca="1">INDIRECT((ADDRESS(24,2,1,1,'DataSourceSelection - Central'!$C$19)))</f>
        <v>Total time * current [us*mA]</v>
      </c>
      <c r="D36" s="60"/>
      <c r="E36" s="5"/>
      <c r="F36" s="62">
        <f ca="1">INDIRECT((ADDRESS(24,5,1,1,'DataSourceSelection - Central'!$C$19)))</f>
        <v>3256388.0032799998</v>
      </c>
      <c r="G36" s="8"/>
      <c r="I36" s="22"/>
      <c r="J36" s="114" t="str">
        <f ca="1">INDIRECT((ADDRESS(24,2,1,1,'DataSourceSelection - Central'!$C$24)))</f>
        <v>Total time * current [us*mA]</v>
      </c>
      <c r="K36" s="60"/>
      <c r="L36" s="5"/>
      <c r="M36" s="62">
        <f ca="1">INDIRECT((ADDRESS(24,5,1,1,'DataSourceSelection - Central'!$C$24)))</f>
        <v>11905.178034790124</v>
      </c>
      <c r="N36" s="8"/>
      <c r="P36" s="22"/>
      <c r="Q36" s="114">
        <f ca="1">INDIRECT((ADDRESS(24,2,1,1,'DataSourceSelection - Central'!$C$29)))</f>
        <v>0</v>
      </c>
      <c r="R36" s="60"/>
      <c r="S36" s="5"/>
      <c r="T36" s="62">
        <f ca="1">INDIRECT((ADDRESS(24,5,1,1,'DataSourceSelection - Central'!$C$29)))</f>
        <v>0</v>
      </c>
      <c r="U36" s="8"/>
      <c r="X36" s="22"/>
      <c r="AC36" s="8"/>
    </row>
    <row r="37" spans="2:29" ht="11.25" customHeight="1" x14ac:dyDescent="0.2">
      <c r="B37" s="22"/>
      <c r="C37" s="115" t="str">
        <f ca="1">INDIRECT((ADDRESS(25,2,1,1,'DataSourceSelection - Central'!$C$19)))</f>
        <v>Average Current draw during scanning event [uA]</v>
      </c>
      <c r="D37" s="79"/>
      <c r="E37" s="7"/>
      <c r="F37" s="59">
        <f ca="1">INDIRECT((ADDRESS(25,5,1,1,'DataSourceSelection - Central'!$C$19)))</f>
        <v>2544.0531275624999</v>
      </c>
      <c r="G37" s="8"/>
      <c r="I37" s="22"/>
      <c r="J37" s="115" t="str">
        <f ca="1">INDIRECT((ADDRESS(25,2,1,1,'DataSourceSelection - Central'!$C$24)))</f>
        <v>Average Current draw during connection event [uA]</v>
      </c>
      <c r="K37" s="79"/>
      <c r="L37" s="7"/>
      <c r="M37" s="59">
        <f ca="1">INDIRECT((ADDRESS(25,5,1,1,'DataSourceSelection - Central'!$C$24)))</f>
        <v>3736.1286312681909</v>
      </c>
      <c r="N37" s="8"/>
      <c r="P37" s="22"/>
      <c r="Q37" s="115">
        <f ca="1">INDIRECT((ADDRESS(25,2,1,1,'DataSourceSelection - Central'!$C$29)))</f>
        <v>0</v>
      </c>
      <c r="R37" s="79"/>
      <c r="S37" s="7"/>
      <c r="T37" s="59">
        <f ca="1">INDIRECT((ADDRESS(25,5,1,1,'DataSourceSelection - Central'!$C$29)))</f>
        <v>0</v>
      </c>
      <c r="U37" s="8"/>
      <c r="X37" s="22"/>
      <c r="AC37" s="8"/>
    </row>
    <row r="38" spans="2:29" x14ac:dyDescent="0.2">
      <c r="B38" s="22"/>
      <c r="G38" s="8"/>
      <c r="I38" s="22"/>
      <c r="J38" s="3"/>
      <c r="N38" s="8"/>
      <c r="P38" s="22"/>
      <c r="Q38" s="3"/>
      <c r="U38" s="8"/>
      <c r="X38" s="10"/>
      <c r="Y38" s="7"/>
      <c r="Z38" s="7"/>
      <c r="AA38" s="7"/>
      <c r="AB38" s="7"/>
      <c r="AC38" s="9"/>
    </row>
    <row r="39" spans="2:29" ht="15" customHeight="1" x14ac:dyDescent="0.2">
      <c r="B39" s="22"/>
      <c r="C39" s="16" t="str">
        <f ca="1">INDIRECT((ADDRESS(27,2,1,1,'DataSourceSelection - Central'!$C$19)))</f>
        <v>Average current draw during scanning:</v>
      </c>
      <c r="D39" s="81">
        <f ca="1">INDIRECT((ADDRESS(27,3,1,1,'DataSourceSelection - Central'!$C$19)))</f>
        <v>2544.0531275624999</v>
      </c>
      <c r="E39" s="96" t="s">
        <v>38</v>
      </c>
      <c r="G39" s="8"/>
      <c r="I39" s="22"/>
      <c r="J39" s="16" t="str">
        <f ca="1">INDIRECT((ADDRESS(27,2,1,1,'DataSourceSelection - Central'!$C$24)))</f>
        <v>Average current draw during connection:</v>
      </c>
      <c r="K39" s="81">
        <f ca="1">INDIRECT((ADDRESS(27,3,1,1,'DataSourceSelection - Central'!$C$24)))</f>
        <v>120.3103558334568</v>
      </c>
      <c r="L39" s="96" t="s">
        <v>38</v>
      </c>
      <c r="N39" s="8"/>
      <c r="P39" s="22"/>
      <c r="Q39" s="16">
        <f ca="1">INDIRECT((ADDRESS(27,2,1,1,'DataSourceSelection - Central'!$C$29)))</f>
        <v>0</v>
      </c>
      <c r="R39" s="81">
        <f ca="1">INDIRECT((ADDRESS(27,3,1,1,'DataSourceSelection - Central'!$C$29)))</f>
        <v>0</v>
      </c>
      <c r="S39" s="96" t="s">
        <v>38</v>
      </c>
      <c r="U39" s="8"/>
    </row>
    <row r="40" spans="2:29" ht="15" customHeight="1" x14ac:dyDescent="0.2">
      <c r="B40" s="22"/>
      <c r="C40" s="16" t="str">
        <f ca="1">INDIRECT((ADDRESS(28,2,1,1,'DataSourceSelection - Central'!$C$19)))</f>
        <v>Expected battery life:</v>
      </c>
      <c r="D40" s="95">
        <f ca="1">INDIRECT((ADDRESS(28,3,1,1,'DataSourceSelection - Central'!$C$19)))</f>
        <v>88.441549259459165</v>
      </c>
      <c r="E40" s="97" t="s">
        <v>18</v>
      </c>
      <c r="G40" s="8"/>
      <c r="I40" s="22"/>
      <c r="J40" s="16" t="str">
        <f ca="1">INDIRECT((ADDRESS(28,2,1,1,'DataSourceSelection - Central'!$C$24)))</f>
        <v>Expected battery life:</v>
      </c>
      <c r="K40" s="95">
        <f ca="1">INDIRECT((ADDRESS(28,3,1,1,'DataSourceSelection - Central'!$C$24)))</f>
        <v>1870.1631995126252</v>
      </c>
      <c r="L40" s="97" t="s">
        <v>18</v>
      </c>
      <c r="N40" s="8"/>
      <c r="P40" s="22"/>
      <c r="Q40" s="16">
        <f ca="1">INDIRECT((ADDRESS(28,2,1,1,'DataSourceSelection - Central'!$C$29)))</f>
        <v>0</v>
      </c>
      <c r="R40" s="95">
        <f ca="1">INDIRECT((ADDRESS(28,3,1,1,'DataSourceSelection - Central'!$C$29)))</f>
        <v>0</v>
      </c>
      <c r="S40" s="97" t="s">
        <v>18</v>
      </c>
      <c r="U40" s="8"/>
    </row>
    <row r="41" spans="2:29" ht="15" customHeight="1" x14ac:dyDescent="0.2">
      <c r="B41" s="22"/>
      <c r="C41" s="16" t="str">
        <f ca="1">INDIRECT((ADDRESS(29,2,1,1,'DataSourceSelection - Central'!$C$19)))</f>
        <v>Expected battery life:</v>
      </c>
      <c r="D41" s="88">
        <f ca="1">INDIRECT((ADDRESS(29,3,1,1,'DataSourceSelection - Central'!$C$19)))</f>
        <v>3.6850645524774652</v>
      </c>
      <c r="E41" s="96" t="s">
        <v>21</v>
      </c>
      <c r="G41" s="8"/>
      <c r="I41" s="22"/>
      <c r="J41" s="16" t="str">
        <f ca="1">INDIRECT((ADDRESS(29,2,1,1,'DataSourceSelection - Central'!$C$24)))</f>
        <v>Expected battery life:</v>
      </c>
      <c r="K41" s="88">
        <f ca="1">INDIRECT((ADDRESS(29,3,1,1,'DataSourceSelection - Central'!$C$24)))</f>
        <v>77.923466646359387</v>
      </c>
      <c r="L41" s="96" t="s">
        <v>21</v>
      </c>
      <c r="N41" s="8"/>
      <c r="P41" s="22"/>
      <c r="Q41" s="16">
        <f ca="1">INDIRECT((ADDRESS(29,2,1,1,'DataSourceSelection - Central'!$C$29)))</f>
        <v>0</v>
      </c>
      <c r="R41" s="88">
        <f ca="1">INDIRECT((ADDRESS(29,3,1,1,'DataSourceSelection - Central'!$C$29)))</f>
        <v>0</v>
      </c>
      <c r="S41" s="96" t="s">
        <v>21</v>
      </c>
      <c r="U41" s="8"/>
    </row>
    <row r="42" spans="2:29" ht="17.25" customHeight="1" x14ac:dyDescent="0.2">
      <c r="B42" s="10"/>
      <c r="C42" s="7"/>
      <c r="D42" s="7"/>
      <c r="E42" s="7"/>
      <c r="F42" s="7"/>
      <c r="G42" s="9"/>
      <c r="I42" s="10"/>
      <c r="J42" s="24"/>
      <c r="K42" s="25"/>
      <c r="L42" s="7"/>
      <c r="M42" s="7"/>
      <c r="N42" s="9"/>
      <c r="P42" s="10"/>
      <c r="Q42" s="24"/>
      <c r="R42" s="25"/>
      <c r="S42" s="7"/>
      <c r="T42" s="7"/>
      <c r="U42" s="9"/>
    </row>
    <row r="43" spans="2:29" x14ac:dyDescent="0.2">
      <c r="C43"/>
    </row>
    <row r="44" spans="2:29" x14ac:dyDescent="0.2">
      <c r="C44"/>
    </row>
    <row r="45" spans="2:29" ht="31.5" customHeight="1" x14ac:dyDescent="0.25">
      <c r="C45" s="198" t="str">
        <f>"Power Consumption profile"&amp;" " &amp; C16</f>
        <v>Power Consumption profile Scanning</v>
      </c>
      <c r="D45" s="198"/>
      <c r="E45" s="198"/>
      <c r="F45" s="198"/>
      <c r="J45" s="198" t="str">
        <f>"Power Consumption profile"&amp;" " &amp; J16</f>
        <v>Power Consumption profile Connected as Central</v>
      </c>
      <c r="K45" s="198"/>
      <c r="L45" s="198"/>
      <c r="M45" s="198"/>
      <c r="Q45" s="198" t="str">
        <f>"Power Consumption profile"&amp;" " &amp; Q16</f>
        <v>Power Consumption profile None</v>
      </c>
      <c r="R45" s="198"/>
      <c r="S45" s="198"/>
      <c r="T45" s="198"/>
    </row>
    <row r="46" spans="2:29" x14ac:dyDescent="0.2">
      <c r="C46"/>
    </row>
    <row r="47" spans="2:29" x14ac:dyDescent="0.2">
      <c r="C47"/>
    </row>
    <row r="48" spans="2:29" x14ac:dyDescent="0.2">
      <c r="C48"/>
    </row>
    <row r="49" spans="3:3" ht="12.75" customHeight="1" x14ac:dyDescent="0.2">
      <c r="C49"/>
    </row>
    <row r="50" spans="3:3" x14ac:dyDescent="0.2">
      <c r="C50"/>
    </row>
    <row r="51" spans="3:3" x14ac:dyDescent="0.2">
      <c r="C51"/>
    </row>
    <row r="52" spans="3:3" x14ac:dyDescent="0.2">
      <c r="C52"/>
    </row>
    <row r="53" spans="3:3" x14ac:dyDescent="0.2">
      <c r="C53"/>
    </row>
  </sheetData>
  <mergeCells count="11">
    <mergeCell ref="F12:J12"/>
    <mergeCell ref="F3:K3"/>
    <mergeCell ref="N3:P3"/>
    <mergeCell ref="N4:P4"/>
    <mergeCell ref="N5:P5"/>
    <mergeCell ref="N6:P6"/>
    <mergeCell ref="X16:AC16"/>
    <mergeCell ref="X17:AC17"/>
    <mergeCell ref="C45:F45"/>
    <mergeCell ref="J45:M45"/>
    <mergeCell ref="Q45:T45"/>
  </mergeCells>
  <conditionalFormatting sqref="F11:K11 J14:K14 F13:K13 K12">
    <cfRule type="notContainsBlanks" dxfId="6" priority="14">
      <formula>LEN(TRIM(F11))&gt;0</formula>
    </cfRule>
  </conditionalFormatting>
  <conditionalFormatting sqref="F12">
    <cfRule type="notContainsBlanks" dxfId="5" priority="4">
      <formula>LEN(TRIM(F12))&gt;0</formula>
    </cfRule>
  </conditionalFormatting>
  <conditionalFormatting sqref="Y19:Z23">
    <cfRule type="cellIs" dxfId="4" priority="3" operator="lessThan">
      <formula>0</formula>
    </cfRule>
  </conditionalFormatting>
  <conditionalFormatting sqref="Y19:Y23">
    <cfRule type="cellIs" dxfId="3" priority="2" operator="greaterThan">
      <formula>24</formula>
    </cfRule>
  </conditionalFormatting>
  <conditionalFormatting sqref="Z19:Z23">
    <cfRule type="cellIs" dxfId="2" priority="1" operator="greaterThan">
      <formula>59</formula>
    </cfRule>
  </conditionalFormatting>
  <dataValidations count="6">
    <dataValidation type="decimal" operator="greaterThanOrEqual" allowBlank="1" showInputMessage="1" showErrorMessage="1" error="Scanning Duration cannot be negative!" prompt="Scanning Duration in each scanning window" sqref="D7" xr:uid="{00000000-0002-0000-0200-000000000000}">
      <formula1>0</formula1>
    </dataValidation>
    <dataValidation type="decimal" operator="greaterThanOrEqual" allowBlank="1" showInputMessage="1" showErrorMessage="1" error="The Scanning Window must be at least as long as the Scanning Duration (continuous scanning)" prompt="The Scanning Window must be at least as long as the Scanning Duration (continuous scanning)" sqref="D8" xr:uid="{00000000-0002-0000-0200-000001000000}">
      <formula1>D7</formula1>
    </dataValidation>
    <dataValidation type="decimal" operator="equal" allowBlank="1" showInputMessage="1" showErrorMessage="1" error="The Scanning Interval must be equal to the Scanning Window minus the Scanning Duration" prompt="The scanning interval must be equal to the Scanning Window length minus the Scanning Duration length" sqref="D9" xr:uid="{00000000-0002-0000-0200-000002000000}">
      <formula1>D8-D7</formula1>
    </dataValidation>
    <dataValidation type="decimal" errorStyle="warning" allowBlank="1" showInputMessage="1" showErrorMessage="1" error="The connection  data length shall be in the range of 0 to 251 bytes." prompt="The connection  data length shall be in the range of 0 to 251 bytes." sqref="D12" xr:uid="{00000000-0002-0000-0200-000003000000}">
      <formula1>0</formula1>
      <formula2>251</formula2>
    </dataValidation>
    <dataValidation type="decimal" errorStyle="warning" showInputMessage="1" showErrorMessage="1" error="The connection interval shall be in the range of 7.5 ms to 4 s." prompt="The connection interval shall be in the range of 7.5 ms to 4 s." sqref="D11" xr:uid="{00000000-0002-0000-0200-000004000000}">
      <formula1>7.5</formula1>
      <formula2>4000</formula2>
    </dataValidation>
    <dataValidation type="whole" operator="greaterThan" showInputMessage="1" showErrorMessage="1" error="Invalid battery capacity!" prompt="Battery capacity in mAh_x000a__x000a_Typical Battery Capacities (mAh)_x000a_CR2032: 225_x000a_AAA: 1200_x000a_AA: 2700" sqref="D4" xr:uid="{00000000-0002-0000-0200-000005000000}">
      <formula1>0</formula1>
    </dataValidation>
  </dataValidations>
  <pageMargins left="0.75" right="0.75" top="1" bottom="1" header="0.5" footer="0.5"/>
  <pageSetup orientation="portrait" r:id="rId1"/>
  <headerFooter alignWithMargins="0"/>
  <drawing r:id="rId2"/>
  <extLst>
    <ext xmlns:x14="http://schemas.microsoft.com/office/spreadsheetml/2009/9/main" uri="{78C0D931-6437-407d-A8EE-F0AAD7539E65}">
      <x14:conditionalFormattings>
        <x14:conditionalFormatting xmlns:xm="http://schemas.microsoft.com/office/excel/2006/main">
          <x14:cfRule type="expression" priority="11" id="{13EE7E8E-F093-4803-83CE-BF29CF422939}">
            <xm:f>(NOT(EXACT($D$10,'Input arguments'!$H$3)))</xm:f>
            <x14:dxf>
              <font>
                <color theme="0"/>
              </font>
            </x14:dxf>
          </x14:cfRule>
          <x14:cfRule type="expression" priority="13" id="{CB90C835-5AA5-478B-8D61-B55D548EFCA7}">
            <xm:f>(EXACT($D$10,'Input arguments'!$H$3))</xm:f>
            <x14:dxf>
              <fill>
                <patternFill>
                  <bgColor theme="8" tint="0.59996337778862885"/>
                </patternFill>
              </fill>
            </x14:dxf>
          </x14:cfRule>
          <xm:sqref>E10</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6000000}">
          <x14:formula1>
            <xm:f>'Input arguments'!$F$2:$F$7</xm:f>
          </x14:formula1>
          <xm:sqref>D6</xm:sqref>
        </x14:dataValidation>
        <x14:dataValidation type="list" allowBlank="1" showInputMessage="1" showErrorMessage="1" xr:uid="{00000000-0002-0000-0200-000007000000}">
          <x14:formula1>
            <xm:f>'Input arguments'!$C$2:$C$4</xm:f>
          </x14:formula1>
          <xm:sqref>D5</xm:sqref>
        </x14:dataValidation>
        <x14:dataValidation type="list" allowBlank="1" showInputMessage="1" showErrorMessage="1" xr:uid="{00000000-0002-0000-0200-000008000000}">
          <x14:formula1>
            <xm:f>'Input arguments'!$A$2:$A$4</xm:f>
          </x14:formula1>
          <xm:sqref>D3</xm:sqref>
        </x14:dataValidation>
        <x14:dataValidation type="list" errorStyle="information" allowBlank="1" showInputMessage="1" showErrorMessage="1" error="Data won't be updated according to this parameter" prompt="If you select &quot;Active&quot;, please chose the average number of scan request sent" xr:uid="{00000000-0002-0000-0200-000009000000}">
          <x14:formula1>
            <xm:f>'Input arguments'!$H$2:$H$3</xm:f>
          </x14:formula1>
          <xm:sqref>D10</xm:sqref>
        </x14:dataValidation>
        <x14:dataValidation type="list" allowBlank="1" showInputMessage="1" showErrorMessage="1" xr:uid="{00000000-0002-0000-0200-00000A000000}">
          <x14:formula1>
            <xm:f>'Input arguments'!$I$2:$I$4</xm:f>
          </x14:formula1>
          <xm:sqref>Q16 C16 J16</xm:sqref>
        </x14:dataValidation>
        <x14:dataValidation type="list" allowBlank="1" showInputMessage="1" showErrorMessage="1" xr:uid="{00000000-0002-0000-0200-00000B000000}">
          <x14:formula1>
            <xm:f>'Input arguments'!$G$2:$G$3</xm:f>
          </x14:formula1>
          <xm:sqref>D13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
  <sheetViews>
    <sheetView workbookViewId="0">
      <selection activeCell="D14" sqref="D14"/>
    </sheetView>
  </sheetViews>
  <sheetFormatPr defaultColWidth="8.85546875" defaultRowHeight="12.75" x14ac:dyDescent="0.2"/>
  <cols>
    <col min="1" max="1" width="14.28515625" customWidth="1"/>
    <col min="2" max="2" width="43.7109375" customWidth="1"/>
    <col min="3" max="3" width="16.28515625" customWidth="1"/>
    <col min="4" max="4" width="14.5703125" customWidth="1"/>
    <col min="6" max="8" width="15.140625" customWidth="1"/>
    <col min="9" max="9" width="21.5703125" bestFit="1" customWidth="1"/>
  </cols>
  <sheetData>
    <row r="1" spans="1:15" x14ac:dyDescent="0.2">
      <c r="A1" s="1" t="s">
        <v>48</v>
      </c>
      <c r="B1" s="1" t="s">
        <v>109</v>
      </c>
      <c r="C1" s="1" t="s">
        <v>49</v>
      </c>
      <c r="D1" s="1" t="s">
        <v>50</v>
      </c>
      <c r="E1" s="1" t="s">
        <v>51</v>
      </c>
      <c r="F1" s="1" t="s">
        <v>60</v>
      </c>
      <c r="G1" s="1" t="s">
        <v>63</v>
      </c>
      <c r="H1" s="1" t="s">
        <v>106</v>
      </c>
      <c r="I1" s="1" t="s">
        <v>110</v>
      </c>
      <c r="O1" t="s">
        <v>68</v>
      </c>
    </row>
    <row r="2" spans="1:15" ht="15" x14ac:dyDescent="0.25">
      <c r="A2">
        <v>3.6</v>
      </c>
      <c r="B2" s="1" t="s">
        <v>83</v>
      </c>
      <c r="C2" s="1" t="s">
        <v>52</v>
      </c>
      <c r="D2">
        <v>5</v>
      </c>
      <c r="E2">
        <v>5</v>
      </c>
      <c r="F2" s="101">
        <v>-10</v>
      </c>
      <c r="G2" s="103" t="s">
        <v>65</v>
      </c>
      <c r="H2" s="123" t="s">
        <v>107</v>
      </c>
      <c r="I2" t="s">
        <v>83</v>
      </c>
      <c r="O2" s="1" t="s">
        <v>70</v>
      </c>
    </row>
    <row r="3" spans="1:15" ht="15" x14ac:dyDescent="0.25">
      <c r="A3">
        <v>3</v>
      </c>
      <c r="B3" t="s">
        <v>81</v>
      </c>
      <c r="C3" s="1" t="s">
        <v>53</v>
      </c>
      <c r="D3">
        <v>2</v>
      </c>
      <c r="E3">
        <v>2</v>
      </c>
      <c r="F3" s="101">
        <v>0</v>
      </c>
      <c r="G3" s="103" t="s">
        <v>64</v>
      </c>
      <c r="H3" s="123" t="s">
        <v>108</v>
      </c>
      <c r="I3" s="123" t="s">
        <v>111</v>
      </c>
      <c r="J3" s="202" t="s">
        <v>17</v>
      </c>
      <c r="K3" s="203"/>
      <c r="L3" s="77">
        <v>1.3</v>
      </c>
      <c r="M3" s="78"/>
    </row>
    <row r="4" spans="1:15" ht="15" x14ac:dyDescent="0.25">
      <c r="A4">
        <v>1.8</v>
      </c>
      <c r="B4" t="s">
        <v>82</v>
      </c>
      <c r="C4" s="1"/>
      <c r="D4">
        <v>0</v>
      </c>
      <c r="E4">
        <v>0</v>
      </c>
      <c r="F4" s="101">
        <v>4</v>
      </c>
      <c r="G4" s="101"/>
      <c r="H4" s="101"/>
      <c r="I4" s="130" t="s">
        <v>129</v>
      </c>
      <c r="J4" s="202" t="s">
        <v>17</v>
      </c>
      <c r="K4" s="203"/>
      <c r="L4" s="77">
        <v>1.3</v>
      </c>
    </row>
    <row r="5" spans="1:15" ht="15" x14ac:dyDescent="0.25">
      <c r="F5" s="101"/>
      <c r="G5" s="101"/>
      <c r="H5" s="101"/>
      <c r="I5" s="101"/>
    </row>
    <row r="6" spans="1:15" ht="15" x14ac:dyDescent="0.25">
      <c r="F6" s="101"/>
      <c r="G6" s="101"/>
      <c r="H6" s="101"/>
      <c r="I6" s="101"/>
      <c r="J6" s="75"/>
    </row>
    <row r="7" spans="1:15" ht="15" x14ac:dyDescent="0.25">
      <c r="F7" s="101"/>
      <c r="G7" s="101"/>
      <c r="H7" s="101"/>
      <c r="I7" s="101"/>
      <c r="J7" s="75"/>
    </row>
    <row r="8" spans="1:15" x14ac:dyDescent="0.2">
      <c r="J8" s="76"/>
    </row>
    <row r="9" spans="1:15" x14ac:dyDescent="0.2">
      <c r="J9" s="75"/>
    </row>
    <row r="10" spans="1:15" x14ac:dyDescent="0.2">
      <c r="A10" s="7" t="s">
        <v>169</v>
      </c>
    </row>
    <row r="11" spans="1:15" x14ac:dyDescent="0.2">
      <c r="A11" t="s">
        <v>0</v>
      </c>
      <c r="B11" s="1" t="s">
        <v>109</v>
      </c>
      <c r="C11" s="7" t="s">
        <v>229</v>
      </c>
      <c r="D11" s="7" t="s">
        <v>230</v>
      </c>
      <c r="E11" s="7"/>
      <c r="F11" s="7" t="s">
        <v>231</v>
      </c>
      <c r="G11" s="7"/>
      <c r="H11" s="7"/>
      <c r="I11" s="7"/>
      <c r="J11" s="7"/>
      <c r="K11" s="7"/>
      <c r="L11" s="7"/>
      <c r="M11" s="7"/>
      <c r="N11" s="7"/>
      <c r="O11" s="7"/>
    </row>
    <row r="12" spans="1:15" x14ac:dyDescent="0.2">
      <c r="A12">
        <v>1.8</v>
      </c>
      <c r="B12" s="1" t="s">
        <v>83</v>
      </c>
      <c r="C12" t="s">
        <v>232</v>
      </c>
      <c r="D12" t="s">
        <v>234</v>
      </c>
      <c r="F12">
        <v>-10</v>
      </c>
    </row>
    <row r="13" spans="1:15" x14ac:dyDescent="0.2">
      <c r="A13">
        <v>5</v>
      </c>
      <c r="B13" t="s">
        <v>81</v>
      </c>
      <c r="C13" t="s">
        <v>233</v>
      </c>
      <c r="D13" t="s">
        <v>235</v>
      </c>
      <c r="F13">
        <v>0</v>
      </c>
    </row>
    <row r="14" spans="1:15" x14ac:dyDescent="0.2">
      <c r="B14" t="s">
        <v>82</v>
      </c>
      <c r="F14">
        <v>4</v>
      </c>
    </row>
    <row r="15" spans="1:15" x14ac:dyDescent="0.2">
      <c r="B15" s="1"/>
    </row>
  </sheetData>
  <mergeCells count="2">
    <mergeCell ref="J3:K3"/>
    <mergeCell ref="J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E38"/>
  <sheetViews>
    <sheetView workbookViewId="0">
      <selection activeCell="K45" sqref="K45"/>
    </sheetView>
  </sheetViews>
  <sheetFormatPr defaultColWidth="8.85546875" defaultRowHeight="12.75" x14ac:dyDescent="0.2"/>
  <cols>
    <col min="2" max="2" width="24.28515625" bestFit="1" customWidth="1"/>
  </cols>
  <sheetData>
    <row r="5" spans="2:5" ht="25.5" x14ac:dyDescent="0.2">
      <c r="B5" s="31" t="s">
        <v>3</v>
      </c>
      <c r="C5" s="32" t="s">
        <v>24</v>
      </c>
      <c r="D5" s="33" t="s">
        <v>25</v>
      </c>
      <c r="E5" s="80" t="s">
        <v>36</v>
      </c>
    </row>
    <row r="6" spans="2:5" ht="15" customHeight="1" x14ac:dyDescent="0.2">
      <c r="B6" s="110"/>
      <c r="C6" s="58"/>
      <c r="D6" s="98"/>
      <c r="E6" s="58"/>
    </row>
    <row r="7" spans="2:5" x14ac:dyDescent="0.2">
      <c r="B7" s="110"/>
      <c r="C7" s="58"/>
      <c r="D7" s="98"/>
      <c r="E7" s="58"/>
    </row>
    <row r="8" spans="2:5" x14ac:dyDescent="0.2">
      <c r="B8" s="110"/>
      <c r="C8" s="58"/>
      <c r="D8" s="98"/>
      <c r="E8" s="58"/>
    </row>
    <row r="9" spans="2:5" x14ac:dyDescent="0.2">
      <c r="B9" s="110"/>
      <c r="C9" s="58"/>
      <c r="D9" s="98"/>
      <c r="E9" s="58"/>
    </row>
    <row r="10" spans="2:5" x14ac:dyDescent="0.2">
      <c r="B10" s="110"/>
      <c r="C10" s="58"/>
      <c r="D10" s="98"/>
      <c r="E10" s="58"/>
    </row>
    <row r="11" spans="2:5" x14ac:dyDescent="0.2">
      <c r="B11" s="110"/>
      <c r="C11" s="58"/>
      <c r="D11" s="98"/>
      <c r="E11" s="58"/>
    </row>
    <row r="12" spans="2:5" x14ac:dyDescent="0.2">
      <c r="B12" s="110"/>
      <c r="C12" s="58"/>
      <c r="D12" s="98"/>
      <c r="E12" s="58"/>
    </row>
    <row r="13" spans="2:5" x14ac:dyDescent="0.2">
      <c r="B13" s="110"/>
      <c r="C13" s="58"/>
      <c r="D13" s="98"/>
      <c r="E13" s="58"/>
    </row>
    <row r="14" spans="2:5" x14ac:dyDescent="0.2">
      <c r="B14" s="110"/>
      <c r="C14" s="58"/>
      <c r="D14" s="98"/>
      <c r="E14" s="58"/>
    </row>
    <row r="15" spans="2:5" x14ac:dyDescent="0.2">
      <c r="B15" s="110"/>
      <c r="C15" s="58"/>
      <c r="D15" s="98"/>
      <c r="E15" s="58"/>
    </row>
    <row r="16" spans="2:5" x14ac:dyDescent="0.2">
      <c r="B16" s="110"/>
      <c r="C16" s="58"/>
      <c r="D16" s="98"/>
      <c r="E16" s="58"/>
    </row>
    <row r="17" spans="2:5" x14ac:dyDescent="0.2">
      <c r="B17" s="110"/>
      <c r="C17" s="58"/>
      <c r="D17" s="98"/>
      <c r="E17" s="58"/>
    </row>
    <row r="18" spans="2:5" x14ac:dyDescent="0.2">
      <c r="B18" s="110"/>
      <c r="C18" s="58"/>
      <c r="D18" s="98"/>
      <c r="E18" s="58"/>
    </row>
    <row r="19" spans="2:5" x14ac:dyDescent="0.2">
      <c r="B19" s="110"/>
      <c r="C19" s="58"/>
      <c r="D19" s="98"/>
      <c r="E19" s="58"/>
    </row>
    <row r="20" spans="2:5" x14ac:dyDescent="0.2">
      <c r="B20" s="15" t="s">
        <v>101</v>
      </c>
      <c r="C20" s="61">
        <f>SUM(C6:C19)</f>
        <v>0</v>
      </c>
      <c r="D20" s="4"/>
      <c r="E20" s="2"/>
    </row>
    <row r="21" spans="2:5" ht="25.5" x14ac:dyDescent="0.2">
      <c r="B21" s="15" t="s">
        <v>43</v>
      </c>
      <c r="C21" s="60"/>
      <c r="D21" s="5"/>
      <c r="E21" s="62">
        <f>SUM(E6:E19)</f>
        <v>0</v>
      </c>
    </row>
    <row r="22" spans="2:5" x14ac:dyDescent="0.2">
      <c r="B22" s="28" t="s">
        <v>102</v>
      </c>
      <c r="C22" s="79"/>
      <c r="D22" s="7"/>
      <c r="E22" s="59">
        <f>1000*IF(E21=0,0,E21/C20)</f>
        <v>0</v>
      </c>
    </row>
    <row r="32" spans="2:5" ht="15" x14ac:dyDescent="0.25">
      <c r="B32" s="101"/>
      <c r="C32" s="1"/>
    </row>
    <row r="33" spans="2:3" ht="15" x14ac:dyDescent="0.25">
      <c r="B33" s="101"/>
      <c r="C33" s="101"/>
    </row>
    <row r="34" spans="2:3" ht="15" x14ac:dyDescent="0.25">
      <c r="B34" s="101"/>
      <c r="C34" s="101"/>
    </row>
    <row r="35" spans="2:3" ht="15" x14ac:dyDescent="0.25">
      <c r="B35" s="101"/>
      <c r="C35" s="101"/>
    </row>
    <row r="36" spans="2:3" ht="15" x14ac:dyDescent="0.25">
      <c r="B36" s="101"/>
      <c r="C36" s="101"/>
    </row>
    <row r="37" spans="2:3" ht="15" x14ac:dyDescent="0.25">
      <c r="B37" s="101"/>
      <c r="C37" s="101"/>
    </row>
    <row r="38" spans="2:3" ht="15" x14ac:dyDescent="0.25">
      <c r="B38" s="101"/>
      <c r="C38" s="10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L40"/>
  <sheetViews>
    <sheetView zoomScale="85" zoomScaleNormal="85" workbookViewId="0">
      <selection activeCell="D14" sqref="D14"/>
    </sheetView>
  </sheetViews>
  <sheetFormatPr defaultColWidth="8.85546875" defaultRowHeight="12.75" x14ac:dyDescent="0.2"/>
  <cols>
    <col min="2" max="2" width="32.7109375" customWidth="1"/>
    <col min="3" max="3" width="19.7109375" style="5" customWidth="1"/>
    <col min="4" max="4" width="11.28515625" style="5" customWidth="1"/>
    <col min="5" max="5" width="17" style="5" customWidth="1"/>
    <col min="6" max="6" width="12" customWidth="1"/>
    <col min="7" max="7" width="2.5703125" customWidth="1"/>
    <col min="8" max="8" width="22.85546875" style="5" customWidth="1"/>
    <col min="9" max="9" width="17.85546875" style="5" customWidth="1"/>
    <col min="10" max="10" width="21" style="5" customWidth="1"/>
    <col min="11" max="11" width="18.85546875" style="5" customWidth="1"/>
    <col min="12" max="12" width="16.7109375" style="5" customWidth="1"/>
    <col min="13" max="13" width="16.42578125" customWidth="1"/>
    <col min="14" max="14" width="13.28515625" customWidth="1"/>
  </cols>
  <sheetData>
    <row r="2" spans="1:11" x14ac:dyDescent="0.2">
      <c r="D2" s="184"/>
      <c r="H2" s="185" t="s">
        <v>217</v>
      </c>
    </row>
    <row r="3" spans="1:11" ht="15" x14ac:dyDescent="0.25">
      <c r="J3" s="139" t="s">
        <v>61</v>
      </c>
    </row>
    <row r="4" spans="1:11" ht="41.25" customHeight="1" x14ac:dyDescent="0.2">
      <c r="I4" s="5">
        <v>-10</v>
      </c>
      <c r="J4" s="5">
        <v>0</v>
      </c>
      <c r="K4" s="5">
        <v>4</v>
      </c>
    </row>
    <row r="5" spans="1:11" ht="25.5" x14ac:dyDescent="0.2">
      <c r="B5" s="31" t="s">
        <v>3</v>
      </c>
      <c r="C5" s="32" t="s">
        <v>24</v>
      </c>
      <c r="D5" s="33" t="s">
        <v>25</v>
      </c>
      <c r="E5" s="144" t="s">
        <v>36</v>
      </c>
      <c r="H5" s="5" t="s">
        <v>209</v>
      </c>
      <c r="I5" s="5" t="s">
        <v>164</v>
      </c>
      <c r="J5" s="5" t="s">
        <v>164</v>
      </c>
      <c r="K5" s="5" t="s">
        <v>164</v>
      </c>
    </row>
    <row r="6" spans="1:11" ht="15" customHeight="1" x14ac:dyDescent="0.2">
      <c r="A6">
        <v>1</v>
      </c>
      <c r="B6" s="51" t="s">
        <v>15</v>
      </c>
      <c r="C6" s="145">
        <f ca="1">H6*10^6</f>
        <v>391.79470000000003</v>
      </c>
      <c r="D6" s="146">
        <f t="shared" ref="D6:D19" ca="1" si="0">_xlfn.XLOOKUP($J$32,$I$4:$K$4,I6:K6)/$J$30/$J$29*1000</f>
        <v>4.0726399999999998</v>
      </c>
      <c r="E6" s="145">
        <f t="shared" ref="E6:E19" ca="1" si="1">C6*D6</f>
        <v>1595.6387670080001</v>
      </c>
      <c r="H6" s="184" cm="1">
        <f t="array" aca="1" ref="H6" ca="1">INDIRECT(_xlfn.CONCAT($K$27,"!C",50+ROW()-6))</f>
        <v>3.9179470000000002E-4</v>
      </c>
      <c r="I6" s="184" cm="1">
        <f t="array" aca="1" ref="I6" ca="1">INDIRECT(_xlfn.CONCAT($K$27,"!F",50+ROW()-6))</f>
        <v>1.2209009999999999E-2</v>
      </c>
      <c r="J6" s="184" cm="1">
        <f t="array" aca="1" ref="J6" ca="1">INDIRECT(_xlfn.CONCAT($K$27,"!G",50+ROW()-6))</f>
        <v>1.221792E-2</v>
      </c>
      <c r="K6" s="184" cm="1">
        <f t="array" aca="1" ref="K6" ca="1">INDIRECT(_xlfn.CONCAT($K$27,"!H",50+ROW()-6))</f>
        <v>1.195441E-2</v>
      </c>
    </row>
    <row r="7" spans="1:11" x14ac:dyDescent="0.2">
      <c r="A7">
        <v>2</v>
      </c>
      <c r="B7" s="51" t="s">
        <v>14</v>
      </c>
      <c r="C7" s="145">
        <f ca="1">H7*10^6</f>
        <v>463.30770000000001</v>
      </c>
      <c r="D7" s="146">
        <f t="shared" ca="1" si="0"/>
        <v>3.0388480000000002</v>
      </c>
      <c r="E7" s="145">
        <f t="shared" ca="1" si="1"/>
        <v>1407.9216775296002</v>
      </c>
      <c r="H7" s="184" cm="1">
        <f t="array" aca="1" ref="H7" ca="1">INDIRECT(_xlfn.CONCAT($K$27,"!C",50+ROW()-6))</f>
        <v>4.6330770000000001E-4</v>
      </c>
      <c r="I7" s="184" cm="1">
        <f t="array" aca="1" ref="I7" ca="1">INDIRECT(_xlfn.CONCAT($K$27,"!F",50+ROW()-6))</f>
        <v>9.1719920000000003E-3</v>
      </c>
      <c r="J7" s="184" cm="1">
        <f t="array" aca="1" ref="J7" ca="1">INDIRECT(_xlfn.CONCAT($K$27,"!G",50+ROW()-6))</f>
        <v>9.1165440000000007E-3</v>
      </c>
      <c r="K7" s="184" cm="1">
        <f t="array" aca="1" ref="K7" ca="1">INDIRECT(_xlfn.CONCAT($K$27,"!H",50+ROW()-6))</f>
        <v>1.064821E-2</v>
      </c>
    </row>
    <row r="8" spans="1:11" x14ac:dyDescent="0.2">
      <c r="A8">
        <v>3</v>
      </c>
      <c r="B8" s="51" t="s">
        <v>7</v>
      </c>
      <c r="C8" s="145">
        <f ca="1">$I$24+$I$25*$J$33</f>
        <v>327.25559999999996</v>
      </c>
      <c r="D8" s="146">
        <f t="shared" ca="1" si="0"/>
        <v>5.113316666666667</v>
      </c>
      <c r="E8" s="145">
        <f t="shared" ca="1" si="1"/>
        <v>1673.36151374</v>
      </c>
      <c r="H8" s="184"/>
      <c r="I8" s="184" cm="1">
        <f t="array" aca="1" ref="I8" ca="1">INDIRECT(_xlfn.CONCAT($K$27,"!F",50+ROW()-6))</f>
        <v>1.21967E-2</v>
      </c>
      <c r="J8" s="184" cm="1">
        <f t="array" aca="1" ref="J8" ca="1">INDIRECT(_xlfn.CONCAT($K$27,"!G",50+ROW()-6))</f>
        <v>1.533995E-2</v>
      </c>
      <c r="K8" s="184" cm="1">
        <f t="array" aca="1" ref="K8" ca="1">INDIRECT(_xlfn.CONCAT($K$27,"!H",50+ROW()-6))</f>
        <v>1.8638640000000001E-2</v>
      </c>
    </row>
    <row r="9" spans="1:11" x14ac:dyDescent="0.2">
      <c r="A9">
        <v>4</v>
      </c>
      <c r="B9" s="51" t="s">
        <v>9</v>
      </c>
      <c r="C9" s="145">
        <f ca="1">H9*10^6</f>
        <v>76.784260000000003</v>
      </c>
      <c r="D9" s="146">
        <f t="shared" ca="1" si="0"/>
        <v>2.9384796666666668</v>
      </c>
      <c r="E9" s="145">
        <f t="shared" ca="1" si="1"/>
        <v>225.62898673004668</v>
      </c>
      <c r="H9" s="184" cm="1">
        <f t="array" aca="1" ref="H9" ca="1">INDIRECT(_xlfn.CONCAT($K$27,"!C",50+ROW()-6))</f>
        <v>7.6784260000000007E-5</v>
      </c>
      <c r="I9" s="184" cm="1">
        <f t="array" aca="1" ref="I9" ca="1">INDIRECT(_xlfn.CONCAT($K$27,"!F",50+ROW()-6))</f>
        <v>8.7823559999999998E-3</v>
      </c>
      <c r="J9" s="184" cm="1">
        <f t="array" aca="1" ref="J9" ca="1">INDIRECT(_xlfn.CONCAT($K$27,"!G",50+ROW()-6))</f>
        <v>8.8154389999999996E-3</v>
      </c>
      <c r="K9" s="184" cm="1">
        <f t="array" aca="1" ref="K9" ca="1">INDIRECT(_xlfn.CONCAT($K$27,"!H",50+ROW()-6))</f>
        <v>9.0627999999999993E-3</v>
      </c>
    </row>
    <row r="10" spans="1:11" x14ac:dyDescent="0.2">
      <c r="A10">
        <v>5</v>
      </c>
      <c r="B10" s="51" t="s">
        <v>5</v>
      </c>
      <c r="C10" s="145">
        <f ca="1">H10*10^6</f>
        <v>115.74459999999999</v>
      </c>
      <c r="D10" s="146">
        <f t="shared" ca="1" si="0"/>
        <v>4.8636499999999998</v>
      </c>
      <c r="E10" s="145">
        <f t="shared" ca="1" si="1"/>
        <v>562.94122378999998</v>
      </c>
      <c r="H10" s="184" cm="1">
        <f t="array" aca="1" ref="H10" ca="1">INDIRECT(_xlfn.CONCAT($K$27,"!C",50+ROW()-6))</f>
        <v>1.157446E-4</v>
      </c>
      <c r="I10" s="184" cm="1">
        <f t="array" aca="1" ref="I10" ca="1">INDIRECT(_xlfn.CONCAT($K$27,"!F",50+ROW()-6))</f>
        <v>1.462171E-2</v>
      </c>
      <c r="J10" s="184" cm="1">
        <f t="array" aca="1" ref="J10" ca="1">INDIRECT(_xlfn.CONCAT($K$27,"!G",50+ROW()-6))</f>
        <v>1.459095E-2</v>
      </c>
      <c r="K10" s="184" cm="1">
        <f t="array" aca="1" ref="K10" ca="1">INDIRECT(_xlfn.CONCAT($K$27,"!H",50+ROW()-6))</f>
        <v>1.6438729999999999E-2</v>
      </c>
    </row>
    <row r="11" spans="1:11" x14ac:dyDescent="0.2">
      <c r="A11">
        <v>6</v>
      </c>
      <c r="B11" s="51" t="s">
        <v>6</v>
      </c>
      <c r="C11" s="145">
        <f ca="1">H11*10^6</f>
        <v>372.4323</v>
      </c>
      <c r="D11" s="146">
        <f t="shared" ca="1" si="0"/>
        <v>2.9429466666666664</v>
      </c>
      <c r="E11" s="145">
        <f t="shared" ca="1" si="1"/>
        <v>1096.048395844</v>
      </c>
      <c r="H11" s="184" cm="1">
        <f t="array" aca="1" ref="H11" ca="1">INDIRECT(_xlfn.CONCAT($K$27,"!C",50+ROW()-6))</f>
        <v>3.7243230000000001E-4</v>
      </c>
      <c r="I11" s="184" cm="1">
        <f t="array" aca="1" ref="I11" ca="1">INDIRECT(_xlfn.CONCAT($K$27,"!F",50+ROW()-6))</f>
        <v>8.8701449999999994E-3</v>
      </c>
      <c r="J11" s="184" cm="1">
        <f t="array" aca="1" ref="J11" ca="1">INDIRECT(_xlfn.CONCAT($K$27,"!G",50+ROW()-6))</f>
        <v>8.8288399999999993E-3</v>
      </c>
      <c r="K11" s="184" cm="1">
        <f t="array" aca="1" ref="K11" ca="1">INDIRECT(_xlfn.CONCAT($K$27,"!H",50+ROW()-6))</f>
        <v>8.8736860000000004E-3</v>
      </c>
    </row>
    <row r="12" spans="1:11" x14ac:dyDescent="0.2">
      <c r="A12">
        <v>7</v>
      </c>
      <c r="B12" s="51" t="s">
        <v>7</v>
      </c>
      <c r="C12" s="145">
        <f ca="1">$I$24+$I$25*$J$33</f>
        <v>327.25559999999996</v>
      </c>
      <c r="D12" s="146">
        <f t="shared" ca="1" si="0"/>
        <v>4.9986466666666658</v>
      </c>
      <c r="E12" s="145">
        <f t="shared" ca="1" si="1"/>
        <v>1635.8351140879995</v>
      </c>
      <c r="H12" s="184"/>
      <c r="I12" s="184" cm="1">
        <f t="array" aca="1" ref="I12" ca="1">INDIRECT(_xlfn.CONCAT($K$27,"!F",50+ROW()-6))</f>
        <v>1.197753E-2</v>
      </c>
      <c r="J12" s="184" cm="1">
        <f t="array" aca="1" ref="J12" ca="1">INDIRECT(_xlfn.CONCAT($K$27,"!G",50+ROW()-6))</f>
        <v>1.4995939999999999E-2</v>
      </c>
      <c r="K12" s="184" cm="1">
        <f t="array" aca="1" ref="K12" ca="1">INDIRECT(_xlfn.CONCAT($K$27,"!H",50+ROW()-6))</f>
        <v>1.817529E-2</v>
      </c>
    </row>
    <row r="13" spans="1:11" x14ac:dyDescent="0.2">
      <c r="A13">
        <v>8</v>
      </c>
      <c r="B13" s="51" t="s">
        <v>9</v>
      </c>
      <c r="C13" s="145">
        <f ca="1">H13*10^6</f>
        <v>74.617199999999997</v>
      </c>
      <c r="D13" s="146">
        <f t="shared" ca="1" si="0"/>
        <v>2.9272503333333337</v>
      </c>
      <c r="E13" s="145">
        <f t="shared" ca="1" si="1"/>
        <v>218.42322357240002</v>
      </c>
      <c r="H13" s="184" cm="1">
        <f t="array" aca="1" ref="H13" ca="1">INDIRECT(_xlfn.CONCAT($K$27,"!C",50+ROW()-6))</f>
        <v>7.4617199999999994E-5</v>
      </c>
      <c r="I13" s="184" cm="1">
        <f t="array" aca="1" ref="I13" ca="1">INDIRECT(_xlfn.CONCAT($K$27,"!F",50+ROW()-6))</f>
        <v>8.6551990000000006E-3</v>
      </c>
      <c r="J13" s="184" cm="1">
        <f t="array" aca="1" ref="J13" ca="1">INDIRECT(_xlfn.CONCAT($K$27,"!G",50+ROW()-6))</f>
        <v>8.7817510000000008E-3</v>
      </c>
      <c r="K13" s="184" cm="1">
        <f t="array" aca="1" ref="K13" ca="1">INDIRECT(_xlfn.CONCAT($K$27,"!H",50+ROW()-6))</f>
        <v>8.9315929999999998E-3</v>
      </c>
    </row>
    <row r="14" spans="1:11" x14ac:dyDescent="0.2">
      <c r="A14">
        <v>9</v>
      </c>
      <c r="B14" s="51" t="s">
        <v>5</v>
      </c>
      <c r="C14" s="145">
        <f ca="1">H14*10^6</f>
        <v>119.09439999999999</v>
      </c>
      <c r="D14" s="146">
        <f t="shared" ca="1" si="0"/>
        <v>4.9328233333333333</v>
      </c>
      <c r="E14" s="145">
        <f t="shared" ca="1" si="1"/>
        <v>587.47163518933326</v>
      </c>
      <c r="H14" s="184" cm="1">
        <f t="array" aca="1" ref="H14" ca="1">INDIRECT(_xlfn.CONCAT($K$27,"!C",50+ROW()-6))</f>
        <v>1.190944E-4</v>
      </c>
      <c r="I14" s="184" cm="1">
        <f t="array" aca="1" ref="I14" ca="1">INDIRECT(_xlfn.CONCAT($K$27,"!F",50+ROW()-6))</f>
        <v>1.4776070000000001E-2</v>
      </c>
      <c r="J14" s="184" cm="1">
        <f t="array" aca="1" ref="J14" ca="1">INDIRECT(_xlfn.CONCAT($K$27,"!G",50+ROW()-6))</f>
        <v>1.4798469999999999E-2</v>
      </c>
      <c r="K14" s="184" cm="1">
        <f t="array" aca="1" ref="K14" ca="1">INDIRECT(_xlfn.CONCAT($K$27,"!H",50+ROW()-6))</f>
        <v>1.67139E-2</v>
      </c>
    </row>
    <row r="15" spans="1:11" x14ac:dyDescent="0.2">
      <c r="A15">
        <v>10</v>
      </c>
      <c r="B15" s="51" t="s">
        <v>6</v>
      </c>
      <c r="C15" s="145">
        <f ca="1">H15*10^6</f>
        <v>371.90719999999999</v>
      </c>
      <c r="D15" s="146">
        <f t="shared" ca="1" si="0"/>
        <v>2.9496626666666668</v>
      </c>
      <c r="E15" s="145">
        <f t="shared" ca="1" si="1"/>
        <v>1097.0007833045333</v>
      </c>
      <c r="H15" s="184" cm="1">
        <f t="array" aca="1" ref="H15" ca="1">INDIRECT(_xlfn.CONCAT($K$27,"!C",50+ROW()-6))</f>
        <v>3.719072E-4</v>
      </c>
      <c r="I15" s="184" cm="1">
        <f t="array" aca="1" ref="I15" ca="1">INDIRECT(_xlfn.CONCAT($K$27,"!F",50+ROW()-6))</f>
        <v>8.8621499999999992E-3</v>
      </c>
      <c r="J15" s="184" cm="1">
        <f t="array" aca="1" ref="J15" ca="1">INDIRECT(_xlfn.CONCAT($K$27,"!G",50+ROW()-6))</f>
        <v>8.8489880000000003E-3</v>
      </c>
      <c r="K15" s="184" cm="1">
        <f t="array" aca="1" ref="K15" ca="1">INDIRECT(_xlfn.CONCAT($K$27,"!H",50+ROW()-6))</f>
        <v>8.9207890000000001E-3</v>
      </c>
    </row>
    <row r="16" spans="1:11" x14ac:dyDescent="0.2">
      <c r="A16">
        <v>11</v>
      </c>
      <c r="B16" s="51" t="s">
        <v>7</v>
      </c>
      <c r="C16" s="145">
        <f ca="1">$I$24+$I$25*$J$33</f>
        <v>327.25559999999996</v>
      </c>
      <c r="D16" s="146">
        <f t="shared" ca="1" si="0"/>
        <v>4.9671433333333335</v>
      </c>
      <c r="E16" s="145">
        <f t="shared" ca="1" si="1"/>
        <v>1625.5254718359997</v>
      </c>
      <c r="H16" s="184"/>
      <c r="I16" s="184" cm="1">
        <f t="array" aca="1" ref="I16" ca="1">INDIRECT(_xlfn.CONCAT($K$27,"!F",50+ROW()-6))</f>
        <v>1.199851E-2</v>
      </c>
      <c r="J16" s="184" cm="1">
        <f t="array" aca="1" ref="J16" ca="1">INDIRECT(_xlfn.CONCAT($K$27,"!G",50+ROW()-6))</f>
        <v>1.490143E-2</v>
      </c>
      <c r="K16" s="184" cm="1">
        <f t="array" aca="1" ref="K16" ca="1">INDIRECT(_xlfn.CONCAT($K$27,"!H",50+ROW()-6))</f>
        <v>1.8468160000000001E-2</v>
      </c>
    </row>
    <row r="17" spans="1:11" x14ac:dyDescent="0.2">
      <c r="A17">
        <v>12</v>
      </c>
      <c r="B17" s="51" t="s">
        <v>9</v>
      </c>
      <c r="C17" s="145">
        <f ca="1">H17*10^6</f>
        <v>74.614800000000002</v>
      </c>
      <c r="D17" s="146">
        <f t="shared" ca="1" si="0"/>
        <v>2.9366873333333334</v>
      </c>
      <c r="E17" s="145">
        <f t="shared" ca="1" si="1"/>
        <v>219.12033803920002</v>
      </c>
      <c r="H17" s="184" cm="1">
        <f t="array" aca="1" ref="H17" ca="1">INDIRECT(_xlfn.CONCAT($K$27,"!C",50+ROW()-6))</f>
        <v>7.4614800000000003E-5</v>
      </c>
      <c r="I17" s="184" cm="1">
        <f t="array" aca="1" ref="I17" ca="1">INDIRECT(_xlfn.CONCAT($K$27,"!F",50+ROW()-6))</f>
        <v>8.7186950000000003E-3</v>
      </c>
      <c r="J17" s="184" cm="1">
        <f t="array" aca="1" ref="J17" ca="1">INDIRECT(_xlfn.CONCAT($K$27,"!G",50+ROW()-6))</f>
        <v>8.8100620000000004E-3</v>
      </c>
      <c r="K17" s="184" cm="1">
        <f t="array" aca="1" ref="K17" ca="1">INDIRECT(_xlfn.CONCAT($K$27,"!H",50+ROW()-6))</f>
        <v>8.9547259999999997E-3</v>
      </c>
    </row>
    <row r="18" spans="1:11" x14ac:dyDescent="0.2">
      <c r="A18">
        <v>13</v>
      </c>
      <c r="B18" s="51" t="s">
        <v>5</v>
      </c>
      <c r="C18" s="145">
        <f ca="1">H18*10^6</f>
        <v>118.86019999999999</v>
      </c>
      <c r="D18" s="146">
        <f t="shared" ca="1" si="0"/>
        <v>4.9199133333333336</v>
      </c>
      <c r="E18" s="145">
        <f t="shared" ca="1" si="1"/>
        <v>584.78188278266668</v>
      </c>
      <c r="H18" s="184" cm="1">
        <f t="array" aca="1" ref="H18" ca="1">INDIRECT(_xlfn.CONCAT($K$27,"!C",50+ROW()-6))</f>
        <v>1.188602E-4</v>
      </c>
      <c r="I18" s="184" cm="1">
        <f t="array" aca="1" ref="I18" ca="1">INDIRECT(_xlfn.CONCAT($K$27,"!F",50+ROW()-6))</f>
        <v>1.4799380000000001E-2</v>
      </c>
      <c r="J18" s="184" cm="1">
        <f t="array" aca="1" ref="J18" ca="1">INDIRECT(_xlfn.CONCAT($K$27,"!G",50+ROW()-6))</f>
        <v>1.475974E-2</v>
      </c>
      <c r="K18" s="184" cm="1">
        <f t="array" aca="1" ref="K18" ca="1">INDIRECT(_xlfn.CONCAT($K$27,"!H",50+ROW()-6))</f>
        <v>1.6535689999999999E-2</v>
      </c>
    </row>
    <row r="19" spans="1:11" x14ac:dyDescent="0.2">
      <c r="A19">
        <v>14</v>
      </c>
      <c r="B19" s="51" t="s">
        <v>16</v>
      </c>
      <c r="C19" s="145">
        <f ca="1">H19*10^6</f>
        <v>150.5265</v>
      </c>
      <c r="D19" s="146">
        <f t="shared" ca="1" si="0"/>
        <v>3.3373366666666664</v>
      </c>
      <c r="E19" s="145">
        <f t="shared" ca="1" si="1"/>
        <v>502.35760775499995</v>
      </c>
      <c r="H19" s="184" cm="1">
        <f t="array" aca="1" ref="H19" ca="1">INDIRECT(_xlfn.CONCAT($K$27,"!C",50+ROW()-6))</f>
        <v>1.5052650000000001E-4</v>
      </c>
      <c r="I19" s="184" cm="1">
        <f t="array" aca="1" ref="I19" ca="1">INDIRECT(_xlfn.CONCAT($K$27,"!F",50+ROW()-6))</f>
        <v>1.0056219999999999E-2</v>
      </c>
      <c r="J19" s="184" cm="1">
        <f t="array" aca="1" ref="J19" ca="1">INDIRECT(_xlfn.CONCAT($K$27,"!G",50+ROW()-6))</f>
        <v>1.001201E-2</v>
      </c>
      <c r="K19" s="184" cm="1">
        <f t="array" aca="1" ref="K19" ca="1">INDIRECT(_xlfn.CONCAT($K$27,"!H",50+ROW()-6))</f>
        <v>1.008249E-2</v>
      </c>
    </row>
    <row r="20" spans="1:11" x14ac:dyDescent="0.2">
      <c r="A20">
        <v>15</v>
      </c>
      <c r="B20" s="51"/>
      <c r="C20" s="145"/>
      <c r="D20" s="145"/>
      <c r="E20" s="145"/>
    </row>
    <row r="21" spans="1:11" x14ac:dyDescent="0.2">
      <c r="A21">
        <v>16</v>
      </c>
      <c r="B21" s="51"/>
      <c r="C21" s="145"/>
      <c r="D21" s="145"/>
      <c r="E21" s="145"/>
    </row>
    <row r="22" spans="1:11" x14ac:dyDescent="0.2">
      <c r="B22" s="51"/>
      <c r="C22" s="147"/>
      <c r="D22" s="148"/>
      <c r="E22" s="149"/>
    </row>
    <row r="23" spans="1:11" x14ac:dyDescent="0.2">
      <c r="B23" s="82" t="s">
        <v>56</v>
      </c>
      <c r="C23" s="150">
        <f ca="1">SUM(C6:C20)</f>
        <v>3311.4506599999995</v>
      </c>
      <c r="D23" s="4"/>
      <c r="E23" s="151"/>
      <c r="H23" s="5" t="s">
        <v>204</v>
      </c>
      <c r="I23" s="184" cm="1">
        <f t="array" aca="1" ref="I23" ca="1">INDIRECT(_xlfn.CONCAT($K$27,"!F64"))</f>
        <v>6.7681719999999995E-7</v>
      </c>
      <c r="J23" s="184" cm="1">
        <f t="array" aca="1" ref="J23" ca="1">INDIRECT(_xlfn.CONCAT($K$27,"!G64"))</f>
        <v>6.7883119999999996E-7</v>
      </c>
      <c r="K23" s="184" cm="1">
        <f t="array" aca="1" ref="K23" ca="1">INDIRECT(_xlfn.CONCAT($K$27,"!H64"))</f>
        <v>6.7802330000000004E-7</v>
      </c>
    </row>
    <row r="24" spans="1:11" x14ac:dyDescent="0.2">
      <c r="B24" s="15" t="s">
        <v>43</v>
      </c>
      <c r="C24" s="152"/>
      <c r="E24" s="153">
        <f ca="1">SUM(E6:E21)</f>
        <v>13032.056621208778</v>
      </c>
      <c r="H24" s="5" t="s">
        <v>237</v>
      </c>
      <c r="I24" s="5" cm="1">
        <f t="array" aca="1" ref="I24" ca="1">INDIRECT(_xlfn.CONCAT($K$27,"!C73"))</f>
        <v>223.25559999999999</v>
      </c>
    </row>
    <row r="25" spans="1:11" ht="25.5" x14ac:dyDescent="0.2">
      <c r="B25" s="28" t="s">
        <v>37</v>
      </c>
      <c r="C25" s="79"/>
      <c r="D25" s="154"/>
      <c r="E25" s="155">
        <f ca="1">1000*IF(E24=0,0,E24/C23)</f>
        <v>3935.4524524936692</v>
      </c>
      <c r="H25" s="142" t="s">
        <v>238</v>
      </c>
      <c r="I25" s="5" cm="1">
        <f t="array" aca="1" ref="I25" ca="1">INDIRECT(_xlfn.CONCAT($K$27,"!C74"))</f>
        <v>8</v>
      </c>
    </row>
    <row r="26" spans="1:11" x14ac:dyDescent="0.2">
      <c r="B26" s="3"/>
    </row>
    <row r="27" spans="1:11" ht="30.75" customHeight="1" x14ac:dyDescent="0.2">
      <c r="B27" s="16" t="s">
        <v>54</v>
      </c>
      <c r="C27" s="156">
        <f ca="1">(E24+((F29-C23/1000)*F27))/F29</f>
        <v>63.79332134736358</v>
      </c>
      <c r="D27" s="157" t="s">
        <v>38</v>
      </c>
      <c r="E27" s="138" t="s">
        <v>165</v>
      </c>
      <c r="F27" s="140">
        <f ca="1">AVERAGE(I23:K23)/$J$31/$J$29*1000000</f>
        <v>0.22596352222222224</v>
      </c>
      <c r="H27" s="213" t="s">
        <v>240</v>
      </c>
      <c r="K27" s="5" t="str">
        <f>IF($J$34='Input arguments'!$D$12,'DataSourceSelection - Periph'!$F$6,'DataSourceSelection - Periph'!$G$6)</f>
        <v>legadv_evk_data</v>
      </c>
    </row>
    <row r="28" spans="1:11" ht="15.75" x14ac:dyDescent="0.2">
      <c r="B28" s="16" t="s">
        <v>33</v>
      </c>
      <c r="C28" s="158">
        <f ca="1">'BLE - Peripheral'!D4/(C27/1000)</f>
        <v>3527.0149797475419</v>
      </c>
      <c r="D28" s="159" t="s">
        <v>18</v>
      </c>
      <c r="H28" s="185" t="s">
        <v>216</v>
      </c>
    </row>
    <row r="29" spans="1:11" ht="15.75" x14ac:dyDescent="0.2">
      <c r="B29" s="93" t="s">
        <v>33</v>
      </c>
      <c r="C29" s="160">
        <f ca="1">C28/24</f>
        <v>146.95895748948092</v>
      </c>
      <c r="D29" s="157" t="s">
        <v>21</v>
      </c>
      <c r="E29" s="142" t="s">
        <v>173</v>
      </c>
      <c r="F29" s="5">
        <f>'BLE - Peripheral'!D7 + 5</f>
        <v>205</v>
      </c>
      <c r="G29" s="5" t="s">
        <v>58</v>
      </c>
      <c r="I29" s="5" t="s">
        <v>211</v>
      </c>
      <c r="J29" s="5">
        <f>'BLE - Peripheral'!$D$3</f>
        <v>3</v>
      </c>
    </row>
    <row r="30" spans="1:11" x14ac:dyDescent="0.2">
      <c r="I30" s="5" t="s">
        <v>210</v>
      </c>
      <c r="J30" s="5">
        <f>'BLE - Peripheral'!$D$14</f>
        <v>1</v>
      </c>
    </row>
    <row r="31" spans="1:11" x14ac:dyDescent="0.2">
      <c r="D31" s="164" t="s">
        <v>206</v>
      </c>
      <c r="I31" s="5" t="s">
        <v>215</v>
      </c>
      <c r="J31" s="5">
        <f>'BLE - Peripheral'!$D$15</f>
        <v>1</v>
      </c>
    </row>
    <row r="32" spans="1:11" ht="15" x14ac:dyDescent="0.25">
      <c r="B32" s="101"/>
      <c r="C32" s="142"/>
      <c r="D32" s="162"/>
      <c r="I32" s="5" t="s">
        <v>212</v>
      </c>
      <c r="J32" s="5">
        <f>'BLE - Peripheral'!$D$6</f>
        <v>0</v>
      </c>
    </row>
    <row r="33" spans="2:12" ht="15" x14ac:dyDescent="0.25">
      <c r="B33" s="101"/>
      <c r="I33" s="5" t="s">
        <v>213</v>
      </c>
      <c r="J33" s="5">
        <f>'BLE - Peripheral'!$D$8 + 6</f>
        <v>13</v>
      </c>
    </row>
    <row r="34" spans="2:12" x14ac:dyDescent="0.2">
      <c r="I34" s="5" t="s">
        <v>239</v>
      </c>
      <c r="J34" s="5" t="str">
        <f>'BLE - Peripheral'!$D$5</f>
        <v>TQFN</v>
      </c>
    </row>
    <row r="35" spans="2:12" ht="15" x14ac:dyDescent="0.25">
      <c r="C35" s="161"/>
    </row>
    <row r="37" spans="2:12" ht="15" x14ac:dyDescent="0.25">
      <c r="B37" s="101"/>
      <c r="L37"/>
    </row>
    <row r="38" spans="2:12" ht="15" x14ac:dyDescent="0.25">
      <c r="B38" s="101"/>
      <c r="C38" s="163"/>
      <c r="D38" s="139"/>
      <c r="E38" s="139"/>
      <c r="L38"/>
    </row>
    <row r="39" spans="2:12" ht="15" x14ac:dyDescent="0.25">
      <c r="B39" s="101"/>
      <c r="C39" s="163"/>
      <c r="D39" s="139"/>
      <c r="E39" s="139"/>
      <c r="L39"/>
    </row>
    <row r="40" spans="2:12" ht="15" x14ac:dyDescent="0.25">
      <c r="B40" s="101"/>
      <c r="C40" s="163"/>
      <c r="D40" s="139"/>
      <c r="E40" s="139"/>
      <c r="L4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M44"/>
  <sheetViews>
    <sheetView zoomScale="85" zoomScaleNormal="85" workbookViewId="0">
      <selection activeCell="D14" sqref="D14"/>
    </sheetView>
  </sheetViews>
  <sheetFormatPr defaultColWidth="8.85546875" defaultRowHeight="12.75" x14ac:dyDescent="0.2"/>
  <cols>
    <col min="1" max="1" width="8.85546875" style="5"/>
    <col min="2" max="2" width="35.28515625" style="5" customWidth="1"/>
    <col min="3" max="3" width="11.28515625" style="5" customWidth="1"/>
    <col min="4" max="4" width="8.85546875" style="5"/>
    <col min="5" max="5" width="16.140625" style="5" customWidth="1"/>
    <col min="6" max="6" width="15" style="5" customWidth="1"/>
    <col min="7" max="7" width="4.140625" style="5" customWidth="1"/>
    <col min="8" max="8" width="16.85546875" style="5" customWidth="1"/>
    <col min="9" max="9" width="13.140625" style="5" customWidth="1"/>
    <col min="10" max="10" width="13.7109375" style="5" customWidth="1"/>
    <col min="11" max="11" width="18.7109375" style="5" customWidth="1"/>
    <col min="12" max="12" width="11.5703125" customWidth="1"/>
  </cols>
  <sheetData>
    <row r="2" spans="2:12" x14ac:dyDescent="0.2">
      <c r="H2" s="185" t="s">
        <v>217</v>
      </c>
    </row>
    <row r="3" spans="2:12" ht="15" x14ac:dyDescent="0.25">
      <c r="J3" s="139" t="s">
        <v>61</v>
      </c>
    </row>
    <row r="4" spans="2:12" x14ac:dyDescent="0.2">
      <c r="I4" s="5">
        <v>-10</v>
      </c>
      <c r="J4" s="5">
        <v>0</v>
      </c>
      <c r="K4" s="5">
        <v>4</v>
      </c>
      <c r="L4" s="138"/>
    </row>
    <row r="5" spans="2:12" ht="25.5" x14ac:dyDescent="0.2">
      <c r="B5" s="165" t="s">
        <v>3</v>
      </c>
      <c r="C5" s="32" t="s">
        <v>24</v>
      </c>
      <c r="D5" s="33" t="s">
        <v>25</v>
      </c>
      <c r="E5" s="144" t="s">
        <v>36</v>
      </c>
      <c r="H5" s="5" t="s">
        <v>209</v>
      </c>
      <c r="I5" s="5" t="s">
        <v>164</v>
      </c>
      <c r="J5" s="5" t="s">
        <v>164</v>
      </c>
      <c r="K5" s="5" t="s">
        <v>164</v>
      </c>
      <c r="L5" s="5"/>
    </row>
    <row r="6" spans="2:12" x14ac:dyDescent="0.2">
      <c r="B6" s="166" t="s">
        <v>13</v>
      </c>
      <c r="C6" s="145">
        <f ca="1">H6*10^6</f>
        <v>391.73940000000005</v>
      </c>
      <c r="D6" s="146">
        <f t="shared" ref="D6:D11" ca="1" si="0">_xlfn.XLOOKUP($J$32,$I$4:$K$4,I6:K6)/$J$30/$J$29*1000</f>
        <v>4.2286699999999993</v>
      </c>
      <c r="E6" s="145">
        <f t="shared" ref="E6:E11" ca="1" si="1">C6*D6</f>
        <v>1656.5366485979998</v>
      </c>
      <c r="H6" s="184" cm="1">
        <f t="array" aca="1" ref="H6" ca="1">INDIRECT(_xlfn.CONCAT($K$27,"!C",34+ROW()-6))</f>
        <v>3.9173940000000003E-4</v>
      </c>
      <c r="I6" s="184" cm="1">
        <f t="array" aca="1" ref="I6" ca="1">INDIRECT(_xlfn.CONCAT($K$27,"!F",34+ROW()-6))</f>
        <v>1.254155E-2</v>
      </c>
      <c r="J6" s="184" cm="1">
        <f t="array" aca="1" ref="J6" ca="1">INDIRECT(_xlfn.CONCAT($K$27,"!G",34+ROW()-6))</f>
        <v>1.2686009999999999E-2</v>
      </c>
      <c r="K6" s="184" cm="1">
        <f t="array" aca="1" ref="K6" ca="1">INDIRECT(_xlfn.CONCAT($K$27,"!H",34+ROW()-6))</f>
        <v>1.2487710000000001E-2</v>
      </c>
      <c r="L6" s="5"/>
    </row>
    <row r="7" spans="2:12" x14ac:dyDescent="0.2">
      <c r="B7" s="166" t="s">
        <v>4</v>
      </c>
      <c r="C7" s="145">
        <f ca="1">H7*10^6</f>
        <v>369.85719999999998</v>
      </c>
      <c r="D7" s="146">
        <f t="shared" ca="1" si="0"/>
        <v>3.122541</v>
      </c>
      <c r="E7" s="145">
        <f t="shared" ca="1" si="1"/>
        <v>1154.8942711452</v>
      </c>
      <c r="H7" s="184" cm="1">
        <f t="array" aca="1" ref="H7" ca="1">INDIRECT(_xlfn.CONCAT($K$27,"!C",34+ROW()-6))</f>
        <v>3.6985719999999998E-4</v>
      </c>
      <c r="I7" s="184" cm="1">
        <f t="array" aca="1" ref="I7" ca="1">INDIRECT(_xlfn.CONCAT($K$27,"!F",34+ROW()-6))</f>
        <v>9.3309729999999994E-3</v>
      </c>
      <c r="J7" s="184" cm="1">
        <f t="array" aca="1" ref="J7" ca="1">INDIRECT(_xlfn.CONCAT($K$27,"!G",34+ROW()-6))</f>
        <v>9.3676230000000003E-3</v>
      </c>
      <c r="K7" s="184" cm="1">
        <f t="array" aca="1" ref="K7" ca="1">INDIRECT(_xlfn.CONCAT($K$27,"!H",34+ROW()-6))</f>
        <v>9.3590459999999993E-3</v>
      </c>
      <c r="L7" s="5"/>
    </row>
    <row r="8" spans="2:12" x14ac:dyDescent="0.2">
      <c r="B8" s="166" t="s">
        <v>5</v>
      </c>
      <c r="C8" s="145">
        <f ca="1">H8*10^6</f>
        <v>182.7345</v>
      </c>
      <c r="D8" s="146">
        <f t="shared" ca="1" si="0"/>
        <v>4.6614433333333336</v>
      </c>
      <c r="E8" s="145">
        <f t="shared" ca="1" si="1"/>
        <v>851.80651679499999</v>
      </c>
      <c r="H8" s="184" cm="1">
        <f t="array" aca="1" ref="H8" ca="1">INDIRECT(_xlfn.CONCAT($K$27,"!C",34+ROW()-6))</f>
        <v>1.827345E-4</v>
      </c>
      <c r="I8" s="184" cm="1">
        <f t="array" aca="1" ref="I8" ca="1">INDIRECT(_xlfn.CONCAT($K$27,"!F",34+ROW()-6))</f>
        <v>1.41919E-2</v>
      </c>
      <c r="J8" s="184" cm="1">
        <f t="array" aca="1" ref="J8" ca="1">INDIRECT(_xlfn.CONCAT($K$27,"!G",34+ROW()-6))</f>
        <v>1.398433E-2</v>
      </c>
      <c r="K8" s="184" cm="1">
        <f t="array" aca="1" ref="K8" ca="1">INDIRECT(_xlfn.CONCAT($K$27,"!H",34+ROW()-6))</f>
        <v>1.4033769999999999E-2</v>
      </c>
      <c r="L8" s="5"/>
    </row>
    <row r="9" spans="2:12" x14ac:dyDescent="0.2">
      <c r="B9" s="166" t="s">
        <v>6</v>
      </c>
      <c r="C9" s="145">
        <f ca="1">H9*10^6</f>
        <v>38.257580000000004</v>
      </c>
      <c r="D9" s="146">
        <f t="shared" ca="1" si="0"/>
        <v>4.6964933333333336</v>
      </c>
      <c r="E9" s="145">
        <f t="shared" ca="1" si="1"/>
        <v>179.67646941946668</v>
      </c>
      <c r="F9" s="143"/>
      <c r="H9" s="184" cm="1">
        <f t="array" aca="1" ref="H9" ca="1">INDIRECT(_xlfn.CONCAT($K$27,"!C",34+ROW()-6))</f>
        <v>3.8257580000000003E-5</v>
      </c>
      <c r="I9" s="184" cm="1">
        <f t="array" aca="1" ref="I9" ca="1">INDIRECT(_xlfn.CONCAT($K$27,"!F",34+ROW()-6))</f>
        <v>1.4280360000000001E-2</v>
      </c>
      <c r="J9" s="184" cm="1">
        <f t="array" aca="1" ref="J9" ca="1">INDIRECT(_xlfn.CONCAT($K$27,"!G",34+ROW()-6))</f>
        <v>1.408948E-2</v>
      </c>
      <c r="K9" s="184" cm="1">
        <f t="array" aca="1" ref="K9" ca="1">INDIRECT(_xlfn.CONCAT($K$27,"!H",34+ROW()-6))</f>
        <v>3.3347179999999997E-2</v>
      </c>
      <c r="L9" s="5"/>
    </row>
    <row r="10" spans="2:12" x14ac:dyDescent="0.2">
      <c r="B10" s="166" t="s">
        <v>7</v>
      </c>
      <c r="C10" s="145">
        <f ca="1">$I$24+$I$25*$J$33</f>
        <v>196.25129999999999</v>
      </c>
      <c r="D10" s="146">
        <f t="shared" ca="1" si="0"/>
        <v>5.1374266666666664</v>
      </c>
      <c r="E10" s="145">
        <f t="shared" ca="1" si="1"/>
        <v>1008.2266619879998</v>
      </c>
      <c r="H10" s="184"/>
      <c r="I10" s="184" cm="1">
        <f t="array" aca="1" ref="I10" ca="1">INDIRECT(_xlfn.CONCAT($K$27,"!F",34+ROW()-6))</f>
        <v>1.222233E-2</v>
      </c>
      <c r="J10" s="184" cm="1">
        <f t="array" aca="1" ref="J10" ca="1">INDIRECT(_xlfn.CONCAT($K$27,"!G",34+ROW()-6))</f>
        <v>1.541228E-2</v>
      </c>
      <c r="K10" s="184" cm="1">
        <f t="array" aca="1" ref="K10" ca="1">INDIRECT(_xlfn.CONCAT($K$27,"!H",34+ROW()-6))</f>
        <v>1.8601469999999998E-2</v>
      </c>
      <c r="L10" s="5"/>
    </row>
    <row r="11" spans="2:12" x14ac:dyDescent="0.2">
      <c r="B11" s="166" t="s">
        <v>16</v>
      </c>
      <c r="C11" s="145">
        <f ca="1">H11*10^6</f>
        <v>126.2623</v>
      </c>
      <c r="D11" s="146">
        <f t="shared" ca="1" si="0"/>
        <v>4.0794200000000007</v>
      </c>
      <c r="E11" s="145">
        <f t="shared" ca="1" si="1"/>
        <v>515.07695186600006</v>
      </c>
      <c r="H11" s="184" cm="1">
        <f t="array" aca="1" ref="H11" ca="1">INDIRECT(_xlfn.CONCAT($K$27,"!C",34+ROW()-6))</f>
        <v>1.262623E-4</v>
      </c>
      <c r="I11" s="184" cm="1">
        <f t="array" aca="1" ref="I11" ca="1">INDIRECT(_xlfn.CONCAT($K$27,"!F",34+ROW()-6))</f>
        <v>1.203633E-2</v>
      </c>
      <c r="J11" s="184" cm="1">
        <f t="array" aca="1" ref="J11" ca="1">INDIRECT(_xlfn.CONCAT($K$27,"!G",34+ROW()-6))</f>
        <v>1.2238260000000001E-2</v>
      </c>
      <c r="K11" s="184" cm="1">
        <f t="array" aca="1" ref="K11" ca="1">INDIRECT(_xlfn.CONCAT($K$27,"!H",34+ROW()-6))</f>
        <v>1.232012E-2</v>
      </c>
      <c r="L11" s="5"/>
    </row>
    <row r="12" spans="2:12" x14ac:dyDescent="0.2">
      <c r="B12" s="166"/>
      <c r="C12" s="167"/>
      <c r="D12" s="167"/>
      <c r="E12" s="168"/>
      <c r="H12" s="184"/>
      <c r="I12" s="184"/>
      <c r="J12" s="184"/>
      <c r="K12" s="184"/>
      <c r="L12" s="5"/>
    </row>
    <row r="13" spans="2:12" x14ac:dyDescent="0.2">
      <c r="B13" s="166"/>
      <c r="C13" s="167"/>
      <c r="D13" s="167"/>
      <c r="E13" s="168"/>
      <c r="H13" s="184"/>
      <c r="I13" s="184"/>
      <c r="J13" s="184"/>
      <c r="K13" s="184"/>
      <c r="L13" s="5"/>
    </row>
    <row r="14" spans="2:12" x14ac:dyDescent="0.2">
      <c r="B14" s="166"/>
      <c r="C14" s="167"/>
      <c r="D14" s="167"/>
      <c r="E14" s="168"/>
      <c r="H14" s="184"/>
      <c r="I14" s="184"/>
      <c r="J14" s="184"/>
      <c r="K14" s="184"/>
      <c r="L14" s="5"/>
    </row>
    <row r="15" spans="2:12" x14ac:dyDescent="0.2">
      <c r="B15" s="166"/>
      <c r="C15" s="167"/>
      <c r="D15" s="167"/>
      <c r="E15" s="168"/>
      <c r="H15" s="184"/>
      <c r="I15" s="184"/>
      <c r="J15" s="184"/>
      <c r="K15" s="184"/>
      <c r="L15" s="5"/>
    </row>
    <row r="16" spans="2:12" x14ac:dyDescent="0.2">
      <c r="B16" s="166"/>
      <c r="C16" s="167"/>
      <c r="D16" s="167"/>
      <c r="E16" s="168"/>
      <c r="H16" s="184"/>
      <c r="I16" s="184"/>
      <c r="J16" s="184"/>
      <c r="K16" s="184"/>
      <c r="L16" s="5"/>
    </row>
    <row r="17" spans="2:12" x14ac:dyDescent="0.2">
      <c r="B17" s="166"/>
      <c r="C17" s="167"/>
      <c r="D17" s="167"/>
      <c r="E17" s="168"/>
      <c r="H17" s="184"/>
      <c r="I17" s="184"/>
      <c r="J17" s="184"/>
      <c r="K17" s="184"/>
      <c r="L17" s="5"/>
    </row>
    <row r="18" spans="2:12" x14ac:dyDescent="0.2">
      <c r="B18" s="166"/>
      <c r="C18" s="167"/>
      <c r="D18" s="167"/>
      <c r="E18" s="168"/>
      <c r="H18" s="184"/>
      <c r="I18" s="184"/>
      <c r="J18" s="184"/>
      <c r="K18" s="184"/>
      <c r="L18" s="5"/>
    </row>
    <row r="19" spans="2:12" x14ac:dyDescent="0.2">
      <c r="B19" s="166"/>
      <c r="C19" s="168"/>
      <c r="D19" s="169"/>
      <c r="E19" s="168"/>
      <c r="H19" s="184"/>
      <c r="I19" s="184"/>
      <c r="J19" s="184"/>
      <c r="K19" s="184"/>
      <c r="L19" s="5"/>
    </row>
    <row r="20" spans="2:12" x14ac:dyDescent="0.2">
      <c r="B20" s="170"/>
      <c r="C20" s="168"/>
      <c r="D20" s="169"/>
      <c r="E20" s="168"/>
    </row>
    <row r="21" spans="2:12" x14ac:dyDescent="0.2">
      <c r="B21" s="171"/>
      <c r="C21" s="172"/>
      <c r="D21" s="173"/>
      <c r="E21" s="172"/>
    </row>
    <row r="22" spans="2:12" x14ac:dyDescent="0.2">
      <c r="B22" s="174"/>
      <c r="C22" s="175"/>
      <c r="D22" s="176"/>
      <c r="E22" s="175"/>
    </row>
    <row r="23" spans="2:12" x14ac:dyDescent="0.2">
      <c r="B23" s="177" t="s">
        <v>42</v>
      </c>
      <c r="C23" s="107">
        <f ca="1">SUM(C6:C19)</f>
        <v>1305.1022800000001</v>
      </c>
      <c r="D23" s="4"/>
      <c r="E23" s="151"/>
      <c r="H23" s="5" t="s">
        <v>204</v>
      </c>
      <c r="I23" s="184" cm="1">
        <f t="array" aca="1" ref="I23" ca="1">INDIRECT(_xlfn.CONCAT($K$27,"!F40"))</f>
        <v>6.7893860000000002E-7</v>
      </c>
      <c r="J23" s="184" cm="1">
        <f t="array" aca="1" ref="J23" ca="1">INDIRECT(_xlfn.CONCAT($K$27,"!G40"))</f>
        <v>6.847688E-7</v>
      </c>
      <c r="K23" s="184" cm="1">
        <f t="array" aca="1" ref="K23" ca="1">INDIRECT(_xlfn.CONCAT($K$27,"!H40"))</f>
        <v>6.8369020000000004E-7</v>
      </c>
    </row>
    <row r="24" spans="2:12" x14ac:dyDescent="0.2">
      <c r="B24" s="177" t="s">
        <v>43</v>
      </c>
      <c r="C24" s="152"/>
      <c r="E24" s="153">
        <f ca="1">SUM(E6:E19)</f>
        <v>5366.2175198116665</v>
      </c>
      <c r="H24" s="5" t="s">
        <v>214</v>
      </c>
      <c r="I24" s="184" cm="1">
        <f t="array" aca="1" ref="I24" ca="1">INDIRECT(_xlfn.CONCAT($K$27,"!C49"))</f>
        <v>196.25129999999999</v>
      </c>
    </row>
    <row r="25" spans="2:12" ht="25.5" x14ac:dyDescent="0.2">
      <c r="B25" s="178" t="s">
        <v>55</v>
      </c>
      <c r="C25" s="79"/>
      <c r="D25" s="154"/>
      <c r="E25" s="155">
        <f ca="1">IF(E24=0,0,1000*E24/C23)</f>
        <v>4111.721818317309</v>
      </c>
      <c r="H25" s="142" t="s">
        <v>228</v>
      </c>
      <c r="I25" s="184" cm="1">
        <f t="array" aca="1" ref="I25" ca="1">INDIRECT(_xlfn.CONCAT($K$27,"!C50"))</f>
        <v>8</v>
      </c>
    </row>
    <row r="26" spans="2:12" x14ac:dyDescent="0.2">
      <c r="B26" s="138"/>
    </row>
    <row r="27" spans="2:12" ht="25.5" x14ac:dyDescent="0.2">
      <c r="B27" s="179" t="s">
        <v>32</v>
      </c>
      <c r="C27" s="156">
        <f ca="1">(E24+((F29-C23/1000)*F27))/F29</f>
        <v>27.057091741682875</v>
      </c>
      <c r="D27" s="157" t="s">
        <v>38</v>
      </c>
      <c r="E27" s="138" t="s">
        <v>165</v>
      </c>
      <c r="F27" s="140">
        <f ca="1">AVERAGE(I23:K23)/$J$31/$J$29*1000000</f>
        <v>0.22748862222222221</v>
      </c>
      <c r="H27" s="213" t="s">
        <v>240</v>
      </c>
      <c r="K27" s="5" t="str">
        <f>IF($J$34='Input arguments'!$D$12,'DataSourceSelection - Periph'!$F$7,'DataSourceSelection - Periph'!$G$7)</f>
        <v>connec_evk_data</v>
      </c>
    </row>
    <row r="28" spans="2:12" ht="15.75" x14ac:dyDescent="0.2">
      <c r="B28" s="180" t="s">
        <v>33</v>
      </c>
      <c r="C28" s="181">
        <f ca="1">'BLE - Peripheral'!D4/(C27/1000)</f>
        <v>8315.7496063546132</v>
      </c>
      <c r="D28" s="159" t="s">
        <v>18</v>
      </c>
      <c r="H28" s="185" t="s">
        <v>216</v>
      </c>
    </row>
    <row r="29" spans="2:12" ht="15.75" x14ac:dyDescent="0.2">
      <c r="B29" s="180" t="s">
        <v>33</v>
      </c>
      <c r="C29" s="182">
        <f ca="1">C28/24</f>
        <v>346.4895669314422</v>
      </c>
      <c r="D29" s="157" t="s">
        <v>21</v>
      </c>
      <c r="E29" s="142" t="s">
        <v>173</v>
      </c>
      <c r="F29" s="5">
        <f>'BLE - Peripheral'!$D$11</f>
        <v>200</v>
      </c>
      <c r="I29" s="5" t="s">
        <v>211</v>
      </c>
      <c r="J29" s="5">
        <f>'BLE - Peripheral'!$D$3</f>
        <v>3</v>
      </c>
    </row>
    <row r="30" spans="2:12" x14ac:dyDescent="0.2">
      <c r="I30" s="5" t="s">
        <v>210</v>
      </c>
      <c r="J30" s="5">
        <f>'BLE - Peripheral'!$D$14</f>
        <v>1</v>
      </c>
    </row>
    <row r="31" spans="2:12" x14ac:dyDescent="0.2">
      <c r="E31" s="164"/>
      <c r="I31" s="5" t="s">
        <v>215</v>
      </c>
      <c r="J31" s="5">
        <f>'BLE - Peripheral'!$D$15</f>
        <v>1</v>
      </c>
    </row>
    <row r="32" spans="2:12" ht="15" x14ac:dyDescent="0.25">
      <c r="B32" s="183"/>
      <c r="C32" s="164"/>
      <c r="I32" s="5" t="s">
        <v>212</v>
      </c>
      <c r="J32" s="5">
        <f>'BLE - Peripheral'!$D$10</f>
        <v>0</v>
      </c>
    </row>
    <row r="33" spans="2:13" ht="15" x14ac:dyDescent="0.25">
      <c r="B33" s="139"/>
      <c r="C33" s="139"/>
      <c r="I33" s="5" t="s">
        <v>213</v>
      </c>
      <c r="J33" s="5">
        <f>'BLE - Peripheral'!$D$12</f>
        <v>0</v>
      </c>
    </row>
    <row r="34" spans="2:13" x14ac:dyDescent="0.2">
      <c r="I34" s="5" t="s">
        <v>239</v>
      </c>
      <c r="J34" s="5" t="str">
        <f>'BLE - Peripheral'!$D$5</f>
        <v>TQFN</v>
      </c>
    </row>
    <row r="35" spans="2:13" ht="15" x14ac:dyDescent="0.25">
      <c r="C35" s="161"/>
      <c r="H35" s="142"/>
      <c r="M35" s="5"/>
    </row>
    <row r="36" spans="2:13" x14ac:dyDescent="0.2">
      <c r="D36" s="142"/>
      <c r="M36" s="5"/>
    </row>
    <row r="37" spans="2:13" ht="15" x14ac:dyDescent="0.25">
      <c r="B37" s="139"/>
    </row>
    <row r="38" spans="2:13" ht="15" x14ac:dyDescent="0.25">
      <c r="B38" s="139"/>
      <c r="C38" s="163"/>
      <c r="D38" s="163"/>
      <c r="E38" s="139"/>
      <c r="F38" s="139"/>
      <c r="H38" s="184"/>
      <c r="I38" s="184"/>
      <c r="J38" s="140"/>
    </row>
    <row r="39" spans="2:13" ht="15" x14ac:dyDescent="0.25">
      <c r="B39" s="139"/>
      <c r="C39" s="163"/>
      <c r="D39" s="163"/>
      <c r="E39" s="139"/>
      <c r="F39" s="139"/>
      <c r="H39" s="184"/>
      <c r="I39" s="184"/>
      <c r="J39" s="140"/>
    </row>
    <row r="40" spans="2:13" ht="15" x14ac:dyDescent="0.25">
      <c r="B40" s="139"/>
      <c r="C40" s="163"/>
      <c r="D40" s="163"/>
      <c r="E40" s="139"/>
      <c r="F40" s="139"/>
      <c r="H40" s="184"/>
      <c r="I40" s="184"/>
      <c r="J40" s="140"/>
    </row>
    <row r="41" spans="2:13" ht="15" x14ac:dyDescent="0.25">
      <c r="B41" s="139"/>
      <c r="C41" s="139"/>
    </row>
    <row r="42" spans="2:13" ht="15" x14ac:dyDescent="0.25">
      <c r="B42" s="139"/>
      <c r="C42" s="139"/>
    </row>
    <row r="43" spans="2:13" ht="15" x14ac:dyDescent="0.25">
      <c r="B43" s="139"/>
      <c r="C43" s="139"/>
    </row>
    <row r="44" spans="2:13" ht="15" x14ac:dyDescent="0.25">
      <c r="B44" s="139"/>
      <c r="C44" s="1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D025-BF86-45A4-84B0-2ADB46A57DE8}">
  <dimension ref="A2:AK74"/>
  <sheetViews>
    <sheetView zoomScale="85" zoomScaleNormal="85" workbookViewId="0">
      <selection activeCell="D14" sqref="D14"/>
    </sheetView>
  </sheetViews>
  <sheetFormatPr defaultRowHeight="15" x14ac:dyDescent="0.25"/>
  <cols>
    <col min="1" max="16384" width="9.140625" style="186"/>
  </cols>
  <sheetData>
    <row r="2" spans="1:37" x14ac:dyDescent="0.25">
      <c r="A2" s="186" t="s">
        <v>180</v>
      </c>
    </row>
    <row r="4" spans="1:37" x14ac:dyDescent="0.25">
      <c r="C4" s="186" t="s">
        <v>181</v>
      </c>
      <c r="D4" s="186">
        <v>-10</v>
      </c>
      <c r="E4" s="186" t="s">
        <v>182</v>
      </c>
      <c r="F4" s="186">
        <v>6</v>
      </c>
      <c r="I4" s="186" t="s">
        <v>181</v>
      </c>
      <c r="J4" s="186">
        <v>-10</v>
      </c>
      <c r="K4" s="186" t="s">
        <v>182</v>
      </c>
      <c r="L4" s="186">
        <v>37</v>
      </c>
      <c r="O4" s="186" t="s">
        <v>181</v>
      </c>
      <c r="P4" s="186">
        <v>0</v>
      </c>
      <c r="Q4" s="186" t="s">
        <v>182</v>
      </c>
      <c r="R4" s="186">
        <v>6</v>
      </c>
      <c r="U4" s="186" t="s">
        <v>181</v>
      </c>
      <c r="V4" s="186">
        <v>0</v>
      </c>
      <c r="W4" s="186" t="s">
        <v>182</v>
      </c>
      <c r="X4" s="186">
        <v>37</v>
      </c>
      <c r="AA4" s="186" t="s">
        <v>181</v>
      </c>
      <c r="AB4" s="186">
        <v>4</v>
      </c>
      <c r="AC4" s="186" t="s">
        <v>182</v>
      </c>
      <c r="AD4" s="186">
        <v>6</v>
      </c>
      <c r="AG4" s="186" t="s">
        <v>181</v>
      </c>
      <c r="AH4" s="186">
        <v>4</v>
      </c>
      <c r="AI4" s="186" t="s">
        <v>182</v>
      </c>
      <c r="AJ4" s="186">
        <v>37</v>
      </c>
    </row>
    <row r="5" spans="1:37" x14ac:dyDescent="0.25">
      <c r="C5" s="186" t="s">
        <v>183</v>
      </c>
      <c r="D5" s="186">
        <v>270</v>
      </c>
      <c r="E5" s="186" t="s">
        <v>184</v>
      </c>
      <c r="F5" s="186">
        <v>269</v>
      </c>
      <c r="I5" s="186" t="s">
        <v>183</v>
      </c>
      <c r="J5" s="186">
        <v>271</v>
      </c>
      <c r="K5" s="186" t="s">
        <v>184</v>
      </c>
      <c r="L5" s="186">
        <v>270</v>
      </c>
      <c r="O5" s="186" t="s">
        <v>183</v>
      </c>
      <c r="P5" s="186">
        <v>271</v>
      </c>
      <c r="Q5" s="186" t="s">
        <v>184</v>
      </c>
      <c r="R5" s="186">
        <v>270</v>
      </c>
      <c r="U5" s="186" t="s">
        <v>183</v>
      </c>
      <c r="V5" s="186">
        <v>271</v>
      </c>
      <c r="W5" s="186" t="s">
        <v>184</v>
      </c>
      <c r="X5" s="186">
        <v>270</v>
      </c>
      <c r="AA5" s="186" t="s">
        <v>183</v>
      </c>
      <c r="AB5" s="186">
        <v>272</v>
      </c>
      <c r="AC5" s="186" t="s">
        <v>184</v>
      </c>
      <c r="AD5" s="186">
        <v>271</v>
      </c>
      <c r="AG5" s="186" t="s">
        <v>183</v>
      </c>
      <c r="AH5" s="186">
        <v>273</v>
      </c>
      <c r="AI5" s="186" t="s">
        <v>184</v>
      </c>
      <c r="AJ5" s="186">
        <v>272</v>
      </c>
    </row>
    <row r="6" spans="1:37" x14ac:dyDescent="0.25">
      <c r="C6" s="186" t="s">
        <v>185</v>
      </c>
      <c r="D6" s="186" t="s">
        <v>186</v>
      </c>
      <c r="E6" s="186" t="s">
        <v>187</v>
      </c>
      <c r="F6" s="186" t="s">
        <v>188</v>
      </c>
      <c r="G6" s="186" t="s">
        <v>189</v>
      </c>
      <c r="I6" s="186" t="s">
        <v>185</v>
      </c>
      <c r="J6" s="186" t="s">
        <v>186</v>
      </c>
      <c r="K6" s="186" t="s">
        <v>187</v>
      </c>
      <c r="L6" s="186" t="s">
        <v>188</v>
      </c>
      <c r="M6" s="186" t="s">
        <v>189</v>
      </c>
      <c r="O6" s="186" t="s">
        <v>185</v>
      </c>
      <c r="P6" s="186" t="s">
        <v>186</v>
      </c>
      <c r="Q6" s="186" t="s">
        <v>187</v>
      </c>
      <c r="R6" s="186" t="s">
        <v>188</v>
      </c>
      <c r="S6" s="186" t="s">
        <v>189</v>
      </c>
      <c r="U6" s="186" t="s">
        <v>185</v>
      </c>
      <c r="V6" s="186" t="s">
        <v>186</v>
      </c>
      <c r="W6" s="186" t="s">
        <v>187</v>
      </c>
      <c r="X6" s="186" t="s">
        <v>188</v>
      </c>
      <c r="Y6" s="186" t="s">
        <v>189</v>
      </c>
      <c r="AA6" s="186" t="s">
        <v>185</v>
      </c>
      <c r="AB6" s="186" t="s">
        <v>186</v>
      </c>
      <c r="AC6" s="186" t="s">
        <v>187</v>
      </c>
      <c r="AD6" s="186" t="s">
        <v>188</v>
      </c>
      <c r="AE6" s="186" t="s">
        <v>189</v>
      </c>
      <c r="AG6" s="186" t="s">
        <v>185</v>
      </c>
      <c r="AH6" s="186" t="s">
        <v>186</v>
      </c>
      <c r="AI6" s="186" t="s">
        <v>187</v>
      </c>
      <c r="AJ6" s="186" t="s">
        <v>188</v>
      </c>
      <c r="AK6" s="186" t="s">
        <v>189</v>
      </c>
    </row>
    <row r="8" spans="1:37" x14ac:dyDescent="0.25">
      <c r="A8" s="186" t="s">
        <v>190</v>
      </c>
      <c r="C8" s="187">
        <v>3.914667E-4</v>
      </c>
      <c r="D8" s="187">
        <v>3.456911E-3</v>
      </c>
      <c r="E8" s="187">
        <v>1.4000729999999999</v>
      </c>
      <c r="F8" s="187">
        <v>4.7365239999999998E-3</v>
      </c>
      <c r="G8" s="187">
        <v>1.3622639999999999E-6</v>
      </c>
      <c r="I8" s="187">
        <v>3.9194099999999998E-4</v>
      </c>
      <c r="J8" s="187">
        <v>3.434636E-3</v>
      </c>
      <c r="K8" s="187">
        <v>1.4004019999999999</v>
      </c>
      <c r="L8" s="187">
        <v>4.7095260000000003E-3</v>
      </c>
      <c r="M8" s="187">
        <v>1.191102E-6</v>
      </c>
      <c r="O8" s="187">
        <v>3.9179340000000001E-4</v>
      </c>
      <c r="P8" s="187">
        <v>3.4615639999999999E-3</v>
      </c>
      <c r="Q8" s="187">
        <v>1.40025</v>
      </c>
      <c r="R8" s="187">
        <v>4.7453039999999997E-3</v>
      </c>
      <c r="S8" s="187">
        <v>1.445847E-6</v>
      </c>
      <c r="U8" s="187">
        <v>3.9186720000000002E-4</v>
      </c>
      <c r="V8" s="187">
        <v>3.437014E-3</v>
      </c>
      <c r="W8" s="187">
        <v>1.400542</v>
      </c>
      <c r="X8" s="187">
        <v>4.712651E-3</v>
      </c>
      <c r="Y8" s="187">
        <v>1.30415E-6</v>
      </c>
      <c r="AA8" s="187">
        <v>3.918382E-4</v>
      </c>
      <c r="AB8" s="187">
        <v>3.2341869999999999E-3</v>
      </c>
      <c r="AC8" s="187">
        <v>1.400463</v>
      </c>
      <c r="AD8" s="187">
        <v>4.44546E-3</v>
      </c>
      <c r="AE8" s="187">
        <v>1.2521310000000001E-6</v>
      </c>
      <c r="AG8" s="187">
        <v>3.9185350000000001E-4</v>
      </c>
      <c r="AH8" s="187">
        <v>3.2473879999999999E-3</v>
      </c>
      <c r="AI8" s="187">
        <v>1.400776</v>
      </c>
      <c r="AJ8" s="187">
        <v>4.4654619999999999E-3</v>
      </c>
      <c r="AK8" s="187">
        <v>1.2279510000000001E-6</v>
      </c>
    </row>
    <row r="9" spans="1:37" x14ac:dyDescent="0.25">
      <c r="A9" s="186" t="s">
        <v>191</v>
      </c>
      <c r="C9" s="187">
        <v>4.6284439999999999E-4</v>
      </c>
      <c r="D9" s="187">
        <v>1.9122410000000001E-3</v>
      </c>
      <c r="E9" s="187">
        <v>1.3910819999999999</v>
      </c>
      <c r="F9" s="187">
        <v>2.6597959999999999E-3</v>
      </c>
      <c r="G9" s="187">
        <v>9.1885390000000002E-6</v>
      </c>
      <c r="I9" s="187">
        <v>4.6309960000000001E-4</v>
      </c>
      <c r="J9" s="187">
        <v>1.9073079999999999E-3</v>
      </c>
      <c r="K9" s="187">
        <v>1.38923</v>
      </c>
      <c r="L9" s="187">
        <v>2.6496839999999998E-3</v>
      </c>
      <c r="M9" s="187">
        <v>8.9815259999999998E-6</v>
      </c>
      <c r="O9" s="187">
        <v>4.6404429999999998E-4</v>
      </c>
      <c r="P9" s="187">
        <v>1.880201E-3</v>
      </c>
      <c r="Q9" s="187">
        <v>1.3885799999999999</v>
      </c>
      <c r="R9" s="187">
        <v>2.6107309999999998E-3</v>
      </c>
      <c r="S9" s="187">
        <v>8.9474739999999992E-6</v>
      </c>
      <c r="U9" s="187">
        <v>4.6320299999999998E-4</v>
      </c>
      <c r="V9" s="187">
        <v>1.8630249999999999E-3</v>
      </c>
      <c r="W9" s="187">
        <v>1.387221</v>
      </c>
      <c r="X9" s="187">
        <v>2.584458E-3</v>
      </c>
      <c r="Y9" s="187">
        <v>9.349953E-6</v>
      </c>
      <c r="AA9" s="187">
        <v>4.6320589999999999E-4</v>
      </c>
      <c r="AB9" s="187">
        <v>2.997876E-3</v>
      </c>
      <c r="AC9" s="187">
        <v>1.395124</v>
      </c>
      <c r="AD9" s="187">
        <v>4.1529210000000004E-3</v>
      </c>
      <c r="AE9" s="187">
        <v>8.5261630000000002E-6</v>
      </c>
      <c r="AG9" s="187">
        <v>4.6256409999999998E-4</v>
      </c>
      <c r="AH9" s="187">
        <v>2.9650919999999999E-3</v>
      </c>
      <c r="AI9" s="187">
        <v>1.3961490000000001</v>
      </c>
      <c r="AJ9" s="187">
        <v>4.1100169999999997E-3</v>
      </c>
      <c r="AK9" s="187">
        <v>8.8875999999999994E-6</v>
      </c>
    </row>
    <row r="10" spans="1:37" x14ac:dyDescent="0.25">
      <c r="A10" s="186" t="s">
        <v>192</v>
      </c>
      <c r="C10" s="187">
        <v>2.703704E-4</v>
      </c>
      <c r="D10" s="187">
        <v>4.1373319999999996E-3</v>
      </c>
      <c r="E10" s="187">
        <v>1.3960170000000001</v>
      </c>
      <c r="F10" s="187">
        <v>5.774927E-3</v>
      </c>
      <c r="G10" s="187">
        <v>1.9690569999999998E-6</v>
      </c>
      <c r="I10" s="187">
        <v>5.1926200000000004E-4</v>
      </c>
      <c r="J10" s="187">
        <v>4.3597569999999997E-3</v>
      </c>
      <c r="K10" s="187">
        <v>1.395661</v>
      </c>
      <c r="L10" s="187">
        <v>6.0843269999999996E-3</v>
      </c>
      <c r="M10" s="187">
        <v>2.2936290000000001E-6</v>
      </c>
      <c r="O10" s="187">
        <v>2.7098150000000001E-4</v>
      </c>
      <c r="P10" s="187">
        <v>6.1493429999999998E-3</v>
      </c>
      <c r="Q10" s="187">
        <v>1.3930940000000001</v>
      </c>
      <c r="R10" s="187">
        <v>8.5630900000000006E-3</v>
      </c>
      <c r="S10" s="187">
        <v>1.8766669999999999E-6</v>
      </c>
      <c r="U10" s="187">
        <v>5.1952770000000001E-4</v>
      </c>
      <c r="V10" s="187">
        <v>6.8781090000000003E-3</v>
      </c>
      <c r="W10" s="187">
        <v>1.3921969999999999</v>
      </c>
      <c r="X10" s="187">
        <v>9.5734889999999993E-3</v>
      </c>
      <c r="Y10" s="187">
        <v>2.2340320000000002E-6</v>
      </c>
      <c r="AA10" s="187">
        <v>2.706618E-4</v>
      </c>
      <c r="AB10" s="187">
        <v>8.2169970000000002E-3</v>
      </c>
      <c r="AC10" s="187">
        <v>1.3904190000000001</v>
      </c>
      <c r="AD10" s="187">
        <v>1.141327E-2</v>
      </c>
      <c r="AE10" s="187">
        <v>1.9217939999999998E-6</v>
      </c>
      <c r="AG10" s="187">
        <v>5.1956039999999999E-4</v>
      </c>
      <c r="AH10" s="187">
        <v>9.6070600000000006E-3</v>
      </c>
      <c r="AI10" s="187">
        <v>1.3884669999999999</v>
      </c>
      <c r="AJ10" s="187">
        <v>1.333032E-2</v>
      </c>
      <c r="AK10" s="187">
        <v>2.3098680000000001E-6</v>
      </c>
    </row>
    <row r="11" spans="1:37" x14ac:dyDescent="0.25">
      <c r="A11" s="186" t="s">
        <v>193</v>
      </c>
      <c r="C11" s="187">
        <v>7.7081479999999996E-5</v>
      </c>
      <c r="D11" s="187">
        <v>2.3261810000000001E-3</v>
      </c>
      <c r="E11" s="187">
        <v>1.3988910000000001</v>
      </c>
      <c r="F11" s="187">
        <v>3.253494E-3</v>
      </c>
      <c r="G11" s="187">
        <v>1.779904E-6</v>
      </c>
      <c r="I11" s="187">
        <v>7.6841330000000001E-5</v>
      </c>
      <c r="J11" s="187">
        <v>2.383455E-3</v>
      </c>
      <c r="K11" s="187">
        <v>1.398765</v>
      </c>
      <c r="L11" s="187">
        <v>3.3333059999999999E-3</v>
      </c>
      <c r="M11" s="187">
        <v>1.6331939999999999E-6</v>
      </c>
      <c r="O11" s="187">
        <v>7.6649449999999995E-5</v>
      </c>
      <c r="P11" s="187">
        <v>2.402759E-3</v>
      </c>
      <c r="Q11" s="187">
        <v>1.3987799999999999</v>
      </c>
      <c r="R11" s="187">
        <v>3.3603359999999998E-3</v>
      </c>
      <c r="S11" s="187">
        <v>1.477858E-6</v>
      </c>
      <c r="U11" s="187">
        <v>7.6723249999999994E-5</v>
      </c>
      <c r="V11" s="187">
        <v>2.3674970000000001E-3</v>
      </c>
      <c r="W11" s="187">
        <v>1.398908</v>
      </c>
      <c r="X11" s="187">
        <v>3.311245E-3</v>
      </c>
      <c r="Y11" s="187">
        <v>1.542297E-6</v>
      </c>
      <c r="AA11" s="187">
        <v>7.6764709999999994E-5</v>
      </c>
      <c r="AB11" s="187">
        <v>2.5883299999999998E-3</v>
      </c>
      <c r="AC11" s="187">
        <v>1.3985209999999999</v>
      </c>
      <c r="AD11" s="187">
        <v>3.6186500000000002E-3</v>
      </c>
      <c r="AE11" s="187">
        <v>1.5758100000000001E-6</v>
      </c>
      <c r="AG11" s="187">
        <v>7.6835160000000003E-5</v>
      </c>
      <c r="AH11" s="187">
        <v>2.5443639999999999E-3</v>
      </c>
      <c r="AI11" s="187">
        <v>1.398533</v>
      </c>
      <c r="AJ11" s="187">
        <v>3.557054E-3</v>
      </c>
      <c r="AK11" s="187">
        <v>1.6287650000000001E-6</v>
      </c>
    </row>
    <row r="12" spans="1:37" x14ac:dyDescent="0.25">
      <c r="A12" s="186" t="s">
        <v>194</v>
      </c>
      <c r="C12" s="187">
        <v>1.157704E-4</v>
      </c>
      <c r="D12" s="187">
        <v>5.5624649999999999E-3</v>
      </c>
      <c r="E12" s="187">
        <v>1.394088</v>
      </c>
      <c r="F12" s="187">
        <v>7.754286E-3</v>
      </c>
      <c r="G12" s="187">
        <v>2.0329649999999999E-6</v>
      </c>
      <c r="I12" s="187">
        <v>1.1547970000000001E-4</v>
      </c>
      <c r="J12" s="187">
        <v>5.5465419999999998E-3</v>
      </c>
      <c r="K12" s="187">
        <v>1.394077</v>
      </c>
      <c r="L12" s="187">
        <v>7.7320360000000003E-3</v>
      </c>
      <c r="M12" s="187">
        <v>2.0634730000000001E-6</v>
      </c>
      <c r="O12" s="187">
        <v>1.1604059999999999E-4</v>
      </c>
      <c r="P12" s="187">
        <v>5.5384869999999999E-3</v>
      </c>
      <c r="Q12" s="187">
        <v>1.3940870000000001</v>
      </c>
      <c r="R12" s="187">
        <v>7.7208479999999998E-3</v>
      </c>
      <c r="S12" s="187">
        <v>1.9076390000000002E-6</v>
      </c>
      <c r="U12" s="187">
        <v>1.154207E-4</v>
      </c>
      <c r="V12" s="187">
        <v>5.5215899999999998E-3</v>
      </c>
      <c r="W12" s="187">
        <v>1.3941809999999999</v>
      </c>
      <c r="X12" s="187">
        <v>7.697817E-3</v>
      </c>
      <c r="Y12" s="187">
        <v>2.1326769999999999E-6</v>
      </c>
      <c r="AA12" s="187">
        <v>1.166176E-4</v>
      </c>
      <c r="AB12" s="187">
        <v>6.8458410000000001E-3</v>
      </c>
      <c r="AC12" s="187">
        <v>1.392301</v>
      </c>
      <c r="AD12" s="187">
        <v>9.5309539999999995E-3</v>
      </c>
      <c r="AE12" s="187">
        <v>1.2355169999999999E-5</v>
      </c>
      <c r="AG12" s="187">
        <v>1.153297E-4</v>
      </c>
      <c r="AH12" s="187">
        <v>6.8219470000000001E-3</v>
      </c>
      <c r="AI12" s="187">
        <v>1.392293</v>
      </c>
      <c r="AJ12" s="187">
        <v>9.4976460000000002E-3</v>
      </c>
      <c r="AK12" s="187">
        <v>2.2015450000000002E-6</v>
      </c>
    </row>
    <row r="13" spans="1:37" x14ac:dyDescent="0.25">
      <c r="A13" s="186" t="s">
        <v>195</v>
      </c>
      <c r="C13" s="187">
        <v>3.7261480000000001E-4</v>
      </c>
      <c r="D13" s="187">
        <v>1.923587E-3</v>
      </c>
      <c r="E13" s="187">
        <v>1.399573</v>
      </c>
      <c r="F13" s="187">
        <v>2.6921750000000002E-3</v>
      </c>
      <c r="G13" s="187">
        <v>1.966202E-6</v>
      </c>
      <c r="I13" s="187">
        <v>3.7243170000000002E-4</v>
      </c>
      <c r="J13" s="187">
        <v>1.9182730000000001E-3</v>
      </c>
      <c r="K13" s="187">
        <v>1.3995519999999999</v>
      </c>
      <c r="L13" s="187">
        <v>2.6846970000000002E-3</v>
      </c>
      <c r="M13" s="187">
        <v>1.9211180000000002E-6</v>
      </c>
      <c r="O13" s="187">
        <v>3.7240219999999999E-4</v>
      </c>
      <c r="P13" s="187">
        <v>1.9083100000000001E-3</v>
      </c>
      <c r="Q13" s="187">
        <v>1.3995660000000001</v>
      </c>
      <c r="R13" s="187">
        <v>2.6707829999999999E-3</v>
      </c>
      <c r="S13" s="187">
        <v>1.912104E-6</v>
      </c>
      <c r="U13" s="187">
        <v>3.72417E-4</v>
      </c>
      <c r="V13" s="187">
        <v>1.8795719999999999E-3</v>
      </c>
      <c r="W13" s="187">
        <v>1.399675</v>
      </c>
      <c r="X13" s="187">
        <v>2.6307639999999998E-3</v>
      </c>
      <c r="Y13" s="187">
        <v>1.9166730000000001E-6</v>
      </c>
      <c r="AA13" s="187">
        <v>3.7241180000000001E-4</v>
      </c>
      <c r="AB13" s="187">
        <v>1.9460879999999999E-3</v>
      </c>
      <c r="AC13" s="187">
        <v>1.399518</v>
      </c>
      <c r="AD13" s="187">
        <v>2.7235459999999999E-3</v>
      </c>
      <c r="AE13" s="187">
        <v>1.9456469999999999E-6</v>
      </c>
      <c r="AG13" s="187">
        <v>3.7236259999999998E-4</v>
      </c>
      <c r="AH13" s="187">
        <v>1.9058059999999999E-3</v>
      </c>
      <c r="AI13" s="187">
        <v>1.3995439999999999</v>
      </c>
      <c r="AJ13" s="187">
        <v>2.6672179999999998E-3</v>
      </c>
      <c r="AK13" s="187">
        <v>1.8992050000000001E-6</v>
      </c>
    </row>
    <row r="14" spans="1:37" x14ac:dyDescent="0.25">
      <c r="A14" s="186" t="s">
        <v>196</v>
      </c>
      <c r="C14" s="187">
        <v>2.7142220000000002E-4</v>
      </c>
      <c r="D14" s="187">
        <v>4.116293E-3</v>
      </c>
      <c r="E14" s="187">
        <v>1.396158</v>
      </c>
      <c r="F14" s="187">
        <v>5.7460289999999997E-3</v>
      </c>
      <c r="G14" s="187">
        <v>1.6060599999999999E-6</v>
      </c>
      <c r="I14" s="187">
        <v>5.1939480000000001E-4</v>
      </c>
      <c r="J14" s="187">
        <v>4.3088329999999998E-3</v>
      </c>
      <c r="K14" s="187">
        <v>1.395848</v>
      </c>
      <c r="L14" s="187">
        <v>6.0139060000000003E-3</v>
      </c>
      <c r="M14" s="187">
        <v>1.5162730000000001E-6</v>
      </c>
      <c r="O14" s="187">
        <v>2.7149820000000002E-4</v>
      </c>
      <c r="P14" s="187">
        <v>6.1818089999999999E-3</v>
      </c>
      <c r="Q14" s="187">
        <v>1.39324</v>
      </c>
      <c r="R14" s="187">
        <v>8.6074410000000004E-3</v>
      </c>
      <c r="S14" s="187">
        <v>1.3713319999999999E-6</v>
      </c>
      <c r="U14" s="187">
        <v>5.1952770000000001E-4</v>
      </c>
      <c r="V14" s="187">
        <v>6.5945789999999997E-3</v>
      </c>
      <c r="W14" s="187">
        <v>1.3927229999999999</v>
      </c>
      <c r="X14" s="187">
        <v>9.1813869999999992E-3</v>
      </c>
      <c r="Y14" s="187">
        <v>1.465078E-6</v>
      </c>
      <c r="AA14" s="187">
        <v>2.7158819999999998E-4</v>
      </c>
      <c r="AB14" s="187">
        <v>8.2521169999999998E-3</v>
      </c>
      <c r="AC14" s="187">
        <v>1.3903730000000001</v>
      </c>
      <c r="AD14" s="187">
        <v>1.146146E-2</v>
      </c>
      <c r="AE14" s="187">
        <v>1.398315E-6</v>
      </c>
      <c r="AG14" s="187">
        <v>5.1966299999999996E-4</v>
      </c>
      <c r="AH14" s="187">
        <v>9.1239479999999998E-3</v>
      </c>
      <c r="AI14" s="187">
        <v>1.38913</v>
      </c>
      <c r="AJ14" s="187">
        <v>1.2666790000000001E-2</v>
      </c>
      <c r="AK14" s="187">
        <v>1.3517370000000001E-6</v>
      </c>
    </row>
    <row r="15" spans="1:37" x14ac:dyDescent="0.25">
      <c r="A15" s="186" t="s">
        <v>197</v>
      </c>
      <c r="C15" s="187">
        <v>7.463704E-5</v>
      </c>
      <c r="D15" s="187">
        <v>2.2257510000000002E-3</v>
      </c>
      <c r="E15" s="187">
        <v>1.399065</v>
      </c>
      <c r="F15" s="187">
        <v>3.1136409999999999E-3</v>
      </c>
      <c r="G15" s="187">
        <v>1.899354E-6</v>
      </c>
      <c r="I15" s="187">
        <v>7.4760150000000006E-5</v>
      </c>
      <c r="J15" s="187">
        <v>2.2664809999999999E-3</v>
      </c>
      <c r="K15" s="187">
        <v>1.398976</v>
      </c>
      <c r="L15" s="187">
        <v>3.170436E-3</v>
      </c>
      <c r="M15" s="187">
        <v>1.853335E-6</v>
      </c>
      <c r="O15" s="187">
        <v>7.4715869999999999E-5</v>
      </c>
      <c r="P15" s="187">
        <v>2.3016170000000002E-3</v>
      </c>
      <c r="Q15" s="187">
        <v>1.39897</v>
      </c>
      <c r="R15" s="187">
        <v>3.2194939999999998E-3</v>
      </c>
      <c r="S15" s="187">
        <v>1.870949E-6</v>
      </c>
      <c r="U15" s="187">
        <v>7.4627309999999997E-5</v>
      </c>
      <c r="V15" s="187">
        <v>2.373741E-3</v>
      </c>
      <c r="W15" s="187">
        <v>1.3989210000000001</v>
      </c>
      <c r="X15" s="187">
        <v>3.3203040000000001E-3</v>
      </c>
      <c r="Y15" s="187">
        <v>1.9025889999999999E-6</v>
      </c>
      <c r="AA15" s="187">
        <v>7.4367650000000006E-5</v>
      </c>
      <c r="AB15" s="187">
        <v>2.4507259999999999E-3</v>
      </c>
      <c r="AC15" s="187">
        <v>1.3987499999999999</v>
      </c>
      <c r="AD15" s="187">
        <v>3.4272019999999999E-3</v>
      </c>
      <c r="AE15" s="187">
        <v>1.9695419999999998E-6</v>
      </c>
      <c r="AG15" s="187">
        <v>7.4549449999999998E-5</v>
      </c>
      <c r="AH15" s="187">
        <v>2.4779540000000001E-3</v>
      </c>
      <c r="AI15" s="187">
        <v>1.398671</v>
      </c>
      <c r="AJ15" s="187">
        <v>3.4650810000000001E-3</v>
      </c>
      <c r="AK15" s="187">
        <v>1.9265769999999999E-6</v>
      </c>
    </row>
    <row r="16" spans="1:37" x14ac:dyDescent="0.25">
      <c r="A16" s="186" t="s">
        <v>198</v>
      </c>
      <c r="C16" s="187">
        <v>1.199926E-4</v>
      </c>
      <c r="D16" s="187">
        <v>5.5257459999999998E-3</v>
      </c>
      <c r="E16" s="187">
        <v>1.39412</v>
      </c>
      <c r="F16" s="187">
        <v>7.7032250000000002E-3</v>
      </c>
      <c r="G16" s="187">
        <v>2.045268E-5</v>
      </c>
      <c r="I16" s="187">
        <v>1.183284E-4</v>
      </c>
      <c r="J16" s="187">
        <v>5.5163199999999999E-3</v>
      </c>
      <c r="K16" s="187">
        <v>1.394109</v>
      </c>
      <c r="L16" s="187">
        <v>7.6900579999999996E-3</v>
      </c>
      <c r="M16" s="187">
        <v>1.9184979999999999E-6</v>
      </c>
      <c r="O16" s="187">
        <v>1.187269E-4</v>
      </c>
      <c r="P16" s="187">
        <v>5.5016550000000003E-3</v>
      </c>
      <c r="Q16" s="187">
        <v>1.394137</v>
      </c>
      <c r="R16" s="187">
        <v>7.6697299999999996E-3</v>
      </c>
      <c r="S16" s="187">
        <v>2.263882E-6</v>
      </c>
      <c r="U16" s="187">
        <v>1.184317E-4</v>
      </c>
      <c r="V16" s="187">
        <v>5.520914E-3</v>
      </c>
      <c r="W16" s="187">
        <v>1.3941650000000001</v>
      </c>
      <c r="X16" s="187">
        <v>7.6967659999999999E-3</v>
      </c>
      <c r="Y16" s="187">
        <v>2.0115289999999999E-6</v>
      </c>
      <c r="AA16" s="187">
        <v>1.2007349999999999E-4</v>
      </c>
      <c r="AB16" s="187">
        <v>6.8296900000000002E-3</v>
      </c>
      <c r="AC16" s="187">
        <v>1.3923099999999999</v>
      </c>
      <c r="AD16" s="187">
        <v>9.5084590000000004E-3</v>
      </c>
      <c r="AE16" s="187">
        <v>1.9886629999999999E-5</v>
      </c>
      <c r="AG16" s="187">
        <v>1.196667E-4</v>
      </c>
      <c r="AH16" s="187">
        <v>6.8266070000000002E-3</v>
      </c>
      <c r="AI16" s="187">
        <v>1.3922779999999999</v>
      </c>
      <c r="AJ16" s="187">
        <v>9.5039800000000004E-3</v>
      </c>
      <c r="AK16" s="187">
        <v>1.8897040000000002E-5</v>
      </c>
    </row>
    <row r="17" spans="1:37" x14ac:dyDescent="0.25">
      <c r="A17" s="186" t="s">
        <v>199</v>
      </c>
      <c r="C17" s="187">
        <v>3.7191850000000001E-4</v>
      </c>
      <c r="D17" s="187">
        <v>1.889754E-3</v>
      </c>
      <c r="E17" s="187">
        <v>1.399621</v>
      </c>
      <c r="F17" s="187">
        <v>2.644918E-3</v>
      </c>
      <c r="G17" s="187">
        <v>1.7546619999999999E-6</v>
      </c>
      <c r="I17" s="187">
        <v>3.718118E-4</v>
      </c>
      <c r="J17" s="187">
        <v>1.8942270000000001E-3</v>
      </c>
      <c r="K17" s="187">
        <v>1.399586</v>
      </c>
      <c r="L17" s="187">
        <v>2.651109E-3</v>
      </c>
      <c r="M17" s="187">
        <v>1.6117650000000001E-6</v>
      </c>
      <c r="O17" s="187">
        <v>3.7216609999999998E-4</v>
      </c>
      <c r="P17" s="187">
        <v>1.8757050000000001E-3</v>
      </c>
      <c r="Q17" s="187">
        <v>1.3996219999999999</v>
      </c>
      <c r="R17" s="187">
        <v>2.6252549999999999E-3</v>
      </c>
      <c r="S17" s="187">
        <v>1.8212E-6</v>
      </c>
      <c r="U17" s="187">
        <v>3.718266E-4</v>
      </c>
      <c r="V17" s="187">
        <v>1.9031829999999999E-3</v>
      </c>
      <c r="W17" s="187">
        <v>1.3996420000000001</v>
      </c>
      <c r="X17" s="187">
        <v>2.6637509999999998E-3</v>
      </c>
      <c r="Y17" s="187">
        <v>1.6225820000000001E-6</v>
      </c>
      <c r="AA17" s="187">
        <v>3.7204410000000001E-4</v>
      </c>
      <c r="AB17" s="187">
        <v>1.944479E-3</v>
      </c>
      <c r="AC17" s="187">
        <v>1.399526</v>
      </c>
      <c r="AD17" s="187">
        <v>2.721308E-3</v>
      </c>
      <c r="AE17" s="187">
        <v>1.8258810000000001E-6</v>
      </c>
      <c r="AG17" s="187">
        <v>3.7165929999999998E-4</v>
      </c>
      <c r="AH17" s="187">
        <v>1.940907E-3</v>
      </c>
      <c r="AI17" s="187">
        <v>1.3994949999999999</v>
      </c>
      <c r="AJ17" s="187">
        <v>2.7162480000000001E-3</v>
      </c>
      <c r="AK17" s="187">
        <v>1.5259019999999999E-6</v>
      </c>
    </row>
    <row r="18" spans="1:37" x14ac:dyDescent="0.25">
      <c r="A18" s="186" t="s">
        <v>200</v>
      </c>
      <c r="C18" s="187">
        <v>2.7127409999999999E-4</v>
      </c>
      <c r="D18" s="187">
        <v>4.0853629999999998E-3</v>
      </c>
      <c r="E18" s="187">
        <v>1.3962030000000001</v>
      </c>
      <c r="F18" s="187">
        <v>5.7030600000000002E-3</v>
      </c>
      <c r="G18" s="187">
        <v>1.5445289999999999E-6</v>
      </c>
      <c r="I18" s="187">
        <v>5.1907009999999998E-4</v>
      </c>
      <c r="J18" s="187">
        <v>4.3422349999999998E-3</v>
      </c>
      <c r="K18" s="187">
        <v>1.3957980000000001</v>
      </c>
      <c r="L18" s="187">
        <v>6.0602850000000003E-3</v>
      </c>
      <c r="M18" s="187">
        <v>1.6927600000000001E-6</v>
      </c>
      <c r="O18" s="187">
        <v>2.712325E-4</v>
      </c>
      <c r="P18" s="187">
        <v>6.0020730000000001E-3</v>
      </c>
      <c r="Q18" s="187">
        <v>1.393489</v>
      </c>
      <c r="R18" s="187">
        <v>8.3590829999999998E-3</v>
      </c>
      <c r="S18" s="187">
        <v>1.5780369999999999E-6</v>
      </c>
      <c r="U18" s="187">
        <v>5.1909959999999996E-4</v>
      </c>
      <c r="V18" s="187">
        <v>6.6211159999999998E-3</v>
      </c>
      <c r="W18" s="187">
        <v>1.392685</v>
      </c>
      <c r="X18" s="187">
        <v>9.2180649999999992E-3</v>
      </c>
      <c r="Y18" s="187">
        <v>1.673663E-6</v>
      </c>
      <c r="AA18" s="187">
        <v>2.713382E-4</v>
      </c>
      <c r="AB18" s="187">
        <v>8.5929100000000005E-3</v>
      </c>
      <c r="AC18" s="187">
        <v>1.389902</v>
      </c>
      <c r="AD18" s="187">
        <v>1.192973E-2</v>
      </c>
      <c r="AE18" s="187">
        <v>1.489053E-6</v>
      </c>
      <c r="AG18" s="187">
        <v>5.1934069999999999E-4</v>
      </c>
      <c r="AH18" s="187">
        <v>9.2194010000000003E-3</v>
      </c>
      <c r="AI18" s="187">
        <v>1.3889990000000001</v>
      </c>
      <c r="AJ18" s="187">
        <v>1.279807E-2</v>
      </c>
      <c r="AK18" s="187">
        <v>1.4868530000000001E-6</v>
      </c>
    </row>
    <row r="19" spans="1:37" x14ac:dyDescent="0.25">
      <c r="A19" s="186" t="s">
        <v>201</v>
      </c>
      <c r="C19" s="187">
        <v>7.4681480000000005E-5</v>
      </c>
      <c r="D19" s="187">
        <v>2.3117350000000001E-3</v>
      </c>
      <c r="E19" s="187">
        <v>1.3989309999999999</v>
      </c>
      <c r="F19" s="187">
        <v>3.2336230000000001E-3</v>
      </c>
      <c r="G19" s="187">
        <v>1.883806E-6</v>
      </c>
      <c r="I19" s="187">
        <v>7.4730630000000001E-5</v>
      </c>
      <c r="J19" s="187">
        <v>2.221762E-3</v>
      </c>
      <c r="K19" s="187">
        <v>1.399044</v>
      </c>
      <c r="L19" s="187">
        <v>3.1080370000000001E-3</v>
      </c>
      <c r="M19" s="187">
        <v>1.8652139999999999E-6</v>
      </c>
      <c r="O19" s="187">
        <v>7.4701109999999996E-5</v>
      </c>
      <c r="P19" s="187">
        <v>2.365153E-3</v>
      </c>
      <c r="Q19" s="187">
        <v>1.39886</v>
      </c>
      <c r="R19" s="187">
        <v>3.3081109999999999E-3</v>
      </c>
      <c r="S19" s="187">
        <v>1.8765510000000001E-6</v>
      </c>
      <c r="U19" s="187">
        <v>7.4583030000000003E-5</v>
      </c>
      <c r="V19" s="187">
        <v>2.3181629999999998E-3</v>
      </c>
      <c r="W19" s="187">
        <v>1.399006</v>
      </c>
      <c r="X19" s="187">
        <v>3.2427580000000001E-3</v>
      </c>
      <c r="Y19" s="187">
        <v>1.9166730000000001E-6</v>
      </c>
      <c r="AA19" s="187">
        <v>7.4323529999999996E-5</v>
      </c>
      <c r="AB19" s="187">
        <v>2.4336010000000001E-3</v>
      </c>
      <c r="AC19" s="187">
        <v>1.398773</v>
      </c>
      <c r="AD19" s="187">
        <v>3.4032530000000002E-3</v>
      </c>
      <c r="AE19" s="187">
        <v>1.9772969999999998E-6</v>
      </c>
      <c r="AG19" s="187">
        <v>7.4534800000000003E-5</v>
      </c>
      <c r="AH19" s="187">
        <v>2.4779429999999998E-3</v>
      </c>
      <c r="AI19" s="187">
        <v>1.3986639999999999</v>
      </c>
      <c r="AJ19" s="187">
        <v>3.4650710000000001E-3</v>
      </c>
      <c r="AK19" s="187">
        <v>1.9307110000000001E-6</v>
      </c>
    </row>
    <row r="20" spans="1:37" x14ac:dyDescent="0.25">
      <c r="A20" s="186" t="s">
        <v>202</v>
      </c>
      <c r="C20" s="187">
        <v>1.181407E-4</v>
      </c>
      <c r="D20" s="187">
        <v>5.5457930000000003E-3</v>
      </c>
      <c r="E20" s="187">
        <v>1.3940999999999999</v>
      </c>
      <c r="F20" s="187">
        <v>7.731094E-3</v>
      </c>
      <c r="G20" s="187">
        <v>2.1406420000000002E-6</v>
      </c>
      <c r="I20" s="187">
        <v>1.194945E-4</v>
      </c>
      <c r="J20" s="187">
        <v>5.4872219999999999E-3</v>
      </c>
      <c r="K20" s="187">
        <v>1.3941520000000001</v>
      </c>
      <c r="L20" s="187">
        <v>7.6496419999999999E-3</v>
      </c>
      <c r="M20" s="187">
        <v>2.3802749999999998E-6</v>
      </c>
      <c r="O20" s="187">
        <v>1.1784130000000001E-4</v>
      </c>
      <c r="P20" s="187">
        <v>5.5433519999999997E-3</v>
      </c>
      <c r="Q20" s="187">
        <v>1.3940779999999999</v>
      </c>
      <c r="R20" s="187">
        <v>7.727584E-3</v>
      </c>
      <c r="S20" s="187">
        <v>2.0222619999999999E-6</v>
      </c>
      <c r="U20" s="187">
        <v>1.196863E-4</v>
      </c>
      <c r="V20" s="187">
        <v>5.4911040000000001E-3</v>
      </c>
      <c r="W20" s="187">
        <v>1.3942140000000001</v>
      </c>
      <c r="X20" s="187">
        <v>7.6553840000000003E-3</v>
      </c>
      <c r="Y20" s="187">
        <v>2.4557859999999999E-6</v>
      </c>
      <c r="AA20" s="187">
        <v>1.1832350000000001E-4</v>
      </c>
      <c r="AB20" s="187">
        <v>6.7993250000000002E-3</v>
      </c>
      <c r="AC20" s="187">
        <v>1.3923509999999999</v>
      </c>
      <c r="AD20" s="187">
        <v>9.4665080000000002E-3</v>
      </c>
      <c r="AE20" s="187">
        <v>2.2032590000000001E-6</v>
      </c>
      <c r="AG20" s="187">
        <v>1.196813E-4</v>
      </c>
      <c r="AH20" s="187">
        <v>6.7712129999999999E-3</v>
      </c>
      <c r="AI20" s="187">
        <v>1.39236</v>
      </c>
      <c r="AJ20" s="187">
        <v>9.4272620000000005E-3</v>
      </c>
      <c r="AK20" s="187">
        <v>2.2794440000000001E-6</v>
      </c>
    </row>
    <row r="21" spans="1:37" x14ac:dyDescent="0.25">
      <c r="A21" s="186" t="s">
        <v>203</v>
      </c>
      <c r="C21" s="187">
        <v>1.397111E-4</v>
      </c>
      <c r="D21" s="187">
        <v>1.7414679999999999E-3</v>
      </c>
      <c r="E21" s="187">
        <v>1.4000060000000001</v>
      </c>
      <c r="F21" s="187">
        <v>2.4374610000000001E-3</v>
      </c>
      <c r="G21" s="187">
        <v>2.4486959999999998E-5</v>
      </c>
      <c r="I21" s="187">
        <v>1.598192E-4</v>
      </c>
      <c r="J21" s="187">
        <v>1.7161349999999999E-3</v>
      </c>
      <c r="K21" s="187">
        <v>1.399991</v>
      </c>
      <c r="L21" s="187">
        <v>2.4020740000000001E-3</v>
      </c>
      <c r="M21" s="187">
        <v>7.2638480000000003E-6</v>
      </c>
      <c r="O21" s="187">
        <v>1.402768E-4</v>
      </c>
      <c r="P21" s="187">
        <v>1.7444750000000001E-3</v>
      </c>
      <c r="Q21" s="187">
        <v>1.3999790000000001</v>
      </c>
      <c r="R21" s="187">
        <v>2.4416189999999999E-3</v>
      </c>
      <c r="S21" s="187">
        <v>2.4423600000000001E-5</v>
      </c>
      <c r="U21" s="187">
        <v>1.5956830000000001E-4</v>
      </c>
      <c r="V21" s="187">
        <v>1.729027E-3</v>
      </c>
      <c r="W21" s="187">
        <v>1.4000440000000001</v>
      </c>
      <c r="X21" s="187">
        <v>2.4202020000000002E-3</v>
      </c>
      <c r="Y21" s="187">
        <v>7.6294959999999994E-6</v>
      </c>
      <c r="AA21" s="187">
        <v>1.4058819999999999E-4</v>
      </c>
      <c r="AB21" s="187">
        <v>1.7432999999999999E-3</v>
      </c>
      <c r="AC21" s="187">
        <v>1.399991</v>
      </c>
      <c r="AD21" s="187">
        <v>2.4399510000000001E-3</v>
      </c>
      <c r="AE21" s="187">
        <v>2.361452E-5</v>
      </c>
      <c r="AG21" s="187">
        <v>1.600916E-4</v>
      </c>
      <c r="AH21" s="187">
        <v>1.7601959999999999E-3</v>
      </c>
      <c r="AI21" s="187">
        <v>1.399905</v>
      </c>
      <c r="AJ21" s="187">
        <v>2.4635460000000001E-3</v>
      </c>
      <c r="AK21" s="187">
        <v>7.5221999999999997E-6</v>
      </c>
    </row>
    <row r="22" spans="1:37" x14ac:dyDescent="0.25">
      <c r="A22" s="186" t="s">
        <v>204</v>
      </c>
      <c r="C22" s="187">
        <v>0</v>
      </c>
      <c r="D22" s="187">
        <v>4.312754E-8</v>
      </c>
      <c r="E22" s="187">
        <v>1.4041189999999999</v>
      </c>
      <c r="F22" s="187">
        <v>6.0554169999999995E-8</v>
      </c>
      <c r="G22" s="187">
        <v>0</v>
      </c>
      <c r="I22" s="187">
        <v>0</v>
      </c>
      <c r="J22" s="187">
        <v>4.8744520000000003E-8</v>
      </c>
      <c r="K22" s="187">
        <v>1.4040870000000001</v>
      </c>
      <c r="L22" s="187">
        <v>6.8439449999999999E-8</v>
      </c>
      <c r="M22" s="187">
        <v>0</v>
      </c>
      <c r="O22" s="187">
        <v>0</v>
      </c>
      <c r="P22" s="187">
        <v>4.7316869999999998E-8</v>
      </c>
      <c r="Q22" s="187">
        <v>1.404083</v>
      </c>
      <c r="R22" s="187">
        <v>6.6434710000000006E-8</v>
      </c>
      <c r="S22" s="187">
        <v>0</v>
      </c>
      <c r="U22" s="187">
        <v>0</v>
      </c>
      <c r="V22" s="187">
        <v>4.83177E-8</v>
      </c>
      <c r="W22" s="187">
        <v>1.404164</v>
      </c>
      <c r="X22" s="187">
        <v>6.784391E-8</v>
      </c>
      <c r="Y22" s="187">
        <v>0</v>
      </c>
      <c r="AA22" s="187">
        <v>0</v>
      </c>
      <c r="AB22" s="187">
        <v>4.5352330000000001E-8</v>
      </c>
      <c r="AC22" s="187">
        <v>1.4040950000000001</v>
      </c>
      <c r="AD22" s="187">
        <v>6.3676890000000006E-8</v>
      </c>
      <c r="AE22" s="187">
        <v>0</v>
      </c>
      <c r="AG22" s="187">
        <v>0</v>
      </c>
      <c r="AH22" s="187">
        <v>4.8659559999999999E-8</v>
      </c>
      <c r="AI22" s="187">
        <v>1.4040520000000001</v>
      </c>
      <c r="AJ22" s="187">
        <v>6.8318449999999995E-8</v>
      </c>
      <c r="AK22" s="187">
        <v>0</v>
      </c>
    </row>
    <row r="24" spans="1:37" x14ac:dyDescent="0.25">
      <c r="A24" s="186" t="s">
        <v>205</v>
      </c>
    </row>
    <row r="26" spans="1:37" x14ac:dyDescent="0.25">
      <c r="C26" s="186" t="s">
        <v>181</v>
      </c>
      <c r="D26" s="186">
        <v>-10</v>
      </c>
      <c r="E26" s="186" t="s">
        <v>182</v>
      </c>
      <c r="F26" s="186">
        <v>6</v>
      </c>
      <c r="I26" s="186" t="s">
        <v>181</v>
      </c>
      <c r="J26" s="186">
        <v>-10</v>
      </c>
      <c r="K26" s="186" t="s">
        <v>182</v>
      </c>
      <c r="L26" s="186">
        <v>37</v>
      </c>
      <c r="O26" s="186" t="s">
        <v>181</v>
      </c>
      <c r="P26" s="186">
        <v>0</v>
      </c>
      <c r="Q26" s="186" t="s">
        <v>182</v>
      </c>
      <c r="R26" s="186">
        <v>6</v>
      </c>
      <c r="U26" s="186" t="s">
        <v>181</v>
      </c>
      <c r="V26" s="186">
        <v>0</v>
      </c>
      <c r="W26" s="186" t="s">
        <v>182</v>
      </c>
      <c r="X26" s="186">
        <v>37</v>
      </c>
      <c r="AA26" s="186" t="s">
        <v>181</v>
      </c>
      <c r="AB26" s="186">
        <v>4</v>
      </c>
      <c r="AC26" s="186" t="s">
        <v>182</v>
      </c>
      <c r="AD26" s="186">
        <v>6</v>
      </c>
      <c r="AG26" s="186" t="s">
        <v>181</v>
      </c>
      <c r="AH26" s="186">
        <v>4</v>
      </c>
      <c r="AI26" s="186" t="s">
        <v>182</v>
      </c>
      <c r="AJ26" s="186">
        <v>37</v>
      </c>
    </row>
    <row r="27" spans="1:37" x14ac:dyDescent="0.25">
      <c r="C27" s="186" t="s">
        <v>183</v>
      </c>
      <c r="D27" s="186">
        <v>272</v>
      </c>
      <c r="E27" s="186" t="s">
        <v>184</v>
      </c>
      <c r="F27" s="186">
        <v>271</v>
      </c>
      <c r="I27" s="186" t="s">
        <v>183</v>
      </c>
      <c r="J27" s="186">
        <v>270</v>
      </c>
      <c r="K27" s="186" t="s">
        <v>184</v>
      </c>
      <c r="L27" s="186">
        <v>269</v>
      </c>
      <c r="O27" s="186" t="s">
        <v>183</v>
      </c>
      <c r="P27" s="186">
        <v>270</v>
      </c>
      <c r="Q27" s="186" t="s">
        <v>184</v>
      </c>
      <c r="R27" s="186">
        <v>269</v>
      </c>
      <c r="U27" s="186" t="s">
        <v>183</v>
      </c>
      <c r="V27" s="186">
        <v>271</v>
      </c>
      <c r="W27" s="186" t="s">
        <v>184</v>
      </c>
      <c r="X27" s="186">
        <v>270</v>
      </c>
      <c r="AA27" s="186" t="s">
        <v>183</v>
      </c>
      <c r="AB27" s="186">
        <v>273</v>
      </c>
      <c r="AC27" s="186" t="s">
        <v>184</v>
      </c>
      <c r="AD27" s="186">
        <v>272</v>
      </c>
      <c r="AG27" s="186" t="s">
        <v>183</v>
      </c>
      <c r="AH27" s="186">
        <v>270</v>
      </c>
      <c r="AI27" s="186" t="s">
        <v>184</v>
      </c>
      <c r="AJ27" s="186">
        <v>269</v>
      </c>
    </row>
    <row r="28" spans="1:37" x14ac:dyDescent="0.25">
      <c r="C28" s="186" t="s">
        <v>185</v>
      </c>
      <c r="D28" s="186" t="s">
        <v>186</v>
      </c>
      <c r="E28" s="186" t="s">
        <v>187</v>
      </c>
      <c r="F28" s="186" t="s">
        <v>188</v>
      </c>
      <c r="G28" s="186" t="s">
        <v>189</v>
      </c>
      <c r="I28" s="186" t="s">
        <v>185</v>
      </c>
      <c r="J28" s="186" t="s">
        <v>186</v>
      </c>
      <c r="K28" s="186" t="s">
        <v>187</v>
      </c>
      <c r="L28" s="186" t="s">
        <v>188</v>
      </c>
      <c r="M28" s="186" t="s">
        <v>189</v>
      </c>
      <c r="O28" s="186" t="s">
        <v>185</v>
      </c>
      <c r="P28" s="186" t="s">
        <v>186</v>
      </c>
      <c r="Q28" s="186" t="s">
        <v>187</v>
      </c>
      <c r="R28" s="186" t="s">
        <v>188</v>
      </c>
      <c r="S28" s="186" t="s">
        <v>189</v>
      </c>
      <c r="U28" s="186" t="s">
        <v>185</v>
      </c>
      <c r="V28" s="186" t="s">
        <v>186</v>
      </c>
      <c r="W28" s="186" t="s">
        <v>187</v>
      </c>
      <c r="X28" s="186" t="s">
        <v>188</v>
      </c>
      <c r="Y28" s="186" t="s">
        <v>189</v>
      </c>
      <c r="AA28" s="186" t="s">
        <v>185</v>
      </c>
      <c r="AB28" s="186" t="s">
        <v>186</v>
      </c>
      <c r="AC28" s="186" t="s">
        <v>187</v>
      </c>
      <c r="AD28" s="186" t="s">
        <v>188</v>
      </c>
      <c r="AE28" s="186" t="s">
        <v>189</v>
      </c>
      <c r="AG28" s="186" t="s">
        <v>185</v>
      </c>
      <c r="AH28" s="186" t="s">
        <v>186</v>
      </c>
      <c r="AI28" s="186" t="s">
        <v>187</v>
      </c>
      <c r="AJ28" s="186" t="s">
        <v>188</v>
      </c>
      <c r="AK28" s="186" t="s">
        <v>189</v>
      </c>
    </row>
    <row r="30" spans="1:37" x14ac:dyDescent="0.25">
      <c r="A30" s="186" t="s">
        <v>190</v>
      </c>
      <c r="C30" s="187">
        <v>3.9157349999999999E-4</v>
      </c>
      <c r="D30" s="187">
        <v>6.852024E-3</v>
      </c>
      <c r="E30" s="187">
        <v>1.0939989999999999</v>
      </c>
      <c r="F30" s="187">
        <v>7.4842340000000002E-3</v>
      </c>
      <c r="G30" s="187">
        <v>1.2367820000000001E-6</v>
      </c>
      <c r="I30" s="187">
        <v>3.9199999999999999E-4</v>
      </c>
      <c r="J30" s="187">
        <v>6.8574830000000002E-3</v>
      </c>
      <c r="K30" s="187">
        <v>1.0940080000000001</v>
      </c>
      <c r="L30" s="187">
        <v>7.4902359999999999E-3</v>
      </c>
      <c r="M30" s="187">
        <v>1.2435710000000001E-6</v>
      </c>
      <c r="O30" s="187">
        <v>3.9182220000000002E-4</v>
      </c>
      <c r="P30" s="187">
        <v>6.855028E-3</v>
      </c>
      <c r="Q30" s="187">
        <v>1.0940909999999999</v>
      </c>
      <c r="R30" s="187">
        <v>7.4881740000000002E-3</v>
      </c>
      <c r="S30" s="187">
        <v>1.41088E-6</v>
      </c>
      <c r="U30" s="187">
        <v>3.9179340000000001E-4</v>
      </c>
      <c r="V30" s="187">
        <v>6.8553599999999996E-3</v>
      </c>
      <c r="W30" s="187">
        <v>1.094063</v>
      </c>
      <c r="X30" s="187">
        <v>7.4883600000000003E-3</v>
      </c>
      <c r="Y30" s="187">
        <v>1.3171629999999999E-6</v>
      </c>
      <c r="AA30" s="187">
        <v>3.9183879999999999E-4</v>
      </c>
      <c r="AB30" s="187">
        <v>6.8654129999999999E-3</v>
      </c>
      <c r="AC30" s="187">
        <v>1.0940240000000001</v>
      </c>
      <c r="AD30" s="187">
        <v>7.4991650000000003E-3</v>
      </c>
      <c r="AE30" s="187">
        <v>1.3838730000000001E-6</v>
      </c>
      <c r="AG30" s="187">
        <v>3.9174810000000001E-4</v>
      </c>
      <c r="AH30" s="187">
        <v>6.8638939999999997E-3</v>
      </c>
      <c r="AI30" s="187">
        <v>1.094049</v>
      </c>
      <c r="AJ30" s="187">
        <v>7.4976080000000002E-3</v>
      </c>
      <c r="AK30" s="187">
        <v>1.2888920000000001E-6</v>
      </c>
    </row>
    <row r="31" spans="1:37" x14ac:dyDescent="0.25">
      <c r="A31" s="186" t="s">
        <v>191</v>
      </c>
      <c r="C31" s="187">
        <v>4.637059E-4</v>
      </c>
      <c r="D31" s="187">
        <v>5.9503860000000002E-3</v>
      </c>
      <c r="E31" s="187">
        <v>1.0937889999999999</v>
      </c>
      <c r="F31" s="187">
        <v>6.4999849999999998E-3</v>
      </c>
      <c r="G31" s="187">
        <v>8.0240580000000001E-6</v>
      </c>
      <c r="I31" s="187">
        <v>4.6303700000000002E-4</v>
      </c>
      <c r="J31" s="187">
        <v>5.9842430000000002E-3</v>
      </c>
      <c r="K31" s="187">
        <v>1.0937159999999999</v>
      </c>
      <c r="L31" s="187">
        <v>6.5366010000000004E-3</v>
      </c>
      <c r="M31" s="187">
        <v>8.7776390000000005E-6</v>
      </c>
      <c r="O31" s="187">
        <v>4.639852E-4</v>
      </c>
      <c r="P31" s="187">
        <v>5.9459550000000002E-3</v>
      </c>
      <c r="Q31" s="187">
        <v>1.093823</v>
      </c>
      <c r="R31" s="187">
        <v>6.4954490000000004E-3</v>
      </c>
      <c r="S31" s="187">
        <v>8.9708200000000003E-6</v>
      </c>
      <c r="U31" s="187">
        <v>4.629225E-4</v>
      </c>
      <c r="V31" s="187">
        <v>5.982378E-3</v>
      </c>
      <c r="W31" s="187">
        <v>1.0937589999999999</v>
      </c>
      <c r="X31" s="187">
        <v>6.534822E-3</v>
      </c>
      <c r="Y31" s="187">
        <v>9.2802800000000002E-6</v>
      </c>
      <c r="AA31" s="187">
        <v>4.6405859999999998E-4</v>
      </c>
      <c r="AB31" s="187">
        <v>5.9481630000000002E-3</v>
      </c>
      <c r="AC31" s="187">
        <v>1.093755</v>
      </c>
      <c r="AD31" s="187">
        <v>6.4974459999999996E-3</v>
      </c>
      <c r="AE31" s="187">
        <v>9.2352950000000008E-6</v>
      </c>
      <c r="AG31" s="187">
        <v>4.6302220000000001E-4</v>
      </c>
      <c r="AH31" s="187">
        <v>5.9845810000000001E-3</v>
      </c>
      <c r="AI31" s="187">
        <v>1.093728</v>
      </c>
      <c r="AJ31" s="187">
        <v>6.5370530000000001E-3</v>
      </c>
      <c r="AK31" s="187">
        <v>8.9138519999999998E-6</v>
      </c>
    </row>
    <row r="32" spans="1:37" x14ac:dyDescent="0.25">
      <c r="A32" s="186" t="s">
        <v>192</v>
      </c>
      <c r="C32" s="187">
        <v>2.7055880000000001E-4</v>
      </c>
      <c r="D32" s="187">
        <v>5.9447149999999997E-3</v>
      </c>
      <c r="E32" s="187">
        <v>1.093785</v>
      </c>
      <c r="F32" s="187">
        <v>6.4940279999999998E-3</v>
      </c>
      <c r="G32" s="187">
        <v>1.9543300000000001E-6</v>
      </c>
      <c r="I32" s="187">
        <v>5.1922960000000005E-4</v>
      </c>
      <c r="J32" s="187">
        <v>5.5249510000000002E-3</v>
      </c>
      <c r="K32" s="187">
        <v>1.0943309999999999</v>
      </c>
      <c r="L32" s="187">
        <v>6.0401150000000004E-3</v>
      </c>
      <c r="M32" s="187">
        <v>2.4386619999999998E-6</v>
      </c>
      <c r="O32" s="187">
        <v>2.7084439999999998E-4</v>
      </c>
      <c r="P32" s="187">
        <v>5.9635249999999999E-3</v>
      </c>
      <c r="Q32" s="187">
        <v>1.0938019999999999</v>
      </c>
      <c r="R32" s="187">
        <v>6.5146680000000004E-3</v>
      </c>
      <c r="S32" s="187">
        <v>1.848808E-6</v>
      </c>
      <c r="U32" s="187">
        <v>5.1960150000000002E-4</v>
      </c>
      <c r="V32" s="187">
        <v>5.514059E-3</v>
      </c>
      <c r="W32" s="187">
        <v>1.0943989999999999</v>
      </c>
      <c r="X32" s="187">
        <v>6.0286430000000002E-3</v>
      </c>
      <c r="Y32" s="187">
        <v>2.3640510000000001E-6</v>
      </c>
      <c r="AA32" s="187">
        <v>2.7084249999999999E-4</v>
      </c>
      <c r="AB32" s="187">
        <v>5.9524169999999998E-3</v>
      </c>
      <c r="AC32" s="187">
        <v>1.093742</v>
      </c>
      <c r="AD32" s="187">
        <v>6.5022359999999998E-3</v>
      </c>
      <c r="AE32" s="187">
        <v>1.9118699999999999E-6</v>
      </c>
      <c r="AG32" s="187">
        <v>5.1964440000000001E-4</v>
      </c>
      <c r="AH32" s="187">
        <v>5.5168029999999998E-3</v>
      </c>
      <c r="AI32" s="187">
        <v>1.0943659999999999</v>
      </c>
      <c r="AJ32" s="187">
        <v>6.0314629999999999E-3</v>
      </c>
      <c r="AK32" s="187">
        <v>2.33756E-6</v>
      </c>
    </row>
    <row r="33" spans="1:37" x14ac:dyDescent="0.25">
      <c r="A33" s="186" t="s">
        <v>193</v>
      </c>
      <c r="C33" s="187">
        <v>7.6749999999999995E-5</v>
      </c>
      <c r="D33" s="187">
        <v>4.8626670000000002E-3</v>
      </c>
      <c r="E33" s="187">
        <v>1.095291</v>
      </c>
      <c r="F33" s="187">
        <v>5.323103E-3</v>
      </c>
      <c r="G33" s="187">
        <v>1.5641270000000001E-6</v>
      </c>
      <c r="I33" s="187">
        <v>7.6785190000000004E-5</v>
      </c>
      <c r="J33" s="187">
        <v>5.1573879999999997E-3</v>
      </c>
      <c r="K33" s="187">
        <v>1.094854</v>
      </c>
      <c r="L33" s="187">
        <v>5.6420460000000004E-3</v>
      </c>
      <c r="M33" s="187">
        <v>1.5917309999999999E-6</v>
      </c>
      <c r="O33" s="187">
        <v>7.6562960000000003E-5</v>
      </c>
      <c r="P33" s="187">
        <v>4.8792779999999999E-3</v>
      </c>
      <c r="Q33" s="187">
        <v>1.0953269999999999</v>
      </c>
      <c r="R33" s="187">
        <v>5.341424E-3</v>
      </c>
      <c r="S33" s="187">
        <v>1.3935990000000001E-6</v>
      </c>
      <c r="U33" s="187">
        <v>7.6870850000000006E-5</v>
      </c>
      <c r="V33" s="187">
        <v>5.1510849999999997E-3</v>
      </c>
      <c r="W33" s="187">
        <v>1.094905</v>
      </c>
      <c r="X33" s="187">
        <v>5.6354439999999999E-3</v>
      </c>
      <c r="Y33" s="187">
        <v>1.653817E-6</v>
      </c>
      <c r="AA33" s="187">
        <v>7.6791210000000005E-5</v>
      </c>
      <c r="AB33" s="187">
        <v>4.8502830000000004E-3</v>
      </c>
      <c r="AC33" s="187">
        <v>1.095267</v>
      </c>
      <c r="AD33" s="187">
        <v>5.3095449999999997E-3</v>
      </c>
      <c r="AE33" s="187">
        <v>1.5962949999999999E-6</v>
      </c>
      <c r="AG33" s="187">
        <v>7.6755560000000005E-5</v>
      </c>
      <c r="AH33" s="187">
        <v>5.1559079999999998E-3</v>
      </c>
      <c r="AI33" s="187">
        <v>1.094868</v>
      </c>
      <c r="AJ33" s="187">
        <v>5.6405429999999996E-3</v>
      </c>
      <c r="AK33" s="187">
        <v>1.568589E-6</v>
      </c>
    </row>
    <row r="34" spans="1:37" x14ac:dyDescent="0.25">
      <c r="A34" s="186" t="s">
        <v>194</v>
      </c>
      <c r="C34" s="187">
        <v>1.1644120000000001E-4</v>
      </c>
      <c r="D34" s="187">
        <v>6.3130110000000003E-3</v>
      </c>
      <c r="E34" s="187">
        <v>1.093234</v>
      </c>
      <c r="F34" s="187">
        <v>6.8944410000000003E-3</v>
      </c>
      <c r="G34" s="187">
        <v>8.796817E-6</v>
      </c>
      <c r="I34" s="187">
        <v>1.154296E-4</v>
      </c>
      <c r="J34" s="187">
        <v>6.2778590000000002E-3</v>
      </c>
      <c r="K34" s="187">
        <v>1.0932569999999999</v>
      </c>
      <c r="L34" s="187">
        <v>6.8557790000000002E-3</v>
      </c>
      <c r="M34" s="187">
        <v>2.1866130000000001E-6</v>
      </c>
      <c r="O34" s="187">
        <v>1.16037E-4</v>
      </c>
      <c r="P34" s="187">
        <v>6.2890330000000003E-3</v>
      </c>
      <c r="Q34" s="187">
        <v>1.0933040000000001</v>
      </c>
      <c r="R34" s="187">
        <v>6.868837E-3</v>
      </c>
      <c r="S34" s="187">
        <v>1.9102829999999999E-6</v>
      </c>
      <c r="U34" s="187">
        <v>1.152731E-4</v>
      </c>
      <c r="V34" s="187">
        <v>6.3249170000000002E-3</v>
      </c>
      <c r="W34" s="187">
        <v>1.093232</v>
      </c>
      <c r="X34" s="187">
        <v>6.9069730000000003E-3</v>
      </c>
      <c r="Y34" s="187">
        <v>2.2109100000000001E-6</v>
      </c>
      <c r="AA34" s="187">
        <v>1.157546E-4</v>
      </c>
      <c r="AB34" s="187">
        <v>6.3432610000000002E-3</v>
      </c>
      <c r="AC34" s="187">
        <v>1.0931649999999999</v>
      </c>
      <c r="AD34" s="187">
        <v>6.9271030000000004E-3</v>
      </c>
      <c r="AE34" s="187">
        <v>2.0656120000000001E-6</v>
      </c>
      <c r="AG34" s="187">
        <v>1.153407E-4</v>
      </c>
      <c r="AH34" s="187">
        <v>6.3254280000000001E-3</v>
      </c>
      <c r="AI34" s="187">
        <v>1.093208</v>
      </c>
      <c r="AJ34" s="187">
        <v>6.9074030000000003E-3</v>
      </c>
      <c r="AK34" s="187">
        <v>2.0914520000000002E-6</v>
      </c>
    </row>
    <row r="35" spans="1:37" x14ac:dyDescent="0.25">
      <c r="A35" s="186" t="s">
        <v>195</v>
      </c>
      <c r="C35" s="187">
        <v>3.7245589999999998E-4</v>
      </c>
      <c r="D35" s="187">
        <v>5.5988280000000001E-3</v>
      </c>
      <c r="E35" s="187">
        <v>1.0942719999999999</v>
      </c>
      <c r="F35" s="187">
        <v>6.1195670000000002E-3</v>
      </c>
      <c r="G35" s="187">
        <v>1.9584900000000001E-6</v>
      </c>
      <c r="I35" s="187">
        <v>3.725852E-4</v>
      </c>
      <c r="J35" s="187">
        <v>5.7097229999999999E-3</v>
      </c>
      <c r="K35" s="187">
        <v>1.094096</v>
      </c>
      <c r="L35" s="187">
        <v>6.2395849999999997E-3</v>
      </c>
      <c r="M35" s="187">
        <v>1.9601429999999998E-6</v>
      </c>
      <c r="O35" s="187">
        <v>3.7237780000000002E-4</v>
      </c>
      <c r="P35" s="187">
        <v>5.6022470000000003E-3</v>
      </c>
      <c r="Q35" s="187">
        <v>1.094309</v>
      </c>
      <c r="R35" s="187">
        <v>6.1235960000000002E-3</v>
      </c>
      <c r="S35" s="187">
        <v>1.9042769999999999E-6</v>
      </c>
      <c r="U35" s="187">
        <v>3.7235790000000001E-4</v>
      </c>
      <c r="V35" s="187">
        <v>5.7052090000000001E-3</v>
      </c>
      <c r="W35" s="187">
        <v>1.0941430000000001</v>
      </c>
      <c r="X35" s="187">
        <v>6.2350019999999999E-3</v>
      </c>
      <c r="Y35" s="187">
        <v>1.8976400000000001E-6</v>
      </c>
      <c r="AA35" s="187">
        <v>3.7233330000000002E-4</v>
      </c>
      <c r="AB35" s="187">
        <v>5.6013310000000002E-3</v>
      </c>
      <c r="AC35" s="187">
        <v>1.094233</v>
      </c>
      <c r="AD35" s="187">
        <v>6.1221909999999999E-3</v>
      </c>
      <c r="AE35" s="187">
        <v>1.8890809999999999E-6</v>
      </c>
      <c r="AG35" s="187">
        <v>3.7243699999999999E-4</v>
      </c>
      <c r="AH35" s="187">
        <v>5.7068700000000002E-3</v>
      </c>
      <c r="AI35" s="187">
        <v>1.0941099999999999</v>
      </c>
      <c r="AJ35" s="187">
        <v>6.2366119999999999E-3</v>
      </c>
      <c r="AK35" s="187">
        <v>1.9226969999999999E-6</v>
      </c>
    </row>
    <row r="36" spans="1:37" x14ac:dyDescent="0.25">
      <c r="A36" s="186" t="s">
        <v>196</v>
      </c>
      <c r="C36" s="187">
        <v>2.7123529999999998E-4</v>
      </c>
      <c r="D36" s="187">
        <v>5.6997139999999998E-3</v>
      </c>
      <c r="E36" s="187">
        <v>1.0941080000000001</v>
      </c>
      <c r="F36" s="187">
        <v>6.229086E-3</v>
      </c>
      <c r="G36" s="187">
        <v>1.6490419999999999E-6</v>
      </c>
      <c r="I36" s="187">
        <v>5.1931850000000001E-4</v>
      </c>
      <c r="J36" s="187">
        <v>5.4562450000000002E-3</v>
      </c>
      <c r="K36" s="187">
        <v>1.0944229999999999</v>
      </c>
      <c r="L36" s="187">
        <v>5.9660399999999997E-3</v>
      </c>
      <c r="M36" s="187">
        <v>1.7614279999999999E-6</v>
      </c>
      <c r="O36" s="187">
        <v>2.7139260000000001E-4</v>
      </c>
      <c r="P36" s="187">
        <v>5.7043190000000002E-3</v>
      </c>
      <c r="Q36" s="187">
        <v>1.094147</v>
      </c>
      <c r="R36" s="187">
        <v>6.2343759999999998E-3</v>
      </c>
      <c r="S36" s="187">
        <v>1.557313E-6</v>
      </c>
      <c r="U36" s="187">
        <v>5.1957200000000005E-4</v>
      </c>
      <c r="V36" s="187">
        <v>5.4583849999999996E-3</v>
      </c>
      <c r="W36" s="187">
        <v>1.0944739999999999</v>
      </c>
      <c r="X36" s="187">
        <v>5.9686849999999996E-3</v>
      </c>
      <c r="Y36" s="187">
        <v>1.331035E-6</v>
      </c>
      <c r="AA36" s="187">
        <v>2.7164840000000001E-4</v>
      </c>
      <c r="AB36" s="187">
        <v>5.7201420000000001E-3</v>
      </c>
      <c r="AC36" s="187">
        <v>1.0940540000000001</v>
      </c>
      <c r="AD36" s="187">
        <v>6.25108E-3</v>
      </c>
      <c r="AE36" s="187">
        <v>1.4529910000000001E-6</v>
      </c>
      <c r="AG36" s="187">
        <v>5.1958519999999999E-4</v>
      </c>
      <c r="AH36" s="187">
        <v>5.4609430000000002E-3</v>
      </c>
      <c r="AI36" s="187">
        <v>1.0944309999999999</v>
      </c>
      <c r="AJ36" s="187">
        <v>5.971245E-3</v>
      </c>
      <c r="AK36" s="187">
        <v>1.4854199999999999E-6</v>
      </c>
    </row>
    <row r="37" spans="1:37" x14ac:dyDescent="0.25">
      <c r="A37" s="186" t="s">
        <v>197</v>
      </c>
      <c r="C37" s="187">
        <v>7.4985289999999994E-5</v>
      </c>
      <c r="D37" s="187">
        <v>4.9178629999999997E-3</v>
      </c>
      <c r="E37" s="187">
        <v>1.0952109999999999</v>
      </c>
      <c r="F37" s="187">
        <v>5.382497E-3</v>
      </c>
      <c r="G37" s="187">
        <v>1.7436670000000001E-6</v>
      </c>
      <c r="I37" s="187">
        <v>7.4533329999999995E-5</v>
      </c>
      <c r="J37" s="187">
        <v>5.1342319999999999E-3</v>
      </c>
      <c r="K37" s="187">
        <v>1.0948880000000001</v>
      </c>
      <c r="L37" s="187">
        <v>5.6166849999999997E-3</v>
      </c>
      <c r="M37" s="187">
        <v>1.9311570000000001E-6</v>
      </c>
      <c r="O37" s="187">
        <v>7.4725929999999998E-5</v>
      </c>
      <c r="P37" s="187">
        <v>4.9412969999999999E-3</v>
      </c>
      <c r="Q37" s="187">
        <v>1.0952120000000001</v>
      </c>
      <c r="R37" s="187">
        <v>5.4080949999999999E-3</v>
      </c>
      <c r="S37" s="187">
        <v>1.8670680000000001E-6</v>
      </c>
      <c r="U37" s="187">
        <v>7.4597790000000005E-5</v>
      </c>
      <c r="V37" s="187">
        <v>5.1227679999999998E-3</v>
      </c>
      <c r="W37" s="187">
        <v>1.0949519999999999</v>
      </c>
      <c r="X37" s="187">
        <v>5.6044809999999997E-3</v>
      </c>
      <c r="Y37" s="187">
        <v>1.912104E-6</v>
      </c>
      <c r="AA37" s="187">
        <v>7.4402929999999994E-5</v>
      </c>
      <c r="AB37" s="187">
        <v>4.9351359999999997E-3</v>
      </c>
      <c r="AC37" s="187">
        <v>1.0951470000000001</v>
      </c>
      <c r="AD37" s="187">
        <v>5.401093E-3</v>
      </c>
      <c r="AE37" s="187">
        <v>1.962589E-6</v>
      </c>
      <c r="AG37" s="187">
        <v>7.4503699999999996E-5</v>
      </c>
      <c r="AH37" s="187">
        <v>5.1265549999999997E-3</v>
      </c>
      <c r="AI37" s="187">
        <v>1.0949169999999999</v>
      </c>
      <c r="AJ37" s="187">
        <v>5.60846E-3</v>
      </c>
      <c r="AK37" s="187">
        <v>1.9391260000000001E-6</v>
      </c>
    </row>
    <row r="38" spans="1:37" x14ac:dyDescent="0.25">
      <c r="A38" s="186" t="s">
        <v>198</v>
      </c>
      <c r="C38" s="187">
        <v>1.1867649999999999E-4</v>
      </c>
      <c r="D38" s="187">
        <v>6.5091669999999997E-3</v>
      </c>
      <c r="E38" s="187">
        <v>1.092973</v>
      </c>
      <c r="F38" s="187">
        <v>7.1062119999999998E-3</v>
      </c>
      <c r="G38" s="187">
        <v>2.3334010000000002E-6</v>
      </c>
      <c r="I38" s="187">
        <v>1.186E-4</v>
      </c>
      <c r="J38" s="187">
        <v>6.5023240000000003E-3</v>
      </c>
      <c r="K38" s="187">
        <v>1.092948</v>
      </c>
      <c r="L38" s="187">
        <v>7.0984100000000003E-3</v>
      </c>
      <c r="M38" s="187">
        <v>2.0521089999999998E-6</v>
      </c>
      <c r="O38" s="187">
        <v>1.1868889999999999E-4</v>
      </c>
      <c r="P38" s="187">
        <v>6.5383209999999997E-3</v>
      </c>
      <c r="Q38" s="187">
        <v>1.0929629999999999</v>
      </c>
      <c r="R38" s="187">
        <v>7.1379879999999996E-3</v>
      </c>
      <c r="S38" s="187">
        <v>2.311975E-6</v>
      </c>
      <c r="U38" s="187">
        <v>1.192583E-4</v>
      </c>
      <c r="V38" s="187">
        <v>6.5712260000000003E-3</v>
      </c>
      <c r="W38" s="187">
        <v>1.092919</v>
      </c>
      <c r="X38" s="187">
        <v>7.1733830000000002E-3</v>
      </c>
      <c r="Y38" s="187">
        <v>1.151777E-5</v>
      </c>
      <c r="AA38" s="187">
        <v>1.18978E-4</v>
      </c>
      <c r="AB38" s="187">
        <v>6.5181359999999999E-3</v>
      </c>
      <c r="AC38" s="187">
        <v>1.092911</v>
      </c>
      <c r="AD38" s="187">
        <v>7.1157319999999996E-3</v>
      </c>
      <c r="AE38" s="187">
        <v>2.4039399999999998E-6</v>
      </c>
      <c r="AG38" s="187">
        <v>1.197111E-4</v>
      </c>
      <c r="AH38" s="187">
        <v>6.5458790000000001E-3</v>
      </c>
      <c r="AI38" s="187">
        <v>1.09291</v>
      </c>
      <c r="AJ38" s="187">
        <v>7.1457300000000003E-3</v>
      </c>
      <c r="AK38" s="187">
        <v>1.9011979999999999E-5</v>
      </c>
    </row>
    <row r="39" spans="1:37" x14ac:dyDescent="0.25">
      <c r="A39" s="186" t="s">
        <v>199</v>
      </c>
      <c r="C39" s="187">
        <v>3.7205879999999998E-4</v>
      </c>
      <c r="D39" s="187">
        <v>5.6559389999999996E-3</v>
      </c>
      <c r="E39" s="187">
        <v>1.0941879999999999</v>
      </c>
      <c r="F39" s="187">
        <v>6.181448E-3</v>
      </c>
      <c r="G39" s="187">
        <v>1.8010439999999999E-6</v>
      </c>
      <c r="I39" s="187">
        <v>3.7185929999999999E-4</v>
      </c>
      <c r="J39" s="187">
        <v>5.7153669999999998E-3</v>
      </c>
      <c r="K39" s="187">
        <v>1.094085</v>
      </c>
      <c r="L39" s="187">
        <v>6.2457119999999996E-3</v>
      </c>
      <c r="M39" s="187">
        <v>1.6458260000000001E-6</v>
      </c>
      <c r="O39" s="187">
        <v>3.7206670000000002E-4</v>
      </c>
      <c r="P39" s="187">
        <v>5.6535270000000002E-3</v>
      </c>
      <c r="Q39" s="187">
        <v>1.0942289999999999</v>
      </c>
      <c r="R39" s="187">
        <v>6.1791499999999996E-3</v>
      </c>
      <c r="S39" s="187">
        <v>1.7721510000000001E-6</v>
      </c>
      <c r="U39" s="187">
        <v>3.7184129999999997E-4</v>
      </c>
      <c r="V39" s="187">
        <v>5.6978610000000002E-3</v>
      </c>
      <c r="W39" s="187">
        <v>1.0941540000000001</v>
      </c>
      <c r="X39" s="187">
        <v>6.2270240000000003E-3</v>
      </c>
      <c r="Y39" s="187">
        <v>1.669084E-6</v>
      </c>
      <c r="AA39" s="187">
        <v>3.7193769999999999E-4</v>
      </c>
      <c r="AB39" s="187">
        <v>5.6485349999999997E-3</v>
      </c>
      <c r="AC39" s="187">
        <v>1.094166</v>
      </c>
      <c r="AD39" s="187">
        <v>6.1733409999999997E-3</v>
      </c>
      <c r="AE39" s="187">
        <v>1.6976860000000001E-6</v>
      </c>
      <c r="AG39" s="187">
        <v>3.7169630000000002E-4</v>
      </c>
      <c r="AH39" s="187">
        <v>5.7049730000000003E-3</v>
      </c>
      <c r="AI39" s="187">
        <v>1.094106</v>
      </c>
      <c r="AJ39" s="187">
        <v>6.2345170000000002E-3</v>
      </c>
      <c r="AK39" s="187">
        <v>1.558162E-6</v>
      </c>
    </row>
    <row r="40" spans="1:37" x14ac:dyDescent="0.25">
      <c r="A40" s="186" t="s">
        <v>200</v>
      </c>
      <c r="C40" s="187">
        <v>2.7107349999999999E-4</v>
      </c>
      <c r="D40" s="187">
        <v>5.7308649999999999E-3</v>
      </c>
      <c r="E40" s="187">
        <v>1.094076</v>
      </c>
      <c r="F40" s="187">
        <v>6.2630339999999998E-3</v>
      </c>
      <c r="G40" s="187">
        <v>1.6905740000000001E-6</v>
      </c>
      <c r="I40" s="187">
        <v>5.189185E-4</v>
      </c>
      <c r="J40" s="187">
        <v>5.4603730000000001E-3</v>
      </c>
      <c r="K40" s="187">
        <v>1.094425</v>
      </c>
      <c r="L40" s="187">
        <v>5.9706469999999999E-3</v>
      </c>
      <c r="M40" s="187">
        <v>1.779904E-6</v>
      </c>
      <c r="O40" s="187">
        <v>2.7125929999999998E-4</v>
      </c>
      <c r="P40" s="187">
        <v>5.7303700000000003E-3</v>
      </c>
      <c r="Q40" s="187">
        <v>1.0941149999999999</v>
      </c>
      <c r="R40" s="187">
        <v>6.2627669999999998E-3</v>
      </c>
      <c r="S40" s="187">
        <v>1.556676E-6</v>
      </c>
      <c r="U40" s="187">
        <v>5.1914389999999999E-4</v>
      </c>
      <c r="V40" s="187">
        <v>5.4530799999999999E-3</v>
      </c>
      <c r="W40" s="187">
        <v>1.0944719999999999</v>
      </c>
      <c r="X40" s="187">
        <v>5.9629510000000002E-3</v>
      </c>
      <c r="Y40" s="187">
        <v>1.6436039999999999E-6</v>
      </c>
      <c r="AA40" s="187">
        <v>2.7122339999999999E-4</v>
      </c>
      <c r="AB40" s="187">
        <v>5.7120060000000004E-3</v>
      </c>
      <c r="AC40" s="187">
        <v>1.09406</v>
      </c>
      <c r="AD40" s="187">
        <v>6.2424000000000004E-3</v>
      </c>
      <c r="AE40" s="187">
        <v>1.585052E-6</v>
      </c>
      <c r="AG40" s="187">
        <v>5.192889E-4</v>
      </c>
      <c r="AH40" s="187">
        <v>5.4561610000000002E-3</v>
      </c>
      <c r="AI40" s="187">
        <v>1.094438</v>
      </c>
      <c r="AJ40" s="187">
        <v>5.9661130000000003E-3</v>
      </c>
      <c r="AK40" s="187">
        <v>1.532142E-6</v>
      </c>
    </row>
    <row r="41" spans="1:37" x14ac:dyDescent="0.25">
      <c r="A41" s="186" t="s">
        <v>201</v>
      </c>
      <c r="C41" s="187">
        <v>7.476471E-5</v>
      </c>
      <c r="D41" s="187">
        <v>5.1406380000000003E-3</v>
      </c>
      <c r="E41" s="187">
        <v>1.0948880000000001</v>
      </c>
      <c r="F41" s="187">
        <v>5.6240259999999999E-3</v>
      </c>
      <c r="G41" s="187">
        <v>1.851439E-6</v>
      </c>
      <c r="I41" s="187">
        <v>7.463704E-5</v>
      </c>
      <c r="J41" s="187">
        <v>4.9816330000000001E-3</v>
      </c>
      <c r="K41" s="187">
        <v>1.0950949999999999</v>
      </c>
      <c r="L41" s="187">
        <v>5.4510649999999997E-3</v>
      </c>
      <c r="M41" s="187">
        <v>1.899354E-6</v>
      </c>
      <c r="O41" s="187">
        <v>7.4711110000000004E-5</v>
      </c>
      <c r="P41" s="187">
        <v>5.1472230000000002E-3</v>
      </c>
      <c r="Q41" s="187">
        <v>1.0949249999999999</v>
      </c>
      <c r="R41" s="187">
        <v>5.6314190000000004E-3</v>
      </c>
      <c r="S41" s="187">
        <v>1.872782E-6</v>
      </c>
      <c r="U41" s="187">
        <v>7.4597790000000005E-5</v>
      </c>
      <c r="V41" s="187">
        <v>4.9614189999999999E-3</v>
      </c>
      <c r="W41" s="187">
        <v>1.0951630000000001</v>
      </c>
      <c r="X41" s="187">
        <v>5.4293589999999999E-3</v>
      </c>
      <c r="Y41" s="187">
        <v>1.912104E-6</v>
      </c>
      <c r="AA41" s="187">
        <v>7.4549449999999998E-5</v>
      </c>
      <c r="AB41" s="187">
        <v>5.1477190000000003E-3</v>
      </c>
      <c r="AC41" s="187">
        <v>1.0948530000000001</v>
      </c>
      <c r="AD41" s="187">
        <v>5.631573E-3</v>
      </c>
      <c r="AE41" s="187">
        <v>1.9265769999999999E-6</v>
      </c>
      <c r="AG41" s="187">
        <v>7.4562959999999995E-5</v>
      </c>
      <c r="AH41" s="187">
        <v>4.9669830000000003E-3</v>
      </c>
      <c r="AI41" s="187">
        <v>1.095124</v>
      </c>
      <c r="AJ41" s="187">
        <v>5.4352640000000004E-3</v>
      </c>
      <c r="AK41" s="187">
        <v>1.9226969999999999E-6</v>
      </c>
    </row>
    <row r="42" spans="1:37" x14ac:dyDescent="0.25">
      <c r="A42" s="186" t="s">
        <v>202</v>
      </c>
      <c r="C42" s="187">
        <v>1.179706E-4</v>
      </c>
      <c r="D42" s="187">
        <v>6.3342709999999998E-3</v>
      </c>
      <c r="E42" s="187">
        <v>1.093199</v>
      </c>
      <c r="F42" s="187">
        <v>6.9167459999999997E-3</v>
      </c>
      <c r="G42" s="187">
        <v>2.0327259999999999E-6</v>
      </c>
      <c r="I42" s="187">
        <v>1.198E-4</v>
      </c>
      <c r="J42" s="187">
        <v>6.6899760000000003E-3</v>
      </c>
      <c r="K42" s="187">
        <v>1.092697</v>
      </c>
      <c r="L42" s="187">
        <v>7.3012779999999996E-3</v>
      </c>
      <c r="M42" s="187">
        <v>2.3733339999999999E-6</v>
      </c>
      <c r="O42" s="187">
        <v>1.1784440000000001E-4</v>
      </c>
      <c r="P42" s="187">
        <v>6.3753150000000003E-3</v>
      </c>
      <c r="Q42" s="187">
        <v>1.0931850000000001</v>
      </c>
      <c r="R42" s="187">
        <v>6.9613840000000001E-3</v>
      </c>
      <c r="S42" s="187">
        <v>2.054523E-6</v>
      </c>
      <c r="U42" s="187">
        <v>1.198339E-4</v>
      </c>
      <c r="V42" s="187">
        <v>6.5854970000000001E-3</v>
      </c>
      <c r="W42" s="187">
        <v>1.092894</v>
      </c>
      <c r="X42" s="187">
        <v>7.1887440000000004E-3</v>
      </c>
      <c r="Y42" s="187">
        <v>2.3847720000000001E-6</v>
      </c>
      <c r="AA42" s="187">
        <v>1.181868E-4</v>
      </c>
      <c r="AB42" s="187">
        <v>6.369291E-3</v>
      </c>
      <c r="AC42" s="187">
        <v>1.0931249999999999</v>
      </c>
      <c r="AD42" s="187">
        <v>6.9545070000000004E-3</v>
      </c>
      <c r="AE42" s="187">
        <v>2.0717570000000001E-6</v>
      </c>
      <c r="AG42" s="187">
        <v>1.195185E-4</v>
      </c>
      <c r="AH42" s="187">
        <v>6.5963200000000001E-3</v>
      </c>
      <c r="AI42" s="187">
        <v>1.092841</v>
      </c>
      <c r="AJ42" s="187">
        <v>7.200227E-3</v>
      </c>
      <c r="AK42" s="187">
        <v>2.3766269999999999E-6</v>
      </c>
    </row>
    <row r="43" spans="1:37" x14ac:dyDescent="0.25">
      <c r="A43" s="186" t="s">
        <v>203</v>
      </c>
      <c r="C43" s="187">
        <v>1.4294120000000001E-4</v>
      </c>
      <c r="D43" s="187">
        <v>7.1602519999999998E-3</v>
      </c>
      <c r="E43" s="187">
        <v>1.0921350000000001</v>
      </c>
      <c r="F43" s="187">
        <v>7.8070550000000002E-3</v>
      </c>
      <c r="G43" s="187">
        <v>2.3876609999999998E-5</v>
      </c>
      <c r="I43" s="187">
        <v>1.5985930000000001E-4</v>
      </c>
      <c r="J43" s="187">
        <v>6.8079459999999996E-3</v>
      </c>
      <c r="K43" s="187">
        <v>1.0926020000000001</v>
      </c>
      <c r="L43" s="187">
        <v>7.4257020000000002E-3</v>
      </c>
      <c r="M43" s="187">
        <v>7.5290399999999997E-6</v>
      </c>
      <c r="O43" s="187">
        <v>1.409556E-4</v>
      </c>
      <c r="P43" s="187">
        <v>7.1843269999999999E-3</v>
      </c>
      <c r="Q43" s="187">
        <v>1.092147</v>
      </c>
      <c r="R43" s="187">
        <v>7.8334909999999997E-3</v>
      </c>
      <c r="S43" s="187">
        <v>2.3859519999999999E-5</v>
      </c>
      <c r="U43" s="187">
        <v>1.5945019999999999E-4</v>
      </c>
      <c r="V43" s="187">
        <v>6.7915500000000004E-3</v>
      </c>
      <c r="W43" s="187">
        <v>1.0926739999999999</v>
      </c>
      <c r="X43" s="187">
        <v>7.4084650000000004E-3</v>
      </c>
      <c r="Y43" s="187">
        <v>7.7758120000000005E-6</v>
      </c>
      <c r="AA43" s="187">
        <v>1.431832E-4</v>
      </c>
      <c r="AB43" s="187">
        <v>7.1240299999999999E-3</v>
      </c>
      <c r="AC43" s="187">
        <v>1.092168</v>
      </c>
      <c r="AD43" s="187">
        <v>7.7677809999999996E-3</v>
      </c>
      <c r="AE43" s="187">
        <v>2.3176659999999998E-5</v>
      </c>
      <c r="AG43" s="187">
        <v>1.5987409999999999E-4</v>
      </c>
      <c r="AH43" s="187">
        <v>6.7993419999999999E-3</v>
      </c>
      <c r="AI43" s="187">
        <v>1.0926260000000001</v>
      </c>
      <c r="AJ43" s="187">
        <v>7.4166270000000003E-3</v>
      </c>
      <c r="AK43" s="187">
        <v>7.5588689999999999E-6</v>
      </c>
    </row>
    <row r="44" spans="1:37" x14ac:dyDescent="0.25">
      <c r="A44" s="186" t="s">
        <v>204</v>
      </c>
      <c r="C44" s="187">
        <v>0</v>
      </c>
      <c r="D44" s="187">
        <v>5.5441789999999996E-7</v>
      </c>
      <c r="E44" s="187">
        <v>1.105073</v>
      </c>
      <c r="F44" s="187">
        <v>6.1267060000000005E-7</v>
      </c>
      <c r="G44" s="187">
        <v>0</v>
      </c>
      <c r="I44" s="187">
        <v>0</v>
      </c>
      <c r="J44" s="187">
        <v>5.5379650000000001E-7</v>
      </c>
      <c r="K44" s="187">
        <v>1.1050489999999999</v>
      </c>
      <c r="L44" s="187">
        <v>6.1197020000000003E-7</v>
      </c>
      <c r="M44" s="187">
        <v>0</v>
      </c>
      <c r="O44" s="187">
        <v>0</v>
      </c>
      <c r="P44" s="187">
        <v>5.5353790000000002E-7</v>
      </c>
      <c r="Q44" s="187">
        <v>1.105116</v>
      </c>
      <c r="R44" s="187">
        <v>6.1172169999999995E-7</v>
      </c>
      <c r="S44" s="187">
        <v>0</v>
      </c>
      <c r="U44" s="187">
        <v>0</v>
      </c>
      <c r="V44" s="187">
        <v>5.5349199999999996E-7</v>
      </c>
      <c r="W44" s="187">
        <v>1.1051</v>
      </c>
      <c r="X44" s="187">
        <v>6.1166200000000001E-7</v>
      </c>
      <c r="Y44" s="187">
        <v>0</v>
      </c>
      <c r="AA44" s="187">
        <v>0</v>
      </c>
      <c r="AB44" s="187">
        <v>5.5358399999999996E-7</v>
      </c>
      <c r="AC44" s="187">
        <v>1.1050489999999999</v>
      </c>
      <c r="AD44" s="187">
        <v>6.1173530000000005E-7</v>
      </c>
      <c r="AE44" s="187">
        <v>0</v>
      </c>
      <c r="AG44" s="187">
        <v>0</v>
      </c>
      <c r="AH44" s="187">
        <v>5.5409980000000003E-7</v>
      </c>
      <c r="AI44" s="187">
        <v>1.1050679999999999</v>
      </c>
      <c r="AJ44" s="187">
        <v>6.1231599999999996E-7</v>
      </c>
      <c r="AK44" s="187">
        <v>0</v>
      </c>
    </row>
    <row r="46" spans="1:37" x14ac:dyDescent="0.25">
      <c r="A46" s="186" t="s">
        <v>218</v>
      </c>
    </row>
    <row r="48" spans="1:37" x14ac:dyDescent="0.25">
      <c r="F48" s="186">
        <v>-10</v>
      </c>
      <c r="G48" s="186">
        <v>0</v>
      </c>
      <c r="H48" s="186">
        <v>4</v>
      </c>
    </row>
    <row r="49" spans="1:8" x14ac:dyDescent="0.25">
      <c r="C49" s="186" t="s">
        <v>209</v>
      </c>
      <c r="F49" s="186" t="s">
        <v>219</v>
      </c>
      <c r="G49" s="186" t="s">
        <v>219</v>
      </c>
      <c r="H49" s="186" t="s">
        <v>219</v>
      </c>
    </row>
    <row r="50" spans="1:8" x14ac:dyDescent="0.25">
      <c r="A50" s="186" t="s">
        <v>190</v>
      </c>
      <c r="C50" s="187">
        <v>3.9179470000000002E-4</v>
      </c>
      <c r="F50" s="187">
        <v>1.2209009999999999E-2</v>
      </c>
      <c r="G50" s="187">
        <v>1.221792E-2</v>
      </c>
      <c r="H50" s="187">
        <v>1.195441E-2</v>
      </c>
    </row>
    <row r="51" spans="1:8" x14ac:dyDescent="0.25">
      <c r="A51" s="186" t="s">
        <v>191</v>
      </c>
      <c r="C51" s="187">
        <v>4.6330770000000001E-4</v>
      </c>
      <c r="F51" s="187">
        <v>9.1719920000000003E-3</v>
      </c>
      <c r="G51" s="187">
        <v>9.1165440000000007E-3</v>
      </c>
      <c r="H51" s="187">
        <v>1.064821E-2</v>
      </c>
    </row>
    <row r="52" spans="1:8" x14ac:dyDescent="0.25">
      <c r="A52" s="186" t="s">
        <v>192</v>
      </c>
      <c r="F52" s="187">
        <v>1.21967E-2</v>
      </c>
      <c r="G52" s="187">
        <v>1.533995E-2</v>
      </c>
      <c r="H52" s="187">
        <v>1.8638640000000001E-2</v>
      </c>
    </row>
    <row r="53" spans="1:8" x14ac:dyDescent="0.25">
      <c r="A53" s="186" t="s">
        <v>193</v>
      </c>
      <c r="C53" s="187">
        <v>7.6784260000000007E-5</v>
      </c>
      <c r="F53" s="187">
        <v>8.7823559999999998E-3</v>
      </c>
      <c r="G53" s="187">
        <v>8.8154389999999996E-3</v>
      </c>
      <c r="H53" s="187">
        <v>9.0627999999999993E-3</v>
      </c>
    </row>
    <row r="54" spans="1:8" x14ac:dyDescent="0.25">
      <c r="A54" s="186" t="s">
        <v>194</v>
      </c>
      <c r="C54" s="187">
        <v>1.157446E-4</v>
      </c>
      <c r="F54" s="187">
        <v>1.462171E-2</v>
      </c>
      <c r="G54" s="187">
        <v>1.459095E-2</v>
      </c>
      <c r="H54" s="187">
        <v>1.6438729999999999E-2</v>
      </c>
    </row>
    <row r="55" spans="1:8" x14ac:dyDescent="0.25">
      <c r="A55" s="186" t="s">
        <v>195</v>
      </c>
      <c r="C55" s="187">
        <v>3.7243230000000001E-4</v>
      </c>
      <c r="F55" s="187">
        <v>8.8701449999999994E-3</v>
      </c>
      <c r="G55" s="187">
        <v>8.8288399999999993E-3</v>
      </c>
      <c r="H55" s="187">
        <v>8.8736860000000004E-3</v>
      </c>
    </row>
    <row r="56" spans="1:8" x14ac:dyDescent="0.25">
      <c r="A56" s="186" t="s">
        <v>196</v>
      </c>
      <c r="F56" s="187">
        <v>1.197753E-2</v>
      </c>
      <c r="G56" s="187">
        <v>1.4995939999999999E-2</v>
      </c>
      <c r="H56" s="187">
        <v>1.817529E-2</v>
      </c>
    </row>
    <row r="57" spans="1:8" x14ac:dyDescent="0.25">
      <c r="A57" s="186" t="s">
        <v>197</v>
      </c>
      <c r="C57" s="187">
        <v>7.4617199999999994E-5</v>
      </c>
      <c r="F57" s="187">
        <v>8.6551990000000006E-3</v>
      </c>
      <c r="G57" s="187">
        <v>8.7817510000000008E-3</v>
      </c>
      <c r="H57" s="187">
        <v>8.9315929999999998E-3</v>
      </c>
    </row>
    <row r="58" spans="1:8" x14ac:dyDescent="0.25">
      <c r="A58" s="186" t="s">
        <v>198</v>
      </c>
      <c r="C58" s="187">
        <v>1.190944E-4</v>
      </c>
      <c r="F58" s="187">
        <v>1.4776070000000001E-2</v>
      </c>
      <c r="G58" s="187">
        <v>1.4798469999999999E-2</v>
      </c>
      <c r="H58" s="187">
        <v>1.67139E-2</v>
      </c>
    </row>
    <row r="59" spans="1:8" x14ac:dyDescent="0.25">
      <c r="A59" s="186" t="s">
        <v>199</v>
      </c>
      <c r="C59" s="187">
        <v>3.719072E-4</v>
      </c>
      <c r="F59" s="187">
        <v>8.8621499999999992E-3</v>
      </c>
      <c r="G59" s="187">
        <v>8.8489880000000003E-3</v>
      </c>
      <c r="H59" s="187">
        <v>8.9207890000000001E-3</v>
      </c>
    </row>
    <row r="60" spans="1:8" x14ac:dyDescent="0.25">
      <c r="A60" s="186" t="s">
        <v>200</v>
      </c>
      <c r="F60" s="187">
        <v>1.199851E-2</v>
      </c>
      <c r="G60" s="187">
        <v>1.490143E-2</v>
      </c>
      <c r="H60" s="187">
        <v>1.8468160000000001E-2</v>
      </c>
    </row>
    <row r="61" spans="1:8" x14ac:dyDescent="0.25">
      <c r="A61" s="186" t="s">
        <v>201</v>
      </c>
      <c r="C61" s="187">
        <v>7.4614800000000003E-5</v>
      </c>
      <c r="F61" s="187">
        <v>8.7186950000000003E-3</v>
      </c>
      <c r="G61" s="187">
        <v>8.8100620000000004E-3</v>
      </c>
      <c r="H61" s="187">
        <v>8.9547259999999997E-3</v>
      </c>
    </row>
    <row r="62" spans="1:8" x14ac:dyDescent="0.25">
      <c r="A62" s="186" t="s">
        <v>202</v>
      </c>
      <c r="C62" s="187">
        <v>1.188602E-4</v>
      </c>
      <c r="F62" s="187">
        <v>1.4799380000000001E-2</v>
      </c>
      <c r="G62" s="187">
        <v>1.475974E-2</v>
      </c>
      <c r="H62" s="187">
        <v>1.6535689999999999E-2</v>
      </c>
    </row>
    <row r="63" spans="1:8" x14ac:dyDescent="0.25">
      <c r="A63" s="186" t="s">
        <v>203</v>
      </c>
      <c r="C63" s="187">
        <v>1.5052650000000001E-4</v>
      </c>
      <c r="F63" s="187">
        <v>1.0056219999999999E-2</v>
      </c>
      <c r="G63" s="187">
        <v>1.001201E-2</v>
      </c>
      <c r="H63" s="187">
        <v>1.008249E-2</v>
      </c>
    </row>
    <row r="64" spans="1:8" x14ac:dyDescent="0.25">
      <c r="A64" s="186" t="s">
        <v>204</v>
      </c>
      <c r="F64" s="187">
        <v>6.7681719999999995E-7</v>
      </c>
      <c r="G64" s="187">
        <v>6.7883119999999996E-7</v>
      </c>
      <c r="H64" s="187">
        <v>6.7802330000000004E-7</v>
      </c>
    </row>
    <row r="66" spans="1:4" x14ac:dyDescent="0.25">
      <c r="A66" s="186" t="s">
        <v>220</v>
      </c>
    </row>
    <row r="68" spans="1:4" x14ac:dyDescent="0.25">
      <c r="B68" s="186" t="s">
        <v>221</v>
      </c>
      <c r="C68" s="186" t="s">
        <v>222</v>
      </c>
    </row>
    <row r="69" spans="1:4" x14ac:dyDescent="0.25">
      <c r="B69" s="186">
        <v>6</v>
      </c>
      <c r="C69" s="187">
        <v>2.71136E-4</v>
      </c>
    </row>
    <row r="70" spans="1:4" x14ac:dyDescent="0.25">
      <c r="B70" s="186">
        <v>37</v>
      </c>
      <c r="C70" s="187">
        <v>5.1937520000000005E-4</v>
      </c>
    </row>
    <row r="72" spans="1:4" x14ac:dyDescent="0.25">
      <c r="B72" s="186" t="s">
        <v>223</v>
      </c>
    </row>
    <row r="73" spans="1:4" x14ac:dyDescent="0.25">
      <c r="B73" s="186" t="s">
        <v>224</v>
      </c>
      <c r="C73" s="187">
        <v>223.25559999999999</v>
      </c>
      <c r="D73" s="186" t="s">
        <v>225</v>
      </c>
    </row>
    <row r="74" spans="1:4" x14ac:dyDescent="0.25">
      <c r="B74" s="186" t="s">
        <v>226</v>
      </c>
      <c r="C74" s="187">
        <v>8</v>
      </c>
      <c r="D74" s="186"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7A99-C9C3-4956-BD63-B010325799AC}">
  <dimension ref="A2:AK50"/>
  <sheetViews>
    <sheetView zoomScale="85" zoomScaleNormal="85" workbookViewId="0">
      <selection activeCell="D14" sqref="D14"/>
    </sheetView>
  </sheetViews>
  <sheetFormatPr defaultRowHeight="15" x14ac:dyDescent="0.25"/>
  <cols>
    <col min="1" max="16384" width="9.140625" style="186"/>
  </cols>
  <sheetData>
    <row r="2" spans="1:37" x14ac:dyDescent="0.25">
      <c r="A2" s="186" t="s">
        <v>180</v>
      </c>
    </row>
    <row r="4" spans="1:37" x14ac:dyDescent="0.25">
      <c r="C4" s="186" t="s">
        <v>181</v>
      </c>
      <c r="D4" s="186">
        <v>-10</v>
      </c>
      <c r="E4" s="186" t="s">
        <v>182</v>
      </c>
      <c r="F4" s="186">
        <v>0</v>
      </c>
      <c r="I4" s="186" t="s">
        <v>181</v>
      </c>
      <c r="J4" s="186">
        <v>-10</v>
      </c>
      <c r="K4" s="186" t="s">
        <v>182</v>
      </c>
      <c r="L4" s="186">
        <v>64</v>
      </c>
      <c r="O4" s="186" t="s">
        <v>181</v>
      </c>
      <c r="P4" s="186">
        <v>0</v>
      </c>
      <c r="Q4" s="186" t="s">
        <v>182</v>
      </c>
      <c r="R4" s="186">
        <v>0</v>
      </c>
      <c r="U4" s="186" t="s">
        <v>181</v>
      </c>
      <c r="V4" s="186">
        <v>0</v>
      </c>
      <c r="W4" s="186" t="s">
        <v>182</v>
      </c>
      <c r="X4" s="186">
        <v>64</v>
      </c>
      <c r="AA4" s="186" t="s">
        <v>181</v>
      </c>
      <c r="AB4" s="186">
        <v>4</v>
      </c>
      <c r="AC4" s="186" t="s">
        <v>182</v>
      </c>
      <c r="AD4" s="186">
        <v>0</v>
      </c>
      <c r="AG4" s="186" t="s">
        <v>181</v>
      </c>
      <c r="AH4" s="186">
        <v>4</v>
      </c>
      <c r="AI4" s="186" t="s">
        <v>182</v>
      </c>
      <c r="AJ4" s="186">
        <v>64</v>
      </c>
    </row>
    <row r="5" spans="1:37" x14ac:dyDescent="0.25">
      <c r="C5" s="186" t="s">
        <v>183</v>
      </c>
      <c r="D5" s="186">
        <v>199</v>
      </c>
      <c r="E5" s="186" t="s">
        <v>184</v>
      </c>
      <c r="F5" s="186">
        <v>198</v>
      </c>
      <c r="I5" s="186" t="s">
        <v>183</v>
      </c>
      <c r="J5" s="186">
        <v>200</v>
      </c>
      <c r="K5" s="186" t="s">
        <v>184</v>
      </c>
      <c r="L5" s="186">
        <v>199</v>
      </c>
      <c r="O5" s="186" t="s">
        <v>183</v>
      </c>
      <c r="P5" s="186">
        <v>200</v>
      </c>
      <c r="Q5" s="186" t="s">
        <v>184</v>
      </c>
      <c r="R5" s="186">
        <v>199</v>
      </c>
      <c r="U5" s="186" t="s">
        <v>183</v>
      </c>
      <c r="V5" s="186">
        <v>199</v>
      </c>
      <c r="W5" s="186" t="s">
        <v>184</v>
      </c>
      <c r="X5" s="186">
        <v>198</v>
      </c>
      <c r="AA5" s="186" t="s">
        <v>183</v>
      </c>
      <c r="AB5" s="186">
        <v>199</v>
      </c>
      <c r="AC5" s="186" t="s">
        <v>184</v>
      </c>
      <c r="AD5" s="186">
        <v>198</v>
      </c>
      <c r="AG5" s="186" t="s">
        <v>183</v>
      </c>
      <c r="AH5" s="186">
        <v>199</v>
      </c>
      <c r="AI5" s="186" t="s">
        <v>184</v>
      </c>
      <c r="AJ5" s="186">
        <v>198</v>
      </c>
    </row>
    <row r="6" spans="1:37" x14ac:dyDescent="0.25">
      <c r="C6" s="186" t="s">
        <v>185</v>
      </c>
      <c r="D6" s="186" t="s">
        <v>186</v>
      </c>
      <c r="E6" s="186" t="s">
        <v>187</v>
      </c>
      <c r="F6" s="186" t="s">
        <v>188</v>
      </c>
      <c r="G6" s="186" t="s">
        <v>189</v>
      </c>
      <c r="I6" s="186" t="s">
        <v>185</v>
      </c>
      <c r="J6" s="186" t="s">
        <v>186</v>
      </c>
      <c r="K6" s="186" t="s">
        <v>187</v>
      </c>
      <c r="L6" s="186" t="s">
        <v>188</v>
      </c>
      <c r="M6" s="186" t="s">
        <v>189</v>
      </c>
      <c r="O6" s="186" t="s">
        <v>185</v>
      </c>
      <c r="P6" s="186" t="s">
        <v>186</v>
      </c>
      <c r="Q6" s="186" t="s">
        <v>187</v>
      </c>
      <c r="R6" s="186" t="s">
        <v>188</v>
      </c>
      <c r="S6" s="186" t="s">
        <v>189</v>
      </c>
      <c r="U6" s="186" t="s">
        <v>185</v>
      </c>
      <c r="V6" s="186" t="s">
        <v>186</v>
      </c>
      <c r="W6" s="186" t="s">
        <v>187</v>
      </c>
      <c r="X6" s="186" t="s">
        <v>188</v>
      </c>
      <c r="Y6" s="186" t="s">
        <v>189</v>
      </c>
      <c r="AA6" s="186" t="s">
        <v>185</v>
      </c>
      <c r="AB6" s="186" t="s">
        <v>186</v>
      </c>
      <c r="AC6" s="186" t="s">
        <v>187</v>
      </c>
      <c r="AD6" s="186" t="s">
        <v>188</v>
      </c>
      <c r="AE6" s="186" t="s">
        <v>189</v>
      </c>
      <c r="AG6" s="186" t="s">
        <v>185</v>
      </c>
      <c r="AH6" s="186" t="s">
        <v>186</v>
      </c>
      <c r="AI6" s="186" t="s">
        <v>187</v>
      </c>
      <c r="AJ6" s="186" t="s">
        <v>188</v>
      </c>
      <c r="AK6" s="186" t="s">
        <v>189</v>
      </c>
    </row>
    <row r="8" spans="1:37" x14ac:dyDescent="0.25">
      <c r="A8" s="186" t="s">
        <v>190</v>
      </c>
      <c r="C8" s="187">
        <v>3.9195979999999999E-4</v>
      </c>
      <c r="D8" s="187">
        <v>3.7078620000000001E-3</v>
      </c>
      <c r="E8" s="187">
        <v>1.398611</v>
      </c>
      <c r="F8" s="187">
        <v>5.0511219999999999E-3</v>
      </c>
      <c r="G8" s="187">
        <v>1.556476E-6</v>
      </c>
      <c r="I8" s="187">
        <v>3.9194000000000002E-4</v>
      </c>
      <c r="J8" s="187">
        <v>3.6941180000000001E-3</v>
      </c>
      <c r="K8" s="187">
        <v>1.398479</v>
      </c>
      <c r="L8" s="187">
        <v>5.0333239999999996E-3</v>
      </c>
      <c r="M8" s="187">
        <v>1.096546E-6</v>
      </c>
      <c r="O8" s="187">
        <v>3.9172000000000002E-4</v>
      </c>
      <c r="P8" s="187">
        <v>3.8070869999999998E-3</v>
      </c>
      <c r="Q8" s="187">
        <v>1.3987400000000001</v>
      </c>
      <c r="R8" s="187">
        <v>5.1902739999999999E-3</v>
      </c>
      <c r="S8" s="187">
        <v>1.3604609999999999E-6</v>
      </c>
      <c r="U8" s="187">
        <v>3.9183920000000001E-4</v>
      </c>
      <c r="V8" s="187">
        <v>3.8108479999999999E-3</v>
      </c>
      <c r="W8" s="187">
        <v>1.398649</v>
      </c>
      <c r="X8" s="187">
        <v>5.1964969999999996E-3</v>
      </c>
      <c r="Y8" s="187">
        <v>1.261021E-6</v>
      </c>
      <c r="AA8" s="187">
        <v>3.9169850000000001E-4</v>
      </c>
      <c r="AB8" s="187">
        <v>3.6575359999999999E-3</v>
      </c>
      <c r="AC8" s="187">
        <v>1.3978200000000001</v>
      </c>
      <c r="AD8" s="187">
        <v>4.9931560000000003E-3</v>
      </c>
      <c r="AE8" s="187">
        <v>1.388825E-6</v>
      </c>
      <c r="AG8" s="187">
        <v>3.9161810000000002E-4</v>
      </c>
      <c r="AH8" s="187">
        <v>3.6399959999999999E-3</v>
      </c>
      <c r="AI8" s="187">
        <v>1.3977269999999999</v>
      </c>
      <c r="AJ8" s="187">
        <v>4.9702599999999998E-3</v>
      </c>
      <c r="AK8" s="187">
        <v>1.3084320000000001E-6</v>
      </c>
    </row>
    <row r="9" spans="1:37" x14ac:dyDescent="0.25">
      <c r="A9" s="186" t="s">
        <v>191</v>
      </c>
      <c r="C9" s="187">
        <v>3.6912559999999997E-4</v>
      </c>
      <c r="D9" s="187">
        <v>2.0245480000000001E-3</v>
      </c>
      <c r="E9" s="187">
        <v>1.3965080000000001</v>
      </c>
      <c r="F9" s="187">
        <v>2.8255120000000001E-3</v>
      </c>
      <c r="G9" s="187">
        <v>9.1948220000000006E-6</v>
      </c>
      <c r="I9" s="187">
        <v>3.7052E-4</v>
      </c>
      <c r="J9" s="187">
        <v>1.8620010000000001E-3</v>
      </c>
      <c r="K9" s="187">
        <v>1.3795539999999999</v>
      </c>
      <c r="L9" s="187">
        <v>2.5687449999999999E-3</v>
      </c>
      <c r="M9" s="187">
        <v>9.1029620000000001E-6</v>
      </c>
      <c r="O9" s="187">
        <v>3.6984000000000002E-4</v>
      </c>
      <c r="P9" s="187">
        <v>1.9500769999999999E-3</v>
      </c>
      <c r="Q9" s="187">
        <v>1.398865</v>
      </c>
      <c r="R9" s="187">
        <v>2.7261830000000001E-3</v>
      </c>
      <c r="S9" s="187">
        <v>9.3343479999999994E-6</v>
      </c>
      <c r="U9" s="187">
        <v>3.704523E-4</v>
      </c>
      <c r="V9" s="187">
        <v>1.977173E-3</v>
      </c>
      <c r="W9" s="187">
        <v>1.398693</v>
      </c>
      <c r="X9" s="187">
        <v>2.7636689999999998E-3</v>
      </c>
      <c r="Y9" s="187">
        <v>9.2428780000000007E-6</v>
      </c>
      <c r="AA9" s="187">
        <v>3.6900499999999999E-4</v>
      </c>
      <c r="AB9" s="187">
        <v>1.950874E-3</v>
      </c>
      <c r="AC9" s="187">
        <v>1.3964650000000001</v>
      </c>
      <c r="AD9" s="187">
        <v>2.722917E-3</v>
      </c>
      <c r="AE9" s="187">
        <v>9.1118180000000007E-6</v>
      </c>
      <c r="AG9" s="187">
        <v>3.7057289999999998E-4</v>
      </c>
      <c r="AH9" s="187">
        <v>1.9638419999999999E-3</v>
      </c>
      <c r="AI9" s="187">
        <v>1.3959999999999999</v>
      </c>
      <c r="AJ9" s="187">
        <v>2.7401449999999998E-3</v>
      </c>
      <c r="AK9" s="187">
        <v>9.086202E-6</v>
      </c>
    </row>
    <row r="10" spans="1:37" x14ac:dyDescent="0.25">
      <c r="A10" s="186" t="s">
        <v>194</v>
      </c>
      <c r="C10" s="187">
        <v>1.8288939999999999E-4</v>
      </c>
      <c r="D10" s="187">
        <v>5.1502980000000002E-3</v>
      </c>
      <c r="E10" s="187">
        <v>1.394544</v>
      </c>
      <c r="F10" s="187">
        <v>7.1801299999999998E-3</v>
      </c>
      <c r="G10" s="187">
        <v>2.0019790000000001E-6</v>
      </c>
      <c r="I10" s="187">
        <v>1.8275999999999999E-4</v>
      </c>
      <c r="J10" s="187">
        <v>5.4396260000000004E-3</v>
      </c>
      <c r="K10" s="187">
        <v>1.393918</v>
      </c>
      <c r="L10" s="187">
        <v>7.5855599999999999E-3</v>
      </c>
      <c r="M10" s="187">
        <v>1.9905299999999998E-6</v>
      </c>
      <c r="O10" s="187">
        <v>1.8284E-4</v>
      </c>
      <c r="P10" s="187">
        <v>5.137829E-3</v>
      </c>
      <c r="Q10" s="187">
        <v>1.394663</v>
      </c>
      <c r="R10" s="187">
        <v>7.1631769999999997E-3</v>
      </c>
      <c r="S10" s="187">
        <v>1.998592E-6</v>
      </c>
      <c r="U10" s="187">
        <v>1.8260800000000001E-4</v>
      </c>
      <c r="V10" s="187">
        <v>5.1383660000000001E-3</v>
      </c>
      <c r="W10" s="187">
        <v>1.3946190000000001</v>
      </c>
      <c r="X10" s="187">
        <v>7.1636870000000002E-3</v>
      </c>
      <c r="Y10" s="187">
        <v>1.9661620000000001E-6</v>
      </c>
      <c r="AA10" s="187">
        <v>1.826482E-4</v>
      </c>
      <c r="AB10" s="187">
        <v>5.1731709999999998E-3</v>
      </c>
      <c r="AC10" s="187">
        <v>1.3945000000000001</v>
      </c>
      <c r="AD10" s="187">
        <v>7.212141E-3</v>
      </c>
      <c r="AE10" s="187">
        <v>1.973789E-6</v>
      </c>
      <c r="AG10" s="187">
        <v>1.826482E-4</v>
      </c>
      <c r="AH10" s="187">
        <v>5.1765639999999998E-3</v>
      </c>
      <c r="AI10" s="187">
        <v>1.394517</v>
      </c>
      <c r="AJ10" s="187">
        <v>7.2170209999999997E-3</v>
      </c>
      <c r="AK10" s="187">
        <v>2.0143139999999999E-6</v>
      </c>
    </row>
    <row r="11" spans="1:37" x14ac:dyDescent="0.25">
      <c r="A11" s="186" t="s">
        <v>195</v>
      </c>
      <c r="C11" s="187">
        <v>3.7814069999999999E-5</v>
      </c>
      <c r="D11" s="187">
        <v>2.2682560000000002E-3</v>
      </c>
      <c r="E11" s="187">
        <v>1.3989959999999999</v>
      </c>
      <c r="F11" s="187">
        <v>3.173038E-3</v>
      </c>
      <c r="G11" s="187">
        <v>1.831432E-6</v>
      </c>
      <c r="I11" s="187">
        <v>3.9180000000000001E-5</v>
      </c>
      <c r="J11" s="187">
        <v>2.3027299999999998E-3</v>
      </c>
      <c r="K11" s="187">
        <v>1.398936</v>
      </c>
      <c r="L11" s="187">
        <v>3.2211039999999998E-3</v>
      </c>
      <c r="M11" s="187">
        <v>8.3129730000000004E-7</v>
      </c>
      <c r="O11" s="187">
        <v>3.7299999999999999E-5</v>
      </c>
      <c r="P11" s="187">
        <v>2.2860480000000002E-3</v>
      </c>
      <c r="Q11" s="187">
        <v>1.399044</v>
      </c>
      <c r="R11" s="187">
        <v>3.1980099999999998E-3</v>
      </c>
      <c r="S11" s="187">
        <v>1.9823340000000002E-6</v>
      </c>
      <c r="U11" s="187">
        <v>3.8778890000000002E-5</v>
      </c>
      <c r="V11" s="187">
        <v>2.3265740000000001E-3</v>
      </c>
      <c r="W11" s="187">
        <v>1.3989320000000001</v>
      </c>
      <c r="X11" s="187">
        <v>3.2543910000000001E-3</v>
      </c>
      <c r="Y11" s="187">
        <v>9.1638109999999997E-7</v>
      </c>
      <c r="AA11" s="187">
        <v>3.7532659999999998E-5</v>
      </c>
      <c r="AB11" s="187">
        <v>1.6513779999999999E-2</v>
      </c>
      <c r="AC11" s="187">
        <v>1.405948</v>
      </c>
      <c r="AD11" s="187">
        <v>2.280892E-2</v>
      </c>
      <c r="AE11" s="187">
        <v>1.932625E-6</v>
      </c>
      <c r="AG11" s="187">
        <v>3.8899500000000003E-5</v>
      </c>
      <c r="AH11" s="187">
        <v>1.5998950000000001E-2</v>
      </c>
      <c r="AI11" s="187">
        <v>1.4060459999999999</v>
      </c>
      <c r="AJ11" s="187">
        <v>2.209815E-2</v>
      </c>
      <c r="AK11" s="187">
        <v>6.2760549999999997E-7</v>
      </c>
    </row>
    <row r="12" spans="1:37" x14ac:dyDescent="0.25">
      <c r="A12" s="186" t="s">
        <v>192</v>
      </c>
      <c r="C12" s="187">
        <v>1.9666329999999999E-4</v>
      </c>
      <c r="D12" s="187">
        <v>4.258904E-3</v>
      </c>
      <c r="E12" s="187">
        <v>1.3958299999999999</v>
      </c>
      <c r="F12" s="187">
        <v>5.9443669999999999E-3</v>
      </c>
      <c r="G12" s="187">
        <v>1.491461E-6</v>
      </c>
      <c r="I12" s="187">
        <v>7.0717999999999996E-4</v>
      </c>
      <c r="J12" s="187">
        <v>4.4936289999999999E-3</v>
      </c>
      <c r="K12" s="187">
        <v>1.3955109999999999</v>
      </c>
      <c r="L12" s="187">
        <v>6.2707889999999997E-3</v>
      </c>
      <c r="M12" s="187">
        <v>1.618859E-6</v>
      </c>
      <c r="O12" s="187">
        <v>1.9731999999999999E-4</v>
      </c>
      <c r="P12" s="187">
        <v>6.300422E-3</v>
      </c>
      <c r="Q12" s="187">
        <v>1.3930469999999999</v>
      </c>
      <c r="R12" s="187">
        <v>8.7735729999999998E-3</v>
      </c>
      <c r="S12" s="187">
        <v>1.885571E-6</v>
      </c>
      <c r="U12" s="187">
        <v>7.0763819999999998E-4</v>
      </c>
      <c r="V12" s="187">
        <v>7.0531630000000003E-3</v>
      </c>
      <c r="W12" s="187">
        <v>1.3919649999999999</v>
      </c>
      <c r="X12" s="187">
        <v>9.8166060000000003E-3</v>
      </c>
      <c r="Y12" s="187">
        <v>1.150208E-6</v>
      </c>
      <c r="AA12" s="187">
        <v>1.971256E-4</v>
      </c>
      <c r="AB12" s="187">
        <v>8.1912949999999995E-3</v>
      </c>
      <c r="AC12" s="187">
        <v>1.390272</v>
      </c>
      <c r="AD12" s="187">
        <v>1.137088E-2</v>
      </c>
      <c r="AE12" s="187">
        <v>1.803279E-6</v>
      </c>
      <c r="AG12" s="187">
        <v>7.0757790000000001E-4</v>
      </c>
      <c r="AH12" s="187">
        <v>9.7943019999999995E-3</v>
      </c>
      <c r="AI12" s="187">
        <v>1.388128</v>
      </c>
      <c r="AJ12" s="187">
        <v>1.358999E-2</v>
      </c>
      <c r="AK12" s="187">
        <v>1.2320279999999999E-6</v>
      </c>
    </row>
    <row r="13" spans="1:37" x14ac:dyDescent="0.25">
      <c r="A13" s="186" t="s">
        <v>203</v>
      </c>
      <c r="C13" s="187">
        <v>1.2463320000000001E-4</v>
      </c>
      <c r="D13" s="187">
        <v>1.8586410000000001E-3</v>
      </c>
      <c r="E13" s="187">
        <v>1.399694</v>
      </c>
      <c r="F13" s="187">
        <v>2.6008120000000001E-3</v>
      </c>
      <c r="G13" s="187">
        <v>8.8295359999999992E-6</v>
      </c>
      <c r="I13" s="187">
        <v>1.2339999999999999E-4</v>
      </c>
      <c r="J13" s="187">
        <v>1.8592859999999999E-3</v>
      </c>
      <c r="K13" s="187">
        <v>1.3997170000000001</v>
      </c>
      <c r="L13" s="187">
        <v>2.6017520000000001E-3</v>
      </c>
      <c r="M13" s="187">
        <v>1.534724E-5</v>
      </c>
      <c r="O13" s="187">
        <v>1.2397999999999999E-4</v>
      </c>
      <c r="P13" s="187">
        <v>1.904998E-3</v>
      </c>
      <c r="Q13" s="187">
        <v>1.399729</v>
      </c>
      <c r="R13" s="187">
        <v>2.6656700000000002E-3</v>
      </c>
      <c r="S13" s="187">
        <v>8.8038140000000003E-6</v>
      </c>
      <c r="U13" s="187">
        <v>1.2973870000000001E-4</v>
      </c>
      <c r="V13" s="187">
        <v>1.9174389999999999E-3</v>
      </c>
      <c r="W13" s="187">
        <v>1.399678</v>
      </c>
      <c r="X13" s="187">
        <v>2.6830090000000001E-3</v>
      </c>
      <c r="Y13" s="187">
        <v>9.8807059999999999E-6</v>
      </c>
      <c r="AA13" s="187">
        <v>1.2511560000000001E-4</v>
      </c>
      <c r="AB13" s="187">
        <v>1.9686510000000001E-3</v>
      </c>
      <c r="AC13" s="187">
        <v>1.3995569999999999</v>
      </c>
      <c r="AD13" s="187">
        <v>2.7542669999999999E-3</v>
      </c>
      <c r="AE13" s="187">
        <v>8.7167379999999997E-6</v>
      </c>
      <c r="AG13" s="187">
        <v>1.289548E-4</v>
      </c>
      <c r="AH13" s="187">
        <v>1.9749860000000002E-3</v>
      </c>
      <c r="AI13" s="187">
        <v>1.3995679999999999</v>
      </c>
      <c r="AJ13" s="187">
        <v>2.7631790000000002E-3</v>
      </c>
      <c r="AK13" s="187">
        <v>1.120754E-5</v>
      </c>
    </row>
    <row r="14" spans="1:37" x14ac:dyDescent="0.25">
      <c r="A14" s="186" t="s">
        <v>204</v>
      </c>
      <c r="C14" s="187">
        <v>0</v>
      </c>
      <c r="D14" s="187">
        <v>4.1923430000000002E-8</v>
      </c>
      <c r="E14" s="187">
        <v>1.403985</v>
      </c>
      <c r="F14" s="187">
        <v>5.8857830000000002E-8</v>
      </c>
      <c r="G14" s="187">
        <v>0</v>
      </c>
      <c r="I14" s="187">
        <v>0</v>
      </c>
      <c r="J14" s="187">
        <v>4.5802359999999998E-8</v>
      </c>
      <c r="K14" s="187">
        <v>1.4040269999999999</v>
      </c>
      <c r="L14" s="187">
        <v>6.4305689999999994E-8</v>
      </c>
      <c r="M14" s="187">
        <v>0</v>
      </c>
      <c r="O14" s="187">
        <v>0</v>
      </c>
      <c r="P14" s="187">
        <v>4.4169410000000002E-8</v>
      </c>
      <c r="Q14" s="187">
        <v>1.4040809999999999</v>
      </c>
      <c r="R14" s="187">
        <v>6.2015380000000005E-8</v>
      </c>
      <c r="S14" s="187">
        <v>0</v>
      </c>
      <c r="U14" s="187">
        <v>0</v>
      </c>
      <c r="V14" s="187">
        <v>4.6351040000000002E-8</v>
      </c>
      <c r="W14" s="187">
        <v>1.404067</v>
      </c>
      <c r="X14" s="187">
        <v>6.5077860000000004E-8</v>
      </c>
      <c r="Y14" s="187">
        <v>0</v>
      </c>
      <c r="AA14" s="187">
        <v>0</v>
      </c>
      <c r="AB14" s="187">
        <v>4.2020859999999998E-8</v>
      </c>
      <c r="AC14" s="187">
        <v>1.4039889999999999</v>
      </c>
      <c r="AD14" s="187">
        <v>5.8994769999999999E-8</v>
      </c>
      <c r="AE14" s="187">
        <v>0</v>
      </c>
      <c r="AG14" s="187">
        <v>0</v>
      </c>
      <c r="AH14" s="187">
        <v>4.6029770000000002E-8</v>
      </c>
      <c r="AI14" s="187">
        <v>1.4040319999999999</v>
      </c>
      <c r="AJ14" s="187">
        <v>6.4625210000000005E-8</v>
      </c>
      <c r="AK14" s="187">
        <v>0</v>
      </c>
    </row>
    <row r="16" spans="1:37" x14ac:dyDescent="0.25">
      <c r="A16" s="186" t="s">
        <v>205</v>
      </c>
    </row>
    <row r="18" spans="1:37" x14ac:dyDescent="0.25">
      <c r="C18" s="186" t="s">
        <v>181</v>
      </c>
      <c r="D18" s="186">
        <v>-10</v>
      </c>
      <c r="E18" s="186" t="s">
        <v>182</v>
      </c>
      <c r="F18" s="186">
        <v>0</v>
      </c>
      <c r="I18" s="186" t="s">
        <v>181</v>
      </c>
      <c r="J18" s="186">
        <v>-10</v>
      </c>
      <c r="K18" s="186" t="s">
        <v>182</v>
      </c>
      <c r="L18" s="186">
        <v>64</v>
      </c>
      <c r="O18" s="186" t="s">
        <v>181</v>
      </c>
      <c r="P18" s="186">
        <v>0</v>
      </c>
      <c r="Q18" s="186" t="s">
        <v>182</v>
      </c>
      <c r="R18" s="186">
        <v>0</v>
      </c>
      <c r="U18" s="186" t="s">
        <v>181</v>
      </c>
      <c r="V18" s="186">
        <v>0</v>
      </c>
      <c r="W18" s="186" t="s">
        <v>182</v>
      </c>
      <c r="X18" s="186">
        <v>64</v>
      </c>
      <c r="AA18" s="186" t="s">
        <v>181</v>
      </c>
      <c r="AB18" s="186">
        <v>4</v>
      </c>
      <c r="AC18" s="186" t="s">
        <v>182</v>
      </c>
      <c r="AD18" s="186">
        <v>0</v>
      </c>
      <c r="AG18" s="186" t="s">
        <v>181</v>
      </c>
      <c r="AH18" s="186">
        <v>4</v>
      </c>
      <c r="AI18" s="186" t="s">
        <v>182</v>
      </c>
      <c r="AJ18" s="186">
        <v>64</v>
      </c>
    </row>
    <row r="19" spans="1:37" x14ac:dyDescent="0.25">
      <c r="C19" s="186" t="s">
        <v>183</v>
      </c>
      <c r="D19" s="186">
        <v>199</v>
      </c>
      <c r="E19" s="186" t="s">
        <v>184</v>
      </c>
      <c r="F19" s="186">
        <v>198</v>
      </c>
      <c r="I19" s="186" t="s">
        <v>183</v>
      </c>
      <c r="J19" s="186">
        <v>200</v>
      </c>
      <c r="K19" s="186" t="s">
        <v>184</v>
      </c>
      <c r="L19" s="186">
        <v>199</v>
      </c>
      <c r="O19" s="186" t="s">
        <v>183</v>
      </c>
      <c r="P19" s="186">
        <v>199</v>
      </c>
      <c r="Q19" s="186" t="s">
        <v>184</v>
      </c>
      <c r="R19" s="186">
        <v>198</v>
      </c>
      <c r="U19" s="186" t="s">
        <v>183</v>
      </c>
      <c r="V19" s="186">
        <v>200</v>
      </c>
      <c r="W19" s="186" t="s">
        <v>184</v>
      </c>
      <c r="X19" s="186">
        <v>199</v>
      </c>
      <c r="AA19" s="186" t="s">
        <v>183</v>
      </c>
      <c r="AB19" s="186">
        <v>200</v>
      </c>
      <c r="AC19" s="186" t="s">
        <v>184</v>
      </c>
      <c r="AD19" s="186">
        <v>199</v>
      </c>
      <c r="AG19" s="186" t="s">
        <v>183</v>
      </c>
      <c r="AH19" s="186">
        <v>200</v>
      </c>
      <c r="AI19" s="186" t="s">
        <v>184</v>
      </c>
      <c r="AJ19" s="186">
        <v>199</v>
      </c>
    </row>
    <row r="20" spans="1:37" x14ac:dyDescent="0.25">
      <c r="C20" s="186" t="s">
        <v>185</v>
      </c>
      <c r="D20" s="186" t="s">
        <v>186</v>
      </c>
      <c r="E20" s="186" t="s">
        <v>187</v>
      </c>
      <c r="F20" s="186" t="s">
        <v>188</v>
      </c>
      <c r="G20" s="186" t="s">
        <v>189</v>
      </c>
      <c r="I20" s="186" t="s">
        <v>185</v>
      </c>
      <c r="J20" s="186" t="s">
        <v>186</v>
      </c>
      <c r="K20" s="186" t="s">
        <v>187</v>
      </c>
      <c r="L20" s="186" t="s">
        <v>188</v>
      </c>
      <c r="M20" s="186" t="s">
        <v>189</v>
      </c>
      <c r="O20" s="186" t="s">
        <v>185</v>
      </c>
      <c r="P20" s="186" t="s">
        <v>186</v>
      </c>
      <c r="Q20" s="186" t="s">
        <v>187</v>
      </c>
      <c r="R20" s="186" t="s">
        <v>188</v>
      </c>
      <c r="S20" s="186" t="s">
        <v>189</v>
      </c>
      <c r="U20" s="186" t="s">
        <v>185</v>
      </c>
      <c r="V20" s="186" t="s">
        <v>186</v>
      </c>
      <c r="W20" s="186" t="s">
        <v>187</v>
      </c>
      <c r="X20" s="186" t="s">
        <v>188</v>
      </c>
      <c r="Y20" s="186" t="s">
        <v>189</v>
      </c>
      <c r="AA20" s="186" t="s">
        <v>185</v>
      </c>
      <c r="AB20" s="186" t="s">
        <v>186</v>
      </c>
      <c r="AC20" s="186" t="s">
        <v>187</v>
      </c>
      <c r="AD20" s="186" t="s">
        <v>188</v>
      </c>
      <c r="AE20" s="186" t="s">
        <v>189</v>
      </c>
      <c r="AG20" s="186" t="s">
        <v>185</v>
      </c>
      <c r="AH20" s="186" t="s">
        <v>186</v>
      </c>
      <c r="AI20" s="186" t="s">
        <v>187</v>
      </c>
      <c r="AJ20" s="186" t="s">
        <v>188</v>
      </c>
      <c r="AK20" s="186" t="s">
        <v>189</v>
      </c>
    </row>
    <row r="22" spans="1:37" x14ac:dyDescent="0.25">
      <c r="A22" s="186" t="s">
        <v>190</v>
      </c>
      <c r="C22" s="187">
        <v>3.9167839999999999E-4</v>
      </c>
      <c r="D22" s="187">
        <v>6.8660570000000001E-3</v>
      </c>
      <c r="E22" s="187">
        <v>1.0939380000000001</v>
      </c>
      <c r="F22" s="187">
        <v>7.4990819999999998E-3</v>
      </c>
      <c r="G22" s="187">
        <v>1.3547839999999999E-6</v>
      </c>
      <c r="I22" s="187">
        <v>3.9176E-4</v>
      </c>
      <c r="J22" s="187">
        <v>6.8624100000000002E-3</v>
      </c>
      <c r="K22" s="187">
        <v>1.0939190000000001</v>
      </c>
      <c r="L22" s="187">
        <v>7.4949220000000002E-3</v>
      </c>
      <c r="M22" s="187">
        <v>1.4810019999999999E-6</v>
      </c>
      <c r="O22" s="187">
        <v>3.9169850000000001E-4</v>
      </c>
      <c r="P22" s="187">
        <v>6.8590889999999996E-3</v>
      </c>
      <c r="Q22" s="187">
        <v>1.094004</v>
      </c>
      <c r="R22" s="187">
        <v>7.4920459999999996E-3</v>
      </c>
      <c r="S22" s="187">
        <v>1.20166E-6</v>
      </c>
      <c r="U22" s="187">
        <v>3.9169999999999998E-4</v>
      </c>
      <c r="V22" s="187">
        <v>6.8607759999999999E-3</v>
      </c>
      <c r="W22" s="187">
        <v>1.0939810000000001</v>
      </c>
      <c r="X22" s="187">
        <v>7.49367E-3</v>
      </c>
      <c r="Y22" s="187">
        <v>1.2641159999999999E-6</v>
      </c>
      <c r="AA22" s="187">
        <v>3.9159999999999998E-4</v>
      </c>
      <c r="AB22" s="187">
        <v>6.8808330000000003E-3</v>
      </c>
      <c r="AC22" s="187">
        <v>1.0939190000000001</v>
      </c>
      <c r="AD22" s="187">
        <v>7.515341E-3</v>
      </c>
      <c r="AE22" s="187">
        <v>1.329979E-6</v>
      </c>
      <c r="AG22" s="187">
        <v>3.9166E-4</v>
      </c>
      <c r="AH22" s="187">
        <v>6.8695259999999999E-3</v>
      </c>
      <c r="AI22" s="187">
        <v>1.0939190000000001</v>
      </c>
      <c r="AJ22" s="187">
        <v>7.5029149999999998E-3</v>
      </c>
      <c r="AK22" s="187">
        <v>1.2538979999999999E-6</v>
      </c>
    </row>
    <row r="23" spans="1:37" x14ac:dyDescent="0.25">
      <c r="A23" s="186" t="s">
        <v>191</v>
      </c>
      <c r="C23" s="187">
        <v>3.6934670000000002E-4</v>
      </c>
      <c r="D23" s="187">
        <v>6.0746519999999998E-3</v>
      </c>
      <c r="E23" s="187">
        <v>1.0934999999999999</v>
      </c>
      <c r="F23" s="187">
        <v>6.633641E-3</v>
      </c>
      <c r="G23" s="187">
        <v>9.3439000000000004E-6</v>
      </c>
      <c r="I23" s="187">
        <v>3.7060000000000001E-4</v>
      </c>
      <c r="J23" s="187">
        <v>6.0721839999999996E-3</v>
      </c>
      <c r="K23" s="187">
        <v>1.093491</v>
      </c>
      <c r="L23" s="187">
        <v>6.6308729999999998E-3</v>
      </c>
      <c r="M23" s="187">
        <v>9.1508849999999997E-6</v>
      </c>
      <c r="O23" s="187">
        <v>3.688241E-4</v>
      </c>
      <c r="P23" s="187">
        <v>6.0684809999999997E-3</v>
      </c>
      <c r="Q23" s="187">
        <v>1.0935299999999999</v>
      </c>
      <c r="R23" s="187">
        <v>6.6271000000000004E-3</v>
      </c>
      <c r="S23" s="187">
        <v>9.2487630000000007E-6</v>
      </c>
      <c r="U23" s="187">
        <v>3.7063999999999999E-4</v>
      </c>
      <c r="V23" s="187">
        <v>6.0604400000000003E-3</v>
      </c>
      <c r="W23" s="187">
        <v>1.093553</v>
      </c>
      <c r="X23" s="187">
        <v>6.6184779999999997E-3</v>
      </c>
      <c r="Y23" s="187">
        <v>9.3738869999999996E-6</v>
      </c>
      <c r="AA23" s="187">
        <v>3.6887999999999998E-4</v>
      </c>
      <c r="AB23" s="187">
        <v>6.0788719999999999E-3</v>
      </c>
      <c r="AC23" s="187">
        <v>1.093467</v>
      </c>
      <c r="AD23" s="187">
        <v>6.638059E-3</v>
      </c>
      <c r="AE23" s="187">
        <v>9.1632650000000001E-6</v>
      </c>
      <c r="AG23" s="187">
        <v>3.7048000000000002E-4</v>
      </c>
      <c r="AH23" s="187">
        <v>6.0662570000000002E-3</v>
      </c>
      <c r="AI23" s="187">
        <v>1.0934710000000001</v>
      </c>
      <c r="AJ23" s="187">
        <v>6.624329E-3</v>
      </c>
      <c r="AK23" s="187">
        <v>9.2279670000000001E-6</v>
      </c>
    </row>
    <row r="24" spans="1:37" x14ac:dyDescent="0.25">
      <c r="A24" s="186" t="s">
        <v>194</v>
      </c>
      <c r="C24" s="187">
        <v>1.8290949999999999E-4</v>
      </c>
      <c r="D24" s="187">
        <v>6.2356549999999997E-3</v>
      </c>
      <c r="E24" s="187">
        <v>1.0932470000000001</v>
      </c>
      <c r="F24" s="187">
        <v>6.809921E-3</v>
      </c>
      <c r="G24" s="187">
        <v>2.0029930000000002E-6</v>
      </c>
      <c r="I24" s="187">
        <v>1.8259999999999999E-4</v>
      </c>
      <c r="J24" s="187">
        <v>6.226143E-3</v>
      </c>
      <c r="K24" s="187">
        <v>1.0932409999999999</v>
      </c>
      <c r="L24" s="187">
        <v>6.7995110000000003E-3</v>
      </c>
      <c r="M24" s="187">
        <v>1.964509E-6</v>
      </c>
      <c r="O24" s="187">
        <v>1.830503E-4</v>
      </c>
      <c r="P24" s="187">
        <v>6.2498249999999997E-3</v>
      </c>
      <c r="Q24" s="187">
        <v>1.0932329999999999</v>
      </c>
      <c r="R24" s="187">
        <v>6.8252979999999996E-3</v>
      </c>
      <c r="S24" s="187">
        <v>2.0044109999999999E-6</v>
      </c>
      <c r="U24" s="187">
        <v>1.8242000000000001E-4</v>
      </c>
      <c r="V24" s="187">
        <v>6.2423210000000003E-3</v>
      </c>
      <c r="W24" s="187">
        <v>1.093256</v>
      </c>
      <c r="X24" s="187">
        <v>6.8172609999999998E-3</v>
      </c>
      <c r="Y24" s="187">
        <v>1.918856E-6</v>
      </c>
      <c r="AA24" s="187">
        <v>1.8291999999999999E-4</v>
      </c>
      <c r="AB24" s="187">
        <v>6.250261E-3</v>
      </c>
      <c r="AC24" s="187">
        <v>1.0931789999999999</v>
      </c>
      <c r="AD24" s="187">
        <v>6.825439E-3</v>
      </c>
      <c r="AE24" s="187">
        <v>2.0034140000000001E-6</v>
      </c>
      <c r="AG24" s="187">
        <v>1.8252000000000001E-4</v>
      </c>
      <c r="AH24" s="187">
        <v>6.2459949999999998E-3</v>
      </c>
      <c r="AI24" s="187">
        <v>1.093183</v>
      </c>
      <c r="AJ24" s="187">
        <v>6.8208230000000002E-3</v>
      </c>
      <c r="AK24" s="187">
        <v>1.9464180000000002E-6</v>
      </c>
    </row>
    <row r="25" spans="1:37" x14ac:dyDescent="0.25">
      <c r="A25" s="186" t="s">
        <v>195</v>
      </c>
      <c r="C25" s="187">
        <v>3.7834170000000002E-5</v>
      </c>
      <c r="D25" s="187">
        <v>1.011188E-2</v>
      </c>
      <c r="E25" s="187">
        <v>1.0880259999999999</v>
      </c>
      <c r="F25" s="187">
        <v>1.0993930000000001E-2</v>
      </c>
      <c r="G25" s="187">
        <v>1.822319E-6</v>
      </c>
      <c r="I25" s="187">
        <v>3.9280000000000003E-5</v>
      </c>
      <c r="J25" s="187">
        <v>1.0080449999999999E-2</v>
      </c>
      <c r="K25" s="187">
        <v>1.08806</v>
      </c>
      <c r="L25" s="187">
        <v>1.096053E-2</v>
      </c>
      <c r="M25" s="187">
        <v>1.0231490000000001E-6</v>
      </c>
      <c r="O25" s="187">
        <v>3.7331659999999998E-5</v>
      </c>
      <c r="P25" s="187">
        <v>1.00835E-2</v>
      </c>
      <c r="Q25" s="187">
        <v>1.0881080000000001</v>
      </c>
      <c r="R25" s="187">
        <v>1.0963769999999999E-2</v>
      </c>
      <c r="S25" s="187">
        <v>1.9772829999999999E-6</v>
      </c>
      <c r="U25" s="187">
        <v>3.8760000000000002E-5</v>
      </c>
      <c r="V25" s="187">
        <v>1.0042840000000001E-2</v>
      </c>
      <c r="W25" s="187">
        <v>1.0881540000000001</v>
      </c>
      <c r="X25" s="187">
        <v>1.092043E-2</v>
      </c>
      <c r="Y25" s="187">
        <v>9.5233119999999996E-7</v>
      </c>
      <c r="AA25" s="187">
        <v>3.748E-5</v>
      </c>
      <c r="AB25" s="187">
        <v>1.0097139999999999E-2</v>
      </c>
      <c r="AC25" s="187">
        <v>1.0880540000000001</v>
      </c>
      <c r="AD25" s="187">
        <v>1.097834E-2</v>
      </c>
      <c r="AE25" s="187">
        <v>1.9464180000000002E-6</v>
      </c>
      <c r="AG25" s="187">
        <v>3.8899999999999997E-5</v>
      </c>
      <c r="AH25" s="187">
        <v>1.003396E-2</v>
      </c>
      <c r="AI25" s="187">
        <v>1.08809</v>
      </c>
      <c r="AJ25" s="187">
        <v>1.091028E-2</v>
      </c>
      <c r="AK25" s="187">
        <v>6.2606690000000002E-7</v>
      </c>
    </row>
    <row r="26" spans="1:37" x14ac:dyDescent="0.25">
      <c r="A26" s="186" t="s">
        <v>192</v>
      </c>
      <c r="C26" s="187">
        <v>1.9668339999999999E-4</v>
      </c>
      <c r="D26" s="187">
        <v>5.7731220000000003E-3</v>
      </c>
      <c r="E26" s="187">
        <v>1.093923</v>
      </c>
      <c r="F26" s="187">
        <v>6.3077799999999998E-3</v>
      </c>
      <c r="G26" s="187">
        <v>1.5093230000000001E-6</v>
      </c>
      <c r="I26" s="187">
        <v>7.0711999999999999E-4</v>
      </c>
      <c r="J26" s="187">
        <v>5.41582E-3</v>
      </c>
      <c r="K26" s="187">
        <v>1.0943940000000001</v>
      </c>
      <c r="L26" s="187">
        <v>5.9217230000000003E-3</v>
      </c>
      <c r="M26" s="187">
        <v>1.661143E-6</v>
      </c>
      <c r="O26" s="187">
        <v>1.974271E-4</v>
      </c>
      <c r="P26" s="187">
        <v>5.7739339999999997E-3</v>
      </c>
      <c r="Q26" s="187">
        <v>1.0939239999999999</v>
      </c>
      <c r="R26" s="187">
        <v>6.3086599999999998E-3</v>
      </c>
      <c r="S26" s="187">
        <v>1.9626480000000001E-6</v>
      </c>
      <c r="U26" s="187">
        <v>7.0766000000000004E-4</v>
      </c>
      <c r="V26" s="187">
        <v>5.4192989999999998E-3</v>
      </c>
      <c r="W26" s="187">
        <v>1.094425</v>
      </c>
      <c r="X26" s="187">
        <v>5.9257240000000003E-3</v>
      </c>
      <c r="Y26" s="187">
        <v>1.118326E-6</v>
      </c>
      <c r="AA26" s="187">
        <v>1.9708E-4</v>
      </c>
      <c r="AB26" s="187">
        <v>5.7831280000000002E-3</v>
      </c>
      <c r="AC26" s="187">
        <v>1.093853</v>
      </c>
      <c r="AD26" s="187">
        <v>6.3183040000000003E-3</v>
      </c>
      <c r="AE26" s="187">
        <v>1.780294E-6</v>
      </c>
      <c r="AG26" s="187">
        <v>7.0753999999999999E-4</v>
      </c>
      <c r="AH26" s="187">
        <v>5.4178450000000001E-3</v>
      </c>
      <c r="AI26" s="187">
        <v>1.0943510000000001</v>
      </c>
      <c r="AJ26" s="187">
        <v>5.9237580000000003E-3</v>
      </c>
      <c r="AK26" s="187">
        <v>1.2792899999999999E-6</v>
      </c>
    </row>
    <row r="27" spans="1:37" x14ac:dyDescent="0.25">
      <c r="A27" s="186" t="s">
        <v>203</v>
      </c>
      <c r="C27" s="187">
        <v>1.2461309999999999E-4</v>
      </c>
      <c r="D27" s="187">
        <v>8.9446319999999992E-3</v>
      </c>
      <c r="E27" s="187">
        <v>1.089607</v>
      </c>
      <c r="F27" s="187">
        <v>9.7313680000000007E-3</v>
      </c>
      <c r="G27" s="187">
        <v>8.9129360000000008E-6</v>
      </c>
      <c r="I27" s="187">
        <v>1.2621999999999999E-4</v>
      </c>
      <c r="J27" s="187">
        <v>8.6013640000000002E-3</v>
      </c>
      <c r="K27" s="187">
        <v>1.090063</v>
      </c>
      <c r="L27" s="187">
        <v>9.3615220000000006E-3</v>
      </c>
      <c r="M27" s="187">
        <v>1.4553720000000001E-5</v>
      </c>
      <c r="O27" s="187">
        <v>1.2457289999999999E-4</v>
      </c>
      <c r="P27" s="187">
        <v>8.930459E-3</v>
      </c>
      <c r="Q27" s="187">
        <v>1.08965</v>
      </c>
      <c r="R27" s="187">
        <v>9.7163040000000003E-3</v>
      </c>
      <c r="S27" s="187">
        <v>8.6487849999999999E-6</v>
      </c>
      <c r="U27" s="187">
        <v>1.2967999999999999E-4</v>
      </c>
      <c r="V27" s="187">
        <v>8.5116299999999992E-3</v>
      </c>
      <c r="W27" s="187">
        <v>1.0902289999999999</v>
      </c>
      <c r="X27" s="187">
        <v>9.2650749999999994E-3</v>
      </c>
      <c r="Y27" s="187">
        <v>1.030478E-5</v>
      </c>
      <c r="AA27" s="187">
        <v>1.2504000000000001E-4</v>
      </c>
      <c r="AB27" s="187">
        <v>8.905428E-3</v>
      </c>
      <c r="AC27" s="187">
        <v>1.089621</v>
      </c>
      <c r="AD27" s="187">
        <v>9.6886579999999993E-3</v>
      </c>
      <c r="AE27" s="187">
        <v>8.6957739999999995E-6</v>
      </c>
      <c r="AG27" s="187">
        <v>1.292E-4</v>
      </c>
      <c r="AH27" s="187">
        <v>8.524439E-3</v>
      </c>
      <c r="AI27" s="187">
        <v>1.090125</v>
      </c>
      <c r="AJ27" s="187">
        <v>9.2781579999999999E-3</v>
      </c>
      <c r="AK27" s="187">
        <v>1.1098459999999999E-5</v>
      </c>
    </row>
    <row r="28" spans="1:37" x14ac:dyDescent="0.25">
      <c r="A28" s="186" t="s">
        <v>204</v>
      </c>
      <c r="C28" s="187">
        <v>0</v>
      </c>
      <c r="D28" s="187">
        <v>5.5968509999999996E-7</v>
      </c>
      <c r="E28" s="187">
        <v>1.1049599999999999</v>
      </c>
      <c r="F28" s="187">
        <v>6.1842830000000004E-7</v>
      </c>
      <c r="G28" s="187">
        <v>0</v>
      </c>
      <c r="I28" s="187">
        <v>0</v>
      </c>
      <c r="J28" s="187">
        <v>5.5775049999999999E-7</v>
      </c>
      <c r="K28" s="187">
        <v>1.104951</v>
      </c>
      <c r="L28" s="187">
        <v>6.1628549999999995E-7</v>
      </c>
      <c r="M28" s="187">
        <v>0</v>
      </c>
      <c r="O28" s="187">
        <v>0</v>
      </c>
      <c r="P28" s="187">
        <v>5.6138229999999999E-7</v>
      </c>
      <c r="Q28" s="187">
        <v>1.104976</v>
      </c>
      <c r="R28" s="187">
        <v>6.2031259999999998E-7</v>
      </c>
      <c r="S28" s="187">
        <v>0</v>
      </c>
      <c r="U28" s="187">
        <v>0</v>
      </c>
      <c r="V28" s="187">
        <v>5.6302110000000004E-7</v>
      </c>
      <c r="W28" s="187">
        <v>1.1049910000000001</v>
      </c>
      <c r="X28" s="187">
        <v>6.2213179999999999E-7</v>
      </c>
      <c r="Y28" s="187">
        <v>0</v>
      </c>
      <c r="AA28" s="187">
        <v>0</v>
      </c>
      <c r="AB28" s="187">
        <v>5.6364919999999995E-7</v>
      </c>
      <c r="AC28" s="187">
        <v>1.104919</v>
      </c>
      <c r="AD28" s="187">
        <v>6.2278519999999999E-7</v>
      </c>
      <c r="AE28" s="187">
        <v>0</v>
      </c>
      <c r="AG28" s="187">
        <v>0</v>
      </c>
      <c r="AH28" s="187">
        <v>5.6201199999999999E-7</v>
      </c>
      <c r="AI28" s="187">
        <v>1.1049169999999999</v>
      </c>
      <c r="AJ28" s="187">
        <v>6.2097509999999995E-7</v>
      </c>
      <c r="AK28" s="187">
        <v>0</v>
      </c>
    </row>
    <row r="30" spans="1:37" x14ac:dyDescent="0.25">
      <c r="A30" s="186" t="s">
        <v>218</v>
      </c>
    </row>
    <row r="32" spans="1:37" x14ac:dyDescent="0.25">
      <c r="F32" s="186">
        <v>-10</v>
      </c>
      <c r="G32" s="186">
        <v>0</v>
      </c>
      <c r="H32" s="186">
        <v>4</v>
      </c>
    </row>
    <row r="33" spans="1:8" x14ac:dyDescent="0.25">
      <c r="C33" s="186" t="s">
        <v>209</v>
      </c>
      <c r="F33" s="186" t="s">
        <v>219</v>
      </c>
      <c r="G33" s="186" t="s">
        <v>219</v>
      </c>
      <c r="H33" s="186" t="s">
        <v>219</v>
      </c>
    </row>
    <row r="34" spans="1:8" x14ac:dyDescent="0.25">
      <c r="A34" s="186" t="s">
        <v>190</v>
      </c>
      <c r="C34" s="187">
        <v>3.9173940000000003E-4</v>
      </c>
      <c r="F34" s="187">
        <v>1.254155E-2</v>
      </c>
      <c r="G34" s="187">
        <v>1.2686009999999999E-2</v>
      </c>
      <c r="H34" s="187">
        <v>1.2487710000000001E-2</v>
      </c>
    </row>
    <row r="35" spans="1:8" x14ac:dyDescent="0.25">
      <c r="A35" s="186" t="s">
        <v>191</v>
      </c>
      <c r="C35" s="187">
        <v>3.6985719999999998E-4</v>
      </c>
      <c r="F35" s="187">
        <v>9.3309729999999994E-3</v>
      </c>
      <c r="G35" s="187">
        <v>9.3676230000000003E-3</v>
      </c>
      <c r="H35" s="187">
        <v>9.3590459999999993E-3</v>
      </c>
    </row>
    <row r="36" spans="1:8" x14ac:dyDescent="0.25">
      <c r="A36" s="186" t="s">
        <v>194</v>
      </c>
      <c r="C36" s="187">
        <v>1.827345E-4</v>
      </c>
      <c r="F36" s="187">
        <v>1.41919E-2</v>
      </c>
      <c r="G36" s="187">
        <v>1.398433E-2</v>
      </c>
      <c r="H36" s="187">
        <v>1.4033769999999999E-2</v>
      </c>
    </row>
    <row r="37" spans="1:8" x14ac:dyDescent="0.25">
      <c r="A37" s="186" t="s">
        <v>195</v>
      </c>
      <c r="C37" s="187">
        <v>3.8257580000000003E-5</v>
      </c>
      <c r="F37" s="187">
        <v>1.4280360000000001E-2</v>
      </c>
      <c r="G37" s="187">
        <v>1.408948E-2</v>
      </c>
      <c r="H37" s="187">
        <v>3.3347179999999997E-2</v>
      </c>
    </row>
    <row r="38" spans="1:8" x14ac:dyDescent="0.25">
      <c r="A38" s="186" t="s">
        <v>192</v>
      </c>
      <c r="F38" s="187">
        <v>1.222233E-2</v>
      </c>
      <c r="G38" s="187">
        <v>1.541228E-2</v>
      </c>
      <c r="H38" s="187">
        <v>1.8601469999999998E-2</v>
      </c>
    </row>
    <row r="39" spans="1:8" x14ac:dyDescent="0.25">
      <c r="A39" s="186" t="s">
        <v>203</v>
      </c>
      <c r="C39" s="187">
        <v>1.262623E-4</v>
      </c>
      <c r="F39" s="187">
        <v>1.203633E-2</v>
      </c>
      <c r="G39" s="187">
        <v>1.2238260000000001E-2</v>
      </c>
      <c r="H39" s="187">
        <v>1.232012E-2</v>
      </c>
    </row>
    <row r="40" spans="1:8" x14ac:dyDescent="0.25">
      <c r="A40" s="186" t="s">
        <v>204</v>
      </c>
      <c r="F40" s="187">
        <v>6.7893860000000002E-7</v>
      </c>
      <c r="G40" s="187">
        <v>6.847688E-7</v>
      </c>
      <c r="H40" s="187">
        <v>6.8369020000000004E-7</v>
      </c>
    </row>
    <row r="42" spans="1:8" x14ac:dyDescent="0.25">
      <c r="A42" s="186" t="s">
        <v>220</v>
      </c>
    </row>
    <row r="44" spans="1:8" x14ac:dyDescent="0.25">
      <c r="B44" s="186" t="s">
        <v>221</v>
      </c>
      <c r="C44" s="186" t="s">
        <v>222</v>
      </c>
    </row>
    <row r="45" spans="1:8" x14ac:dyDescent="0.25">
      <c r="B45" s="186">
        <v>0</v>
      </c>
      <c r="C45" s="187">
        <v>1.9705020000000001E-4</v>
      </c>
    </row>
    <row r="46" spans="1:8" x14ac:dyDescent="0.25">
      <c r="B46" s="186">
        <v>64</v>
      </c>
      <c r="C46" s="187">
        <v>7.0745240000000004E-4</v>
      </c>
    </row>
    <row r="48" spans="1:8" x14ac:dyDescent="0.25">
      <c r="B48" s="186" t="s">
        <v>223</v>
      </c>
    </row>
    <row r="49" spans="2:4" x14ac:dyDescent="0.25">
      <c r="B49" s="186" t="s">
        <v>224</v>
      </c>
      <c r="C49" s="187">
        <v>196.25129999999999</v>
      </c>
      <c r="D49" s="186" t="s">
        <v>225</v>
      </c>
    </row>
    <row r="50" spans="2:4" x14ac:dyDescent="0.25">
      <c r="B50" s="186" t="s">
        <v>226</v>
      </c>
      <c r="C50" s="187">
        <v>8</v>
      </c>
      <c r="D50" s="186"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E80EB-1F8F-40D0-801D-3D4C864DAB60}">
  <dimension ref="A2:AK74"/>
  <sheetViews>
    <sheetView topLeftCell="A49" zoomScale="85" zoomScaleNormal="85" workbookViewId="0">
      <selection activeCell="D14" sqref="D14"/>
    </sheetView>
  </sheetViews>
  <sheetFormatPr defaultRowHeight="15" x14ac:dyDescent="0.25"/>
  <cols>
    <col min="1" max="16384" width="9.140625" style="211"/>
  </cols>
  <sheetData>
    <row r="2" spans="1:37" x14ac:dyDescent="0.25">
      <c r="A2" s="211" t="s">
        <v>180</v>
      </c>
    </row>
    <row r="4" spans="1:37" x14ac:dyDescent="0.25">
      <c r="C4" s="211" t="s">
        <v>181</v>
      </c>
      <c r="D4" s="211">
        <v>-10</v>
      </c>
      <c r="E4" s="211" t="s">
        <v>182</v>
      </c>
      <c r="F4" s="211">
        <v>6</v>
      </c>
      <c r="I4" s="211" t="s">
        <v>181</v>
      </c>
      <c r="J4" s="211">
        <v>-10</v>
      </c>
      <c r="K4" s="211" t="s">
        <v>182</v>
      </c>
      <c r="L4" s="211">
        <v>37</v>
      </c>
      <c r="O4" s="211" t="s">
        <v>181</v>
      </c>
      <c r="P4" s="211">
        <v>0</v>
      </c>
      <c r="Q4" s="211" t="s">
        <v>182</v>
      </c>
      <c r="R4" s="211">
        <v>6</v>
      </c>
      <c r="U4" s="211" t="s">
        <v>181</v>
      </c>
      <c r="V4" s="211">
        <v>0</v>
      </c>
      <c r="W4" s="211" t="s">
        <v>182</v>
      </c>
      <c r="X4" s="211">
        <v>37</v>
      </c>
      <c r="AA4" s="211" t="s">
        <v>181</v>
      </c>
      <c r="AB4" s="211">
        <v>4</v>
      </c>
      <c r="AC4" s="211" t="s">
        <v>182</v>
      </c>
      <c r="AD4" s="211">
        <v>6</v>
      </c>
      <c r="AG4" s="211" t="s">
        <v>181</v>
      </c>
      <c r="AH4" s="211">
        <v>4</v>
      </c>
      <c r="AI4" s="211" t="s">
        <v>182</v>
      </c>
      <c r="AJ4" s="211">
        <v>37</v>
      </c>
    </row>
    <row r="5" spans="1:37" x14ac:dyDescent="0.25">
      <c r="C5" s="211" t="s">
        <v>183</v>
      </c>
      <c r="D5" s="211">
        <v>271</v>
      </c>
      <c r="E5" s="211" t="s">
        <v>184</v>
      </c>
      <c r="F5" s="211">
        <v>270</v>
      </c>
      <c r="I5" s="211" t="s">
        <v>183</v>
      </c>
      <c r="J5" s="211">
        <v>271</v>
      </c>
      <c r="K5" s="211" t="s">
        <v>184</v>
      </c>
      <c r="L5" s="211">
        <v>270</v>
      </c>
      <c r="O5" s="211" t="s">
        <v>183</v>
      </c>
      <c r="P5" s="211">
        <v>272</v>
      </c>
      <c r="Q5" s="211" t="s">
        <v>184</v>
      </c>
      <c r="R5" s="211">
        <v>271</v>
      </c>
      <c r="U5" s="211" t="s">
        <v>183</v>
      </c>
      <c r="V5" s="211">
        <v>272</v>
      </c>
      <c r="W5" s="211" t="s">
        <v>184</v>
      </c>
      <c r="X5" s="211">
        <v>271</v>
      </c>
      <c r="AA5" s="211" t="s">
        <v>183</v>
      </c>
      <c r="AB5" s="211">
        <v>273</v>
      </c>
      <c r="AC5" s="211" t="s">
        <v>184</v>
      </c>
      <c r="AD5" s="211">
        <v>272</v>
      </c>
      <c r="AG5" s="211" t="s">
        <v>183</v>
      </c>
      <c r="AH5" s="211">
        <v>272</v>
      </c>
      <c r="AI5" s="211" t="s">
        <v>184</v>
      </c>
      <c r="AJ5" s="211">
        <v>271</v>
      </c>
    </row>
    <row r="6" spans="1:37" x14ac:dyDescent="0.25">
      <c r="C6" s="211" t="s">
        <v>185</v>
      </c>
      <c r="D6" s="211" t="s">
        <v>186</v>
      </c>
      <c r="E6" s="211" t="s">
        <v>187</v>
      </c>
      <c r="F6" s="211" t="s">
        <v>188</v>
      </c>
      <c r="G6" s="211" t="s">
        <v>189</v>
      </c>
      <c r="I6" s="211" t="s">
        <v>185</v>
      </c>
      <c r="J6" s="211" t="s">
        <v>186</v>
      </c>
      <c r="K6" s="211" t="s">
        <v>187</v>
      </c>
      <c r="L6" s="211" t="s">
        <v>188</v>
      </c>
      <c r="M6" s="211" t="s">
        <v>189</v>
      </c>
      <c r="O6" s="211" t="s">
        <v>185</v>
      </c>
      <c r="P6" s="211" t="s">
        <v>186</v>
      </c>
      <c r="Q6" s="211" t="s">
        <v>187</v>
      </c>
      <c r="R6" s="211" t="s">
        <v>188</v>
      </c>
      <c r="S6" s="211" t="s">
        <v>189</v>
      </c>
      <c r="U6" s="211" t="s">
        <v>185</v>
      </c>
      <c r="V6" s="211" t="s">
        <v>186</v>
      </c>
      <c r="W6" s="211" t="s">
        <v>187</v>
      </c>
      <c r="X6" s="211" t="s">
        <v>188</v>
      </c>
      <c r="Y6" s="211" t="s">
        <v>189</v>
      </c>
      <c r="AA6" s="211" t="s">
        <v>185</v>
      </c>
      <c r="AB6" s="211" t="s">
        <v>186</v>
      </c>
      <c r="AC6" s="211" t="s">
        <v>187</v>
      </c>
      <c r="AD6" s="211" t="s">
        <v>188</v>
      </c>
      <c r="AE6" s="211" t="s">
        <v>189</v>
      </c>
      <c r="AG6" s="211" t="s">
        <v>185</v>
      </c>
      <c r="AH6" s="211" t="s">
        <v>186</v>
      </c>
      <c r="AI6" s="211" t="s">
        <v>187</v>
      </c>
      <c r="AJ6" s="211" t="s">
        <v>188</v>
      </c>
      <c r="AK6" s="211" t="s">
        <v>189</v>
      </c>
    </row>
    <row r="8" spans="1:37" x14ac:dyDescent="0.25">
      <c r="A8" s="211" t="s">
        <v>190</v>
      </c>
      <c r="C8" s="212">
        <v>3.9340220000000001E-4</v>
      </c>
      <c r="D8" s="212">
        <v>2.7961729999999999E-3</v>
      </c>
      <c r="E8" s="212">
        <v>1.2001310000000001</v>
      </c>
      <c r="F8" s="212">
        <v>3.2713379999999999E-3</v>
      </c>
      <c r="G8" s="212">
        <v>1.912104E-6</v>
      </c>
      <c r="I8" s="212">
        <v>3.9300370000000003E-4</v>
      </c>
      <c r="J8" s="212">
        <v>2.81168E-3</v>
      </c>
      <c r="K8" s="212">
        <v>1.2001599999999999</v>
      </c>
      <c r="L8" s="212">
        <v>3.2913859999999999E-3</v>
      </c>
      <c r="M8" s="212">
        <v>1.8688439999999999E-6</v>
      </c>
      <c r="O8" s="212">
        <v>3.9339710000000001E-4</v>
      </c>
      <c r="P8" s="212">
        <v>2.8243439999999999E-3</v>
      </c>
      <c r="Q8" s="212">
        <v>1.200148</v>
      </c>
      <c r="R8" s="212">
        <v>3.306654E-3</v>
      </c>
      <c r="S8" s="212">
        <v>1.9104660000000001E-6</v>
      </c>
      <c r="U8" s="212">
        <v>3.9332350000000001E-4</v>
      </c>
      <c r="V8" s="212">
        <v>2.8148589999999999E-3</v>
      </c>
      <c r="W8" s="212">
        <v>1.2001269999999999</v>
      </c>
      <c r="X8" s="212">
        <v>3.295961E-3</v>
      </c>
      <c r="Y8" s="212">
        <v>1.885593E-6</v>
      </c>
      <c r="AA8" s="212">
        <v>3.9321609999999998E-4</v>
      </c>
      <c r="AB8" s="212">
        <v>2.8237330000000001E-3</v>
      </c>
      <c r="AC8" s="212">
        <v>1.200162</v>
      </c>
      <c r="AD8" s="212">
        <v>3.3069409999999999E-3</v>
      </c>
      <c r="AE8" s="212">
        <v>1.84336E-6</v>
      </c>
      <c r="AG8" s="212">
        <v>3.9329410000000001E-4</v>
      </c>
      <c r="AH8" s="212">
        <v>2.822986E-3</v>
      </c>
      <c r="AI8" s="212">
        <v>1.2001569999999999</v>
      </c>
      <c r="AJ8" s="212">
        <v>3.305423E-3</v>
      </c>
      <c r="AK8" s="212">
        <v>1.9059729999999999E-6</v>
      </c>
    </row>
    <row r="9" spans="1:37" x14ac:dyDescent="0.25">
      <c r="A9" s="211" t="s">
        <v>191</v>
      </c>
      <c r="C9" s="212">
        <v>4.8183029999999998E-4</v>
      </c>
      <c r="D9" s="212">
        <v>2.5502749999999999E-3</v>
      </c>
      <c r="E9" s="212">
        <v>1.19974</v>
      </c>
      <c r="F9" s="212">
        <v>3.030329E-3</v>
      </c>
      <c r="G9" s="212">
        <v>9.1514399999999996E-6</v>
      </c>
      <c r="I9" s="212">
        <v>4.8197790000000001E-4</v>
      </c>
      <c r="J9" s="212">
        <v>2.5523590000000001E-3</v>
      </c>
      <c r="K9" s="212">
        <v>1.1997880000000001</v>
      </c>
      <c r="L9" s="212">
        <v>3.0330309999999998E-3</v>
      </c>
      <c r="M9" s="212">
        <v>9.1788540000000003E-6</v>
      </c>
      <c r="O9" s="212">
        <v>4.8244120000000003E-4</v>
      </c>
      <c r="P9" s="212">
        <v>2.5543509999999998E-3</v>
      </c>
      <c r="Q9" s="212">
        <v>1.1997880000000001</v>
      </c>
      <c r="R9" s="212">
        <v>3.035786E-3</v>
      </c>
      <c r="S9" s="212">
        <v>9.0613040000000001E-6</v>
      </c>
      <c r="U9" s="212">
        <v>4.8149999999999999E-4</v>
      </c>
      <c r="V9" s="212">
        <v>2.5521340000000002E-3</v>
      </c>
      <c r="W9" s="212">
        <v>1.199762</v>
      </c>
      <c r="X9" s="212">
        <v>3.032716E-3</v>
      </c>
      <c r="Y9" s="212">
        <v>8.9731049999999992E-6</v>
      </c>
      <c r="AA9" s="212">
        <v>4.8256409999999998E-4</v>
      </c>
      <c r="AB9" s="212">
        <v>2.5556350000000001E-3</v>
      </c>
      <c r="AC9" s="212">
        <v>1.199811</v>
      </c>
      <c r="AD9" s="212">
        <v>3.0377939999999999E-3</v>
      </c>
      <c r="AE9" s="212">
        <v>9.4396550000000007E-6</v>
      </c>
      <c r="AG9" s="212">
        <v>4.823971E-4</v>
      </c>
      <c r="AH9" s="212">
        <v>2.5597010000000002E-3</v>
      </c>
      <c r="AI9" s="212">
        <v>1.199808</v>
      </c>
      <c r="AJ9" s="212">
        <v>3.0425119999999998E-3</v>
      </c>
      <c r="AK9" s="212">
        <v>8.819033E-6</v>
      </c>
    </row>
    <row r="10" spans="1:37" x14ac:dyDescent="0.25">
      <c r="A10" s="211" t="s">
        <v>192</v>
      </c>
      <c r="C10" s="212">
        <v>2.4333579999999999E-4</v>
      </c>
      <c r="D10" s="212">
        <v>5.7138129999999999E-3</v>
      </c>
      <c r="E10" s="212">
        <v>1.1942079999999999</v>
      </c>
      <c r="F10" s="212">
        <v>6.8131859999999997E-3</v>
      </c>
      <c r="G10" s="212">
        <v>1.878182E-6</v>
      </c>
      <c r="I10" s="212">
        <v>4.911882E-4</v>
      </c>
      <c r="J10" s="212">
        <v>5.2968260000000001E-3</v>
      </c>
      <c r="K10" s="212">
        <v>1.194828</v>
      </c>
      <c r="L10" s="212">
        <v>6.3234720000000001E-3</v>
      </c>
      <c r="M10" s="212">
        <v>2.0632610000000002E-6</v>
      </c>
      <c r="O10" s="212">
        <v>2.4282350000000001E-4</v>
      </c>
      <c r="P10" s="212">
        <v>9.1678760000000002E-3</v>
      </c>
      <c r="Q10" s="212">
        <v>1.189587</v>
      </c>
      <c r="R10" s="212">
        <v>1.0899000000000001E-2</v>
      </c>
      <c r="S10" s="212">
        <v>2.0685030000000001E-6</v>
      </c>
      <c r="U10" s="212">
        <v>4.9088240000000002E-4</v>
      </c>
      <c r="V10" s="212">
        <v>8.8471850000000005E-3</v>
      </c>
      <c r="W10" s="212">
        <v>1.1900029999999999</v>
      </c>
      <c r="X10" s="212">
        <v>1.052486E-2</v>
      </c>
      <c r="Y10" s="212">
        <v>2.0149220000000002E-6</v>
      </c>
      <c r="AA10" s="212">
        <v>2.430183E-4</v>
      </c>
      <c r="AB10" s="212">
        <v>1.056317E-2</v>
      </c>
      <c r="AC10" s="212">
        <v>1.187743</v>
      </c>
      <c r="AD10" s="212">
        <v>1.2538199999999999E-2</v>
      </c>
      <c r="AE10" s="212">
        <v>2.1496480000000002E-6</v>
      </c>
      <c r="AG10" s="212">
        <v>4.9100000000000001E-4</v>
      </c>
      <c r="AH10" s="212">
        <v>1.1324280000000001E-2</v>
      </c>
      <c r="AI10" s="212">
        <v>1.1867589999999999</v>
      </c>
      <c r="AJ10" s="212">
        <v>1.3434710000000001E-2</v>
      </c>
      <c r="AK10" s="212">
        <v>2.0760449999999999E-6</v>
      </c>
    </row>
    <row r="11" spans="1:37" x14ac:dyDescent="0.25">
      <c r="A11" s="211" t="s">
        <v>193</v>
      </c>
      <c r="C11" s="212">
        <v>7.4605170000000007E-5</v>
      </c>
      <c r="D11" s="212">
        <v>2.4450460000000002E-3</v>
      </c>
      <c r="E11" s="212">
        <v>1.198984</v>
      </c>
      <c r="F11" s="212">
        <v>2.931482E-3</v>
      </c>
      <c r="G11" s="212">
        <v>1.4359830000000001E-6</v>
      </c>
      <c r="I11" s="212">
        <v>7.4738010000000002E-5</v>
      </c>
      <c r="J11" s="212">
        <v>2.4516799999999999E-3</v>
      </c>
      <c r="K11" s="212">
        <v>1.199039</v>
      </c>
      <c r="L11" s="212">
        <v>2.9395480000000002E-3</v>
      </c>
      <c r="M11" s="212">
        <v>1.554442E-6</v>
      </c>
      <c r="O11" s="212">
        <v>7.4485289999999996E-5</v>
      </c>
      <c r="P11" s="212">
        <v>2.3947059999999999E-3</v>
      </c>
      <c r="Q11" s="212">
        <v>1.199209</v>
      </c>
      <c r="R11" s="212">
        <v>2.8715419999999999E-3</v>
      </c>
      <c r="S11" s="212">
        <v>1.3084189999999999E-6</v>
      </c>
      <c r="U11" s="212">
        <v>7.4308819999999997E-5</v>
      </c>
      <c r="V11" s="212">
        <v>2.482433E-3</v>
      </c>
      <c r="W11" s="212">
        <v>1.1990540000000001</v>
      </c>
      <c r="X11" s="212">
        <v>2.976411E-3</v>
      </c>
      <c r="Y11" s="212">
        <v>1.0696389999999999E-6</v>
      </c>
      <c r="AA11" s="212">
        <v>7.4483519999999994E-5</v>
      </c>
      <c r="AB11" s="212">
        <v>2.469162E-3</v>
      </c>
      <c r="AC11" s="212">
        <v>1.1991510000000001</v>
      </c>
      <c r="AD11" s="212">
        <v>2.9606179999999999E-3</v>
      </c>
      <c r="AE11" s="212">
        <v>1.306342E-6</v>
      </c>
      <c r="AG11" s="212">
        <v>7.4338239999999995E-5</v>
      </c>
      <c r="AH11" s="212">
        <v>2.403919E-3</v>
      </c>
      <c r="AI11" s="212">
        <v>1.199249</v>
      </c>
      <c r="AJ11" s="212">
        <v>2.882622E-3</v>
      </c>
      <c r="AK11" s="212">
        <v>1.114948E-6</v>
      </c>
    </row>
    <row r="12" spans="1:37" x14ac:dyDescent="0.25">
      <c r="A12" s="211" t="s">
        <v>194</v>
      </c>
      <c r="C12" s="212">
        <v>1.2065680000000001E-4</v>
      </c>
      <c r="D12" s="212">
        <v>6.243887E-3</v>
      </c>
      <c r="E12" s="212">
        <v>1.193387</v>
      </c>
      <c r="F12" s="212">
        <v>7.4512629999999996E-3</v>
      </c>
      <c r="G12" s="212">
        <v>2.939836E-5</v>
      </c>
      <c r="I12" s="212">
        <v>1.197565E-4</v>
      </c>
      <c r="J12" s="212">
        <v>6.24874E-3</v>
      </c>
      <c r="K12" s="212">
        <v>1.193462</v>
      </c>
      <c r="L12" s="212">
        <v>7.4574910000000001E-3</v>
      </c>
      <c r="M12" s="212">
        <v>2.474731E-5</v>
      </c>
      <c r="O12" s="212">
        <v>1.190588E-4</v>
      </c>
      <c r="P12" s="212">
        <v>6.2654290000000003E-3</v>
      </c>
      <c r="Q12" s="212">
        <v>1.193427</v>
      </c>
      <c r="R12" s="212">
        <v>7.4771710000000003E-3</v>
      </c>
      <c r="S12" s="212">
        <v>1.9920049999999999E-5</v>
      </c>
      <c r="U12" s="212">
        <v>1.18E-4</v>
      </c>
      <c r="V12" s="212">
        <v>6.2423000000000001E-3</v>
      </c>
      <c r="W12" s="212">
        <v>1.193438</v>
      </c>
      <c r="X12" s="212">
        <v>7.4496129999999999E-3</v>
      </c>
      <c r="Y12" s="212">
        <v>1.4578959999999999E-6</v>
      </c>
      <c r="AA12" s="212">
        <v>1.192454E-4</v>
      </c>
      <c r="AB12" s="212">
        <v>6.2753430000000001E-3</v>
      </c>
      <c r="AC12" s="212">
        <v>1.193438</v>
      </c>
      <c r="AD12" s="212">
        <v>7.4890959999999998E-3</v>
      </c>
      <c r="AE12" s="212">
        <v>2.0990939999999999E-5</v>
      </c>
      <c r="AG12" s="212">
        <v>1.192059E-4</v>
      </c>
      <c r="AH12" s="212">
        <v>6.2687630000000001E-3</v>
      </c>
      <c r="AI12" s="212">
        <v>1.1934530000000001</v>
      </c>
      <c r="AJ12" s="212">
        <v>7.4812849999999998E-3</v>
      </c>
      <c r="AK12" s="212">
        <v>1.825329E-5</v>
      </c>
    </row>
    <row r="13" spans="1:37" x14ac:dyDescent="0.25">
      <c r="A13" s="211" t="s">
        <v>195</v>
      </c>
      <c r="C13" s="212">
        <v>4.0230259999999999E-4</v>
      </c>
      <c r="D13" s="212">
        <v>2.0133320000000001E-3</v>
      </c>
      <c r="E13" s="212">
        <v>1.1996</v>
      </c>
      <c r="F13" s="212">
        <v>2.4151149999999998E-3</v>
      </c>
      <c r="G13" s="212">
        <v>2.5554499999999998E-6</v>
      </c>
      <c r="I13" s="212">
        <v>4.0154980000000002E-4</v>
      </c>
      <c r="J13" s="212">
        <v>2.0146679999999998E-3</v>
      </c>
      <c r="K13" s="212">
        <v>1.199659</v>
      </c>
      <c r="L13" s="212">
        <v>2.416854E-3</v>
      </c>
      <c r="M13" s="212">
        <v>2.1816380000000002E-6</v>
      </c>
      <c r="O13" s="212">
        <v>4.0233819999999998E-4</v>
      </c>
      <c r="P13" s="212">
        <v>2.0161229999999999E-3</v>
      </c>
      <c r="Q13" s="212">
        <v>1.199651</v>
      </c>
      <c r="R13" s="212">
        <v>2.4185830000000002E-3</v>
      </c>
      <c r="S13" s="212">
        <v>2.5023109999999998E-6</v>
      </c>
      <c r="U13" s="212">
        <v>4.0164710000000002E-4</v>
      </c>
      <c r="V13" s="212">
        <v>2.0164430000000001E-3</v>
      </c>
      <c r="W13" s="212">
        <v>1.199635</v>
      </c>
      <c r="X13" s="212">
        <v>2.4189379999999998E-3</v>
      </c>
      <c r="Y13" s="212">
        <v>2.0312300000000001E-6</v>
      </c>
      <c r="AA13" s="212">
        <v>4.0249079999999998E-4</v>
      </c>
      <c r="AB13" s="212">
        <v>2.0336669999999999E-3</v>
      </c>
      <c r="AC13" s="212">
        <v>1.1996439999999999</v>
      </c>
      <c r="AD13" s="212">
        <v>2.4396069999999999E-3</v>
      </c>
      <c r="AE13" s="212">
        <v>2.545344E-6</v>
      </c>
      <c r="AG13" s="212">
        <v>4.0145589999999998E-4</v>
      </c>
      <c r="AH13" s="212">
        <v>2.0255759999999999E-3</v>
      </c>
      <c r="AI13" s="212">
        <v>1.199662</v>
      </c>
      <c r="AJ13" s="212">
        <v>2.429952E-3</v>
      </c>
      <c r="AK13" s="212">
        <v>2.0469310000000001E-6</v>
      </c>
    </row>
    <row r="14" spans="1:37" x14ac:dyDescent="0.25">
      <c r="A14" s="211" t="s">
        <v>196</v>
      </c>
      <c r="C14" s="212">
        <v>2.4225829999999999E-4</v>
      </c>
      <c r="D14" s="212">
        <v>4.4317000000000002E-3</v>
      </c>
      <c r="E14" s="212">
        <v>1.195954</v>
      </c>
      <c r="F14" s="212">
        <v>5.2988999999999996E-3</v>
      </c>
      <c r="G14" s="212">
        <v>2.2126900000000002E-6</v>
      </c>
      <c r="I14" s="212">
        <v>4.9102580000000002E-4</v>
      </c>
      <c r="J14" s="212">
        <v>4.6648590000000004E-3</v>
      </c>
      <c r="K14" s="212">
        <v>1.1956910000000001</v>
      </c>
      <c r="L14" s="212">
        <v>5.577037E-3</v>
      </c>
      <c r="M14" s="212">
        <v>1.7876320000000001E-6</v>
      </c>
      <c r="O14" s="212">
        <v>2.4219120000000001E-4</v>
      </c>
      <c r="P14" s="212">
        <v>7.541379E-3</v>
      </c>
      <c r="Q14" s="212">
        <v>1.1918010000000001</v>
      </c>
      <c r="R14" s="212">
        <v>8.9790930000000005E-3</v>
      </c>
      <c r="S14" s="212">
        <v>2.2451739999999998E-6</v>
      </c>
      <c r="U14" s="212">
        <v>4.9085290000000005E-4</v>
      </c>
      <c r="V14" s="212">
        <v>8.2566749999999998E-3</v>
      </c>
      <c r="W14" s="212">
        <v>1.190809</v>
      </c>
      <c r="X14" s="212">
        <v>9.8270149999999997E-3</v>
      </c>
      <c r="Y14" s="212">
        <v>1.844627E-6</v>
      </c>
      <c r="AA14" s="212">
        <v>2.4203660000000001E-4</v>
      </c>
      <c r="AB14" s="212">
        <v>9.7066089999999997E-3</v>
      </c>
      <c r="AC14" s="212">
        <v>1.1889339999999999</v>
      </c>
      <c r="AD14" s="212">
        <v>1.1522630000000001E-2</v>
      </c>
      <c r="AE14" s="212">
        <v>2.27812E-6</v>
      </c>
      <c r="AG14" s="212">
        <v>4.9108820000000005E-4</v>
      </c>
      <c r="AH14" s="212">
        <v>1.0025640000000001E-2</v>
      </c>
      <c r="AI14" s="212">
        <v>1.1884760000000001</v>
      </c>
      <c r="AJ14" s="212">
        <v>1.190649E-2</v>
      </c>
      <c r="AK14" s="212">
        <v>1.7499420000000001E-6</v>
      </c>
    </row>
    <row r="15" spans="1:37" x14ac:dyDescent="0.25">
      <c r="A15" s="211" t="s">
        <v>197</v>
      </c>
      <c r="C15" s="212">
        <v>7.2317340000000002E-5</v>
      </c>
      <c r="D15" s="212">
        <v>2.386235E-3</v>
      </c>
      <c r="E15" s="212">
        <v>1.199085</v>
      </c>
      <c r="F15" s="212">
        <v>2.8612720000000002E-3</v>
      </c>
      <c r="G15" s="212">
        <v>1.9783160000000002E-6</v>
      </c>
      <c r="I15" s="212">
        <v>7.2243540000000003E-5</v>
      </c>
      <c r="J15" s="212">
        <v>2.3971140000000001E-3</v>
      </c>
      <c r="K15" s="212">
        <v>1.199144</v>
      </c>
      <c r="L15" s="212">
        <v>2.8744590000000002E-3</v>
      </c>
      <c r="M15" s="212">
        <v>1.9887889999999998E-6</v>
      </c>
      <c r="O15" s="212">
        <v>7.2220589999999997E-5</v>
      </c>
      <c r="P15" s="212">
        <v>2.472031E-3</v>
      </c>
      <c r="Q15" s="212">
        <v>1.199109</v>
      </c>
      <c r="R15" s="212">
        <v>2.9640769999999999E-3</v>
      </c>
      <c r="S15" s="212">
        <v>1.9914620000000001E-6</v>
      </c>
      <c r="U15" s="212">
        <v>7.2588239999999993E-5</v>
      </c>
      <c r="V15" s="212">
        <v>2.4510310000000002E-3</v>
      </c>
      <c r="W15" s="212">
        <v>1.19913</v>
      </c>
      <c r="X15" s="212">
        <v>2.93889E-3</v>
      </c>
      <c r="Y15" s="212">
        <v>1.9150619999999999E-6</v>
      </c>
      <c r="AA15" s="212">
        <v>7.2344320000000006E-5</v>
      </c>
      <c r="AB15" s="212">
        <v>2.4009959999999999E-3</v>
      </c>
      <c r="AC15" s="212">
        <v>1.199284</v>
      </c>
      <c r="AD15" s="212">
        <v>2.8791310000000001E-3</v>
      </c>
      <c r="AE15" s="212">
        <v>1.9737560000000001E-6</v>
      </c>
      <c r="AG15" s="212">
        <v>7.2411759999999994E-5</v>
      </c>
      <c r="AH15" s="212">
        <v>2.4911870000000002E-3</v>
      </c>
      <c r="AI15" s="212">
        <v>1.199144</v>
      </c>
      <c r="AJ15" s="212">
        <v>2.9869950000000001E-3</v>
      </c>
      <c r="AK15" s="212">
        <v>1.9607609999999999E-6</v>
      </c>
    </row>
    <row r="16" spans="1:37" x14ac:dyDescent="0.25">
      <c r="A16" s="211" t="s">
        <v>198</v>
      </c>
      <c r="C16" s="212">
        <v>1.2229520000000001E-4</v>
      </c>
      <c r="D16" s="212">
        <v>6.1715340000000002E-3</v>
      </c>
      <c r="E16" s="212">
        <v>1.193506</v>
      </c>
      <c r="F16" s="212">
        <v>7.3651669999999997E-3</v>
      </c>
      <c r="G16" s="212">
        <v>1.8466420000000001E-5</v>
      </c>
      <c r="I16" s="212">
        <v>1.2371220000000001E-4</v>
      </c>
      <c r="J16" s="212">
        <v>6.1334170000000004E-3</v>
      </c>
      <c r="K16" s="212">
        <v>1.1936260000000001</v>
      </c>
      <c r="L16" s="212">
        <v>7.3203649999999997E-3</v>
      </c>
      <c r="M16" s="212">
        <v>1.9692970000000001E-5</v>
      </c>
      <c r="O16" s="212">
        <v>1.211618E-4</v>
      </c>
      <c r="P16" s="212">
        <v>6.1839340000000003E-3</v>
      </c>
      <c r="Q16" s="212">
        <v>1.193546</v>
      </c>
      <c r="R16" s="212">
        <v>7.3802240000000003E-3</v>
      </c>
      <c r="S16" s="212">
        <v>2.4666650000000001E-6</v>
      </c>
      <c r="U16" s="212">
        <v>1.2125000000000001E-4</v>
      </c>
      <c r="V16" s="212">
        <v>6.1725080000000002E-3</v>
      </c>
      <c r="W16" s="212">
        <v>1.1935439999999999</v>
      </c>
      <c r="X16" s="212">
        <v>7.3665689999999999E-3</v>
      </c>
      <c r="Y16" s="212">
        <v>2.4712370000000001E-6</v>
      </c>
      <c r="AA16" s="212">
        <v>1.2513549999999999E-4</v>
      </c>
      <c r="AB16" s="212">
        <v>6.2092479999999997E-3</v>
      </c>
      <c r="AC16" s="212">
        <v>1.19354</v>
      </c>
      <c r="AD16" s="212">
        <v>7.4104150000000001E-3</v>
      </c>
      <c r="AE16" s="212">
        <v>6.9102760000000002E-5</v>
      </c>
      <c r="AG16" s="212">
        <v>1.2252939999999999E-4</v>
      </c>
      <c r="AH16" s="212">
        <v>6.1479630000000002E-3</v>
      </c>
      <c r="AI16" s="212">
        <v>1.193616</v>
      </c>
      <c r="AJ16" s="212">
        <v>7.3377039999999996E-3</v>
      </c>
      <c r="AK16" s="212">
        <v>1.8411029999999999E-5</v>
      </c>
    </row>
    <row r="17" spans="1:37" x14ac:dyDescent="0.25">
      <c r="A17" s="211" t="s">
        <v>199</v>
      </c>
      <c r="C17" s="212">
        <v>4.0119560000000001E-4</v>
      </c>
      <c r="D17" s="212">
        <v>2.0089309999999998E-3</v>
      </c>
      <c r="E17" s="212">
        <v>1.1996039999999999</v>
      </c>
      <c r="F17" s="212">
        <v>2.409872E-3</v>
      </c>
      <c r="G17" s="212">
        <v>2.1052269999999999E-6</v>
      </c>
      <c r="I17" s="212">
        <v>4.0126940000000002E-4</v>
      </c>
      <c r="J17" s="212">
        <v>1.9841250000000002E-3</v>
      </c>
      <c r="K17" s="212">
        <v>1.1997070000000001</v>
      </c>
      <c r="L17" s="212">
        <v>2.3803140000000001E-3</v>
      </c>
      <c r="M17" s="212">
        <v>2.075729E-6</v>
      </c>
      <c r="O17" s="212">
        <v>4.005147E-4</v>
      </c>
      <c r="P17" s="212">
        <v>2.0227800000000001E-3</v>
      </c>
      <c r="Q17" s="212">
        <v>1.199641</v>
      </c>
      <c r="R17" s="212">
        <v>2.4265689999999999E-3</v>
      </c>
      <c r="S17" s="212">
        <v>1.3418349999999999E-6</v>
      </c>
      <c r="U17" s="212">
        <v>4.0075000000000001E-4</v>
      </c>
      <c r="V17" s="212">
        <v>2.0103019999999998E-3</v>
      </c>
      <c r="W17" s="212">
        <v>1.199638</v>
      </c>
      <c r="X17" s="212">
        <v>2.4115949999999999E-3</v>
      </c>
      <c r="Y17" s="212">
        <v>1.5641270000000001E-6</v>
      </c>
      <c r="AA17" s="212">
        <v>4.0080589999999999E-4</v>
      </c>
      <c r="AB17" s="212">
        <v>2.0212379999999999E-3</v>
      </c>
      <c r="AC17" s="212">
        <v>1.199662</v>
      </c>
      <c r="AD17" s="212">
        <v>2.424748E-3</v>
      </c>
      <c r="AE17" s="212">
        <v>1.643515E-6</v>
      </c>
      <c r="AG17" s="212">
        <v>4.0070589999999999E-4</v>
      </c>
      <c r="AH17" s="212">
        <v>2.007385E-3</v>
      </c>
      <c r="AI17" s="212">
        <v>1.199689</v>
      </c>
      <c r="AJ17" s="212">
        <v>2.408192E-3</v>
      </c>
      <c r="AK17" s="212">
        <v>1.6395379999999999E-6</v>
      </c>
    </row>
    <row r="18" spans="1:37" x14ac:dyDescent="0.25">
      <c r="A18" s="211" t="s">
        <v>200</v>
      </c>
      <c r="C18" s="212">
        <v>2.4436899999999998E-4</v>
      </c>
      <c r="D18" s="212">
        <v>4.4512479999999997E-3</v>
      </c>
      <c r="E18" s="212">
        <v>1.1959379999999999</v>
      </c>
      <c r="F18" s="212">
        <v>5.3220979999999999E-3</v>
      </c>
      <c r="G18" s="212">
        <v>2.537934E-6</v>
      </c>
      <c r="I18" s="212">
        <v>4.9114389999999996E-4</v>
      </c>
      <c r="J18" s="212">
        <v>4.6978769999999996E-3</v>
      </c>
      <c r="K18" s="212">
        <v>1.195643</v>
      </c>
      <c r="L18" s="212">
        <v>5.616256E-3</v>
      </c>
      <c r="M18" s="212">
        <v>1.679272E-6</v>
      </c>
      <c r="O18" s="212">
        <v>2.4429410000000002E-4</v>
      </c>
      <c r="P18" s="212">
        <v>7.5467570000000003E-3</v>
      </c>
      <c r="Q18" s="212">
        <v>1.1918070000000001</v>
      </c>
      <c r="R18" s="212">
        <v>8.9851649999999998E-3</v>
      </c>
      <c r="S18" s="212">
        <v>2.4603649999999999E-6</v>
      </c>
      <c r="U18" s="212">
        <v>4.9101470000000003E-4</v>
      </c>
      <c r="V18" s="212">
        <v>8.5605850000000008E-3</v>
      </c>
      <c r="W18" s="212">
        <v>1.190394</v>
      </c>
      <c r="X18" s="212">
        <v>1.0184749999999999E-2</v>
      </c>
      <c r="Y18" s="212">
        <v>1.8263560000000001E-6</v>
      </c>
      <c r="AA18" s="212">
        <v>2.442198E-4</v>
      </c>
      <c r="AB18" s="212">
        <v>9.1017600000000004E-3</v>
      </c>
      <c r="AC18" s="212">
        <v>1.189721</v>
      </c>
      <c r="AD18" s="212">
        <v>1.081295E-2</v>
      </c>
      <c r="AE18" s="212">
        <v>2.522555E-6</v>
      </c>
      <c r="AG18" s="212">
        <v>4.9117650000000002E-4</v>
      </c>
      <c r="AH18" s="212">
        <v>1.015193E-2</v>
      </c>
      <c r="AI18" s="212">
        <v>1.1883189999999999</v>
      </c>
      <c r="AJ18" s="212">
        <v>1.205467E-2</v>
      </c>
      <c r="AK18" s="212">
        <v>1.7600840000000001E-6</v>
      </c>
    </row>
    <row r="19" spans="1:37" x14ac:dyDescent="0.25">
      <c r="A19" s="211" t="s">
        <v>201</v>
      </c>
      <c r="C19" s="212">
        <v>7.2420660000000007E-5</v>
      </c>
      <c r="D19" s="212">
        <v>2.3276E-3</v>
      </c>
      <c r="E19" s="212">
        <v>1.199165</v>
      </c>
      <c r="F19" s="212">
        <v>2.7911239999999999E-3</v>
      </c>
      <c r="G19" s="212">
        <v>1.958877E-6</v>
      </c>
      <c r="I19" s="212">
        <v>7.230258E-5</v>
      </c>
      <c r="J19" s="212">
        <v>2.3170389999999999E-3</v>
      </c>
      <c r="K19" s="212">
        <v>1.1992590000000001</v>
      </c>
      <c r="L19" s="212">
        <v>2.7786999999999998E-3</v>
      </c>
      <c r="M19" s="212">
        <v>1.9806359999999999E-6</v>
      </c>
      <c r="O19" s="212">
        <v>7.2338240000000001E-5</v>
      </c>
      <c r="P19" s="212">
        <v>2.4179729999999999E-3</v>
      </c>
      <c r="Q19" s="212">
        <v>1.1991499999999999</v>
      </c>
      <c r="R19" s="212">
        <v>2.899371E-3</v>
      </c>
      <c r="S19" s="212">
        <v>1.9748250000000002E-6</v>
      </c>
      <c r="U19" s="212">
        <v>7.266176E-5</v>
      </c>
      <c r="V19" s="212">
        <v>2.3835969999999999E-3</v>
      </c>
      <c r="W19" s="212">
        <v>1.19923</v>
      </c>
      <c r="X19" s="212">
        <v>2.8582429999999999E-3</v>
      </c>
      <c r="Y19" s="212">
        <v>1.890823E-6</v>
      </c>
      <c r="AA19" s="212">
        <v>7.2315020000000003E-5</v>
      </c>
      <c r="AB19" s="212">
        <v>2.4681899999999999E-3</v>
      </c>
      <c r="AC19" s="212">
        <v>1.1991320000000001</v>
      </c>
      <c r="AD19" s="212">
        <v>2.9594830000000002E-3</v>
      </c>
      <c r="AE19" s="212">
        <v>1.978662E-6</v>
      </c>
      <c r="AG19" s="212">
        <v>7.2264709999999993E-5</v>
      </c>
      <c r="AH19" s="212">
        <v>2.4419060000000002E-3</v>
      </c>
      <c r="AI19" s="212">
        <v>1.199228</v>
      </c>
      <c r="AJ19" s="212">
        <v>2.9281149999999998E-3</v>
      </c>
      <c r="AK19" s="212">
        <v>1.9860600000000001E-6</v>
      </c>
    </row>
    <row r="20" spans="1:37" x14ac:dyDescent="0.25">
      <c r="A20" s="211" t="s">
        <v>202</v>
      </c>
      <c r="C20" s="212">
        <v>1.189004E-4</v>
      </c>
      <c r="D20" s="212">
        <v>6.249559E-3</v>
      </c>
      <c r="E20" s="212">
        <v>1.1933940000000001</v>
      </c>
      <c r="F20" s="212">
        <v>7.4578480000000004E-3</v>
      </c>
      <c r="G20" s="212">
        <v>2.4008559999999998E-6</v>
      </c>
      <c r="I20" s="212">
        <v>1.212472E-4</v>
      </c>
      <c r="J20" s="212">
        <v>6.1837159999999997E-3</v>
      </c>
      <c r="K20" s="212">
        <v>1.193551</v>
      </c>
      <c r="L20" s="212">
        <v>7.3799720000000003E-3</v>
      </c>
      <c r="M20" s="212">
        <v>2.3017189999999998E-6</v>
      </c>
      <c r="O20" s="212">
        <v>1.1898529999999999E-4</v>
      </c>
      <c r="P20" s="212">
        <v>6.2247550000000002E-3</v>
      </c>
      <c r="Q20" s="212">
        <v>1.193487</v>
      </c>
      <c r="R20" s="212">
        <v>7.4288239999999997E-3</v>
      </c>
      <c r="S20" s="212">
        <v>2.6450129999999998E-6</v>
      </c>
      <c r="U20" s="212">
        <v>1.211618E-4</v>
      </c>
      <c r="V20" s="212">
        <v>6.2053209999999998E-3</v>
      </c>
      <c r="W20" s="212">
        <v>1.1934929999999999</v>
      </c>
      <c r="X20" s="212">
        <v>7.405394E-3</v>
      </c>
      <c r="Y20" s="212">
        <v>2.5835720000000002E-6</v>
      </c>
      <c r="AA20" s="212">
        <v>1.200366E-4</v>
      </c>
      <c r="AB20" s="212">
        <v>6.2328849999999996E-3</v>
      </c>
      <c r="AC20" s="212">
        <v>1.1934959999999999</v>
      </c>
      <c r="AD20" s="212">
        <v>7.4385919999999999E-3</v>
      </c>
      <c r="AE20" s="212">
        <v>1.8276030000000001E-5</v>
      </c>
      <c r="AG20" s="212">
        <v>1.2136760000000001E-4</v>
      </c>
      <c r="AH20" s="212">
        <v>6.1692229999999997E-3</v>
      </c>
      <c r="AI20" s="212">
        <v>1.193595</v>
      </c>
      <c r="AJ20" s="212">
        <v>7.3629350000000001E-3</v>
      </c>
      <c r="AK20" s="212">
        <v>2.5507649999999999E-6</v>
      </c>
    </row>
    <row r="21" spans="1:37" x14ac:dyDescent="0.25">
      <c r="A21" s="211" t="s">
        <v>203</v>
      </c>
      <c r="C21" s="212">
        <v>1.40524E-4</v>
      </c>
      <c r="D21" s="212">
        <v>1.6840119999999999E-3</v>
      </c>
      <c r="E21" s="212">
        <v>1.2005490000000001</v>
      </c>
      <c r="F21" s="212">
        <v>2.0200629999999999E-3</v>
      </c>
      <c r="G21" s="212">
        <v>2.913377E-5</v>
      </c>
      <c r="I21" s="212">
        <v>1.672546E-4</v>
      </c>
      <c r="J21" s="212">
        <v>1.709695E-3</v>
      </c>
      <c r="K21" s="212">
        <v>1.200483</v>
      </c>
      <c r="L21" s="212">
        <v>2.051102E-3</v>
      </c>
      <c r="M21" s="212">
        <v>3.5906330000000001E-5</v>
      </c>
      <c r="O21" s="212">
        <v>1.389265E-4</v>
      </c>
      <c r="P21" s="212">
        <v>1.673548E-3</v>
      </c>
      <c r="Q21" s="212">
        <v>1.20062</v>
      </c>
      <c r="R21" s="212">
        <v>2.0076130000000001E-3</v>
      </c>
      <c r="S21" s="212">
        <v>2.8812059999999999E-5</v>
      </c>
      <c r="U21" s="212">
        <v>1.6975000000000001E-4</v>
      </c>
      <c r="V21" s="212">
        <v>1.72371E-3</v>
      </c>
      <c r="W21" s="212">
        <v>1.200442</v>
      </c>
      <c r="X21" s="212">
        <v>2.0678290000000002E-3</v>
      </c>
      <c r="Y21" s="212">
        <v>3.500295E-5</v>
      </c>
      <c r="AA21" s="212">
        <v>1.4355309999999999E-4</v>
      </c>
      <c r="AB21" s="212">
        <v>1.6901500000000001E-3</v>
      </c>
      <c r="AC21" s="212">
        <v>1.200574</v>
      </c>
      <c r="AD21" s="212">
        <v>2.0274770000000002E-3</v>
      </c>
      <c r="AE21" s="212">
        <v>3.0276030000000002E-5</v>
      </c>
      <c r="AG21" s="212">
        <v>1.6870589999999999E-4</v>
      </c>
      <c r="AH21" s="212">
        <v>1.7168000000000001E-3</v>
      </c>
      <c r="AI21" s="212">
        <v>1.2004870000000001</v>
      </c>
      <c r="AJ21" s="212">
        <v>2.059628E-3</v>
      </c>
      <c r="AK21" s="212">
        <v>3.544844E-5</v>
      </c>
    </row>
    <row r="22" spans="1:37" x14ac:dyDescent="0.25">
      <c r="A22" s="211" t="s">
        <v>204</v>
      </c>
      <c r="C22" s="212">
        <v>0</v>
      </c>
      <c r="D22" s="212">
        <v>3.1218979999999997E-8</v>
      </c>
      <c r="E22" s="212">
        <v>1.203965</v>
      </c>
      <c r="F22" s="212">
        <v>3.7584940000000003E-8</v>
      </c>
      <c r="G22" s="212">
        <v>0</v>
      </c>
      <c r="I22" s="212">
        <v>0</v>
      </c>
      <c r="J22" s="212">
        <v>3.459359E-8</v>
      </c>
      <c r="K22" s="212">
        <v>1.204032</v>
      </c>
      <c r="L22" s="212">
        <v>4.1650200000000003E-8</v>
      </c>
      <c r="M22" s="212">
        <v>0</v>
      </c>
      <c r="O22" s="212">
        <v>0</v>
      </c>
      <c r="P22" s="212">
        <v>3.4112170000000003E-8</v>
      </c>
      <c r="Q22" s="212">
        <v>1.2040299999999999</v>
      </c>
      <c r="R22" s="212">
        <v>4.1070490000000001E-8</v>
      </c>
      <c r="S22" s="212">
        <v>0</v>
      </c>
      <c r="U22" s="212">
        <v>0</v>
      </c>
      <c r="V22" s="212">
        <v>3.328036E-8</v>
      </c>
      <c r="W22" s="212">
        <v>1.204008</v>
      </c>
      <c r="X22" s="212">
        <v>4.0068220000000002E-8</v>
      </c>
      <c r="Y22" s="212">
        <v>0</v>
      </c>
      <c r="AA22" s="212">
        <v>0</v>
      </c>
      <c r="AB22" s="212">
        <v>3.3029430000000002E-8</v>
      </c>
      <c r="AC22" s="212">
        <v>1.2040470000000001</v>
      </c>
      <c r="AD22" s="212">
        <v>3.976737E-8</v>
      </c>
      <c r="AE22" s="212">
        <v>0</v>
      </c>
      <c r="AG22" s="212">
        <v>0</v>
      </c>
      <c r="AH22" s="212">
        <v>3.4405459999999997E-8</v>
      </c>
      <c r="AI22" s="212">
        <v>1.2040470000000001</v>
      </c>
      <c r="AJ22" s="212">
        <v>4.1424179999999999E-8</v>
      </c>
      <c r="AK22" s="212">
        <v>0</v>
      </c>
    </row>
    <row r="24" spans="1:37" x14ac:dyDescent="0.25">
      <c r="A24" s="211" t="s">
        <v>205</v>
      </c>
    </row>
    <row r="26" spans="1:37" x14ac:dyDescent="0.25">
      <c r="C26" s="211" t="s">
        <v>181</v>
      </c>
      <c r="D26" s="211">
        <v>-10</v>
      </c>
      <c r="E26" s="211" t="s">
        <v>182</v>
      </c>
      <c r="F26" s="211">
        <v>6</v>
      </c>
      <c r="I26" s="211" t="s">
        <v>181</v>
      </c>
      <c r="J26" s="211">
        <v>-10</v>
      </c>
      <c r="K26" s="211" t="s">
        <v>182</v>
      </c>
      <c r="L26" s="211">
        <v>37</v>
      </c>
      <c r="O26" s="211" t="s">
        <v>181</v>
      </c>
      <c r="P26" s="211">
        <v>0</v>
      </c>
      <c r="Q26" s="211" t="s">
        <v>182</v>
      </c>
      <c r="R26" s="211">
        <v>6</v>
      </c>
      <c r="U26" s="211" t="s">
        <v>181</v>
      </c>
      <c r="V26" s="211">
        <v>0</v>
      </c>
      <c r="W26" s="211" t="s">
        <v>182</v>
      </c>
      <c r="X26" s="211">
        <v>37</v>
      </c>
      <c r="AA26" s="211" t="s">
        <v>181</v>
      </c>
      <c r="AB26" s="211">
        <v>4</v>
      </c>
      <c r="AC26" s="211" t="s">
        <v>182</v>
      </c>
      <c r="AD26" s="211">
        <v>6</v>
      </c>
      <c r="AG26" s="211" t="s">
        <v>181</v>
      </c>
      <c r="AH26" s="211">
        <v>4</v>
      </c>
      <c r="AI26" s="211" t="s">
        <v>182</v>
      </c>
      <c r="AJ26" s="211">
        <v>37</v>
      </c>
    </row>
    <row r="27" spans="1:37" x14ac:dyDescent="0.25">
      <c r="C27" s="211" t="s">
        <v>183</v>
      </c>
      <c r="D27" s="211">
        <v>271</v>
      </c>
      <c r="E27" s="211" t="s">
        <v>184</v>
      </c>
      <c r="F27" s="211">
        <v>270</v>
      </c>
      <c r="I27" s="211" t="s">
        <v>183</v>
      </c>
      <c r="J27" s="211">
        <v>270</v>
      </c>
      <c r="K27" s="211" t="s">
        <v>184</v>
      </c>
      <c r="L27" s="211">
        <v>269</v>
      </c>
      <c r="O27" s="211" t="s">
        <v>183</v>
      </c>
      <c r="P27" s="211">
        <v>271</v>
      </c>
      <c r="Q27" s="211" t="s">
        <v>184</v>
      </c>
      <c r="R27" s="211">
        <v>270</v>
      </c>
      <c r="U27" s="211" t="s">
        <v>183</v>
      </c>
      <c r="V27" s="211">
        <v>271</v>
      </c>
      <c r="W27" s="211" t="s">
        <v>184</v>
      </c>
      <c r="X27" s="211">
        <v>270</v>
      </c>
      <c r="AA27" s="211" t="s">
        <v>183</v>
      </c>
      <c r="AB27" s="211">
        <v>271</v>
      </c>
      <c r="AC27" s="211" t="s">
        <v>184</v>
      </c>
      <c r="AD27" s="211">
        <v>270</v>
      </c>
      <c r="AG27" s="211" t="s">
        <v>183</v>
      </c>
      <c r="AH27" s="211">
        <v>271</v>
      </c>
      <c r="AI27" s="211" t="s">
        <v>184</v>
      </c>
      <c r="AJ27" s="211">
        <v>270</v>
      </c>
    </row>
    <row r="28" spans="1:37" x14ac:dyDescent="0.25">
      <c r="C28" s="211" t="s">
        <v>185</v>
      </c>
      <c r="D28" s="211" t="s">
        <v>186</v>
      </c>
      <c r="E28" s="211" t="s">
        <v>187</v>
      </c>
      <c r="F28" s="211" t="s">
        <v>188</v>
      </c>
      <c r="G28" s="211" t="s">
        <v>189</v>
      </c>
      <c r="I28" s="211" t="s">
        <v>185</v>
      </c>
      <c r="J28" s="211" t="s">
        <v>186</v>
      </c>
      <c r="K28" s="211" t="s">
        <v>187</v>
      </c>
      <c r="L28" s="211" t="s">
        <v>188</v>
      </c>
      <c r="M28" s="211" t="s">
        <v>189</v>
      </c>
      <c r="O28" s="211" t="s">
        <v>185</v>
      </c>
      <c r="P28" s="211" t="s">
        <v>186</v>
      </c>
      <c r="Q28" s="211" t="s">
        <v>187</v>
      </c>
      <c r="R28" s="211" t="s">
        <v>188</v>
      </c>
      <c r="S28" s="211" t="s">
        <v>189</v>
      </c>
      <c r="U28" s="211" t="s">
        <v>185</v>
      </c>
      <c r="V28" s="211" t="s">
        <v>186</v>
      </c>
      <c r="W28" s="211" t="s">
        <v>187</v>
      </c>
      <c r="X28" s="211" t="s">
        <v>188</v>
      </c>
      <c r="Y28" s="211" t="s">
        <v>189</v>
      </c>
      <c r="AA28" s="211" t="s">
        <v>185</v>
      </c>
      <c r="AB28" s="211" t="s">
        <v>186</v>
      </c>
      <c r="AC28" s="211" t="s">
        <v>187</v>
      </c>
      <c r="AD28" s="211" t="s">
        <v>188</v>
      </c>
      <c r="AE28" s="211" t="s">
        <v>189</v>
      </c>
      <c r="AG28" s="211" t="s">
        <v>185</v>
      </c>
      <c r="AH28" s="211" t="s">
        <v>186</v>
      </c>
      <c r="AI28" s="211" t="s">
        <v>187</v>
      </c>
      <c r="AJ28" s="211" t="s">
        <v>188</v>
      </c>
      <c r="AK28" s="211" t="s">
        <v>189</v>
      </c>
    </row>
    <row r="30" spans="1:37" x14ac:dyDescent="0.25">
      <c r="A30" s="211" t="s">
        <v>190</v>
      </c>
      <c r="C30" s="212">
        <v>3.9341700000000002E-4</v>
      </c>
      <c r="D30" s="212">
        <v>6.8841450000000004E-3</v>
      </c>
      <c r="E30" s="212">
        <v>1.0604789999999999</v>
      </c>
      <c r="F30" s="212">
        <v>7.2908369999999997E-3</v>
      </c>
      <c r="G30" s="212">
        <v>1.9166730000000001E-6</v>
      </c>
      <c r="I30" s="212">
        <v>3.9345189999999999E-4</v>
      </c>
      <c r="J30" s="212">
        <v>6.8759729999999996E-3</v>
      </c>
      <c r="K30" s="212">
        <v>1.0606880000000001</v>
      </c>
      <c r="L30" s="212">
        <v>7.2834730000000004E-3</v>
      </c>
      <c r="M30" s="212">
        <v>1.9269889999999998E-6</v>
      </c>
      <c r="O30" s="212">
        <v>3.9352030000000001E-4</v>
      </c>
      <c r="P30" s="212">
        <v>6.8836430000000001E-3</v>
      </c>
      <c r="Q30" s="212">
        <v>1.060516</v>
      </c>
      <c r="R30" s="212">
        <v>7.290408E-3</v>
      </c>
      <c r="S30" s="212">
        <v>1.9452110000000001E-6</v>
      </c>
      <c r="U30" s="212">
        <v>3.9360890000000003E-4</v>
      </c>
      <c r="V30" s="212">
        <v>6.8802309999999997E-3</v>
      </c>
      <c r="W30" s="212">
        <v>1.0605309999999999</v>
      </c>
      <c r="X30" s="212">
        <v>7.2868890000000004E-3</v>
      </c>
      <c r="Y30" s="212">
        <v>1.965008E-6</v>
      </c>
      <c r="AA30" s="212">
        <v>3.9341700000000002E-4</v>
      </c>
      <c r="AB30" s="212">
        <v>6.8742330000000004E-3</v>
      </c>
      <c r="AC30" s="212">
        <v>1.0605880000000001</v>
      </c>
      <c r="AD30" s="212">
        <v>7.2809490000000001E-3</v>
      </c>
      <c r="AE30" s="212">
        <v>1.9166730000000001E-6</v>
      </c>
      <c r="AG30" s="212">
        <v>3.9337269999999998E-4</v>
      </c>
      <c r="AH30" s="212">
        <v>6.8759559999999999E-3</v>
      </c>
      <c r="AI30" s="212">
        <v>1.060549</v>
      </c>
      <c r="AJ30" s="212">
        <v>7.2825030000000001E-3</v>
      </c>
      <c r="AK30" s="212">
        <v>1.9938400000000001E-6</v>
      </c>
    </row>
    <row r="31" spans="1:37" x14ac:dyDescent="0.25">
      <c r="A31" s="211" t="s">
        <v>191</v>
      </c>
      <c r="C31" s="212">
        <v>4.8112179999999999E-4</v>
      </c>
      <c r="D31" s="212">
        <v>5.9205380000000004E-3</v>
      </c>
      <c r="E31" s="212">
        <v>1.060738</v>
      </c>
      <c r="F31" s="212">
        <v>6.2723129999999998E-3</v>
      </c>
      <c r="G31" s="212">
        <v>9.3608679999999996E-6</v>
      </c>
      <c r="I31" s="212">
        <v>4.8151109999999998E-4</v>
      </c>
      <c r="J31" s="212">
        <v>5.938792E-3</v>
      </c>
      <c r="K31" s="212">
        <v>1.060918</v>
      </c>
      <c r="L31" s="212">
        <v>6.2927579999999999E-3</v>
      </c>
      <c r="M31" s="212">
        <v>8.6000489999999997E-6</v>
      </c>
      <c r="O31" s="212">
        <v>4.8177119999999999E-4</v>
      </c>
      <c r="P31" s="212">
        <v>5.9317629999999996E-3</v>
      </c>
      <c r="Q31" s="212">
        <v>1.060826</v>
      </c>
      <c r="R31" s="212">
        <v>6.2847149999999997E-3</v>
      </c>
      <c r="S31" s="212">
        <v>8.9006480000000004E-6</v>
      </c>
      <c r="U31" s="212">
        <v>4.8239110000000002E-4</v>
      </c>
      <c r="V31" s="212">
        <v>5.9382599999999999E-3</v>
      </c>
      <c r="W31" s="212">
        <v>1.0608470000000001</v>
      </c>
      <c r="X31" s="212">
        <v>6.291736E-3</v>
      </c>
      <c r="Y31" s="212">
        <v>8.4016180000000002E-6</v>
      </c>
      <c r="AA31" s="212">
        <v>4.8109230000000002E-4</v>
      </c>
      <c r="AB31" s="212">
        <v>5.9294380000000004E-3</v>
      </c>
      <c r="AC31" s="212">
        <v>1.0609010000000001</v>
      </c>
      <c r="AD31" s="212">
        <v>6.2827159999999998E-3</v>
      </c>
      <c r="AE31" s="212">
        <v>8.9832549999999994E-6</v>
      </c>
      <c r="AG31" s="212">
        <v>4.8126940000000002E-4</v>
      </c>
      <c r="AH31" s="212">
        <v>5.939143E-3</v>
      </c>
      <c r="AI31" s="212">
        <v>1.0608759999999999</v>
      </c>
      <c r="AJ31" s="212">
        <v>6.2928189999999998E-3</v>
      </c>
      <c r="AK31" s="212">
        <v>9.1819740000000001E-6</v>
      </c>
    </row>
    <row r="32" spans="1:37" x14ac:dyDescent="0.25">
      <c r="A32" s="211" t="s">
        <v>192</v>
      </c>
      <c r="C32" s="212">
        <v>2.432472E-4</v>
      </c>
      <c r="D32" s="212">
        <v>6.0653199999999999E-3</v>
      </c>
      <c r="E32" s="212">
        <v>1.060532</v>
      </c>
      <c r="F32" s="212">
        <v>6.424E-3</v>
      </c>
      <c r="G32" s="212">
        <v>1.811931E-6</v>
      </c>
      <c r="I32" s="212">
        <v>4.9108150000000004E-4</v>
      </c>
      <c r="J32" s="212">
        <v>5.621058E-3</v>
      </c>
      <c r="K32" s="212">
        <v>1.0613360000000001</v>
      </c>
      <c r="L32" s="212">
        <v>5.959748E-3</v>
      </c>
      <c r="M32" s="212">
        <v>2.0370250000000002E-6</v>
      </c>
      <c r="O32" s="212">
        <v>2.429815E-4</v>
      </c>
      <c r="P32" s="212">
        <v>6.073986E-3</v>
      </c>
      <c r="Q32" s="212">
        <v>1.0606150000000001</v>
      </c>
      <c r="R32" s="212">
        <v>6.433696E-3</v>
      </c>
      <c r="S32" s="212">
        <v>1.8766669999999999E-6</v>
      </c>
      <c r="U32" s="212">
        <v>4.9098149999999999E-4</v>
      </c>
      <c r="V32" s="212">
        <v>5.6151739999999997E-3</v>
      </c>
      <c r="W32" s="212">
        <v>1.0612630000000001</v>
      </c>
      <c r="X32" s="212">
        <v>5.9530759999999999E-3</v>
      </c>
      <c r="Y32" s="212">
        <v>2.0284159999999999E-6</v>
      </c>
      <c r="AA32" s="212">
        <v>2.4318819999999999E-4</v>
      </c>
      <c r="AB32" s="212">
        <v>6.0832439999999998E-3</v>
      </c>
      <c r="AC32" s="212">
        <v>1.060675</v>
      </c>
      <c r="AD32" s="212">
        <v>6.4438539999999997E-3</v>
      </c>
      <c r="AE32" s="212">
        <v>1.9142759999999998E-6</v>
      </c>
      <c r="AG32" s="212">
        <v>4.9108490000000001E-4</v>
      </c>
      <c r="AH32" s="212">
        <v>5.6123520000000001E-3</v>
      </c>
      <c r="AI32" s="212">
        <v>1.061296</v>
      </c>
      <c r="AJ32" s="212">
        <v>5.9502849999999996E-3</v>
      </c>
      <c r="AK32" s="212">
        <v>2.0914710000000001E-6</v>
      </c>
    </row>
    <row r="33" spans="1:37" x14ac:dyDescent="0.25">
      <c r="A33" s="211" t="s">
        <v>193</v>
      </c>
      <c r="C33" s="212">
        <v>7.4457559999999994E-5</v>
      </c>
      <c r="D33" s="212">
        <v>5.1237110000000004E-3</v>
      </c>
      <c r="E33" s="212">
        <v>1.061836</v>
      </c>
      <c r="F33" s="212">
        <v>5.4364590000000003E-3</v>
      </c>
      <c r="G33" s="212">
        <v>1.2754980000000001E-6</v>
      </c>
      <c r="I33" s="212">
        <v>7.463704E-5</v>
      </c>
      <c r="J33" s="212">
        <v>5.0379609999999997E-3</v>
      </c>
      <c r="K33" s="212">
        <v>1.062111</v>
      </c>
      <c r="L33" s="212">
        <v>5.3468659999999996E-3</v>
      </c>
      <c r="M33" s="212">
        <v>1.466389E-6</v>
      </c>
      <c r="O33" s="212">
        <v>7.4354240000000003E-5</v>
      </c>
      <c r="P33" s="212">
        <v>5.1256619999999996E-3</v>
      </c>
      <c r="Q33" s="212">
        <v>1.061949</v>
      </c>
      <c r="R33" s="212">
        <v>5.439185E-3</v>
      </c>
      <c r="S33" s="212">
        <v>1.138538E-6</v>
      </c>
      <c r="U33" s="212">
        <v>7.4339480000000001E-5</v>
      </c>
      <c r="V33" s="212">
        <v>5.0081869999999999E-3</v>
      </c>
      <c r="W33" s="212">
        <v>1.0620810000000001</v>
      </c>
      <c r="X33" s="212">
        <v>5.3152349999999998E-3</v>
      </c>
      <c r="Y33" s="212">
        <v>1.11682E-6</v>
      </c>
      <c r="AA33" s="212">
        <v>7.4339480000000001E-5</v>
      </c>
      <c r="AB33" s="212">
        <v>5.1263569999999998E-3</v>
      </c>
      <c r="AC33" s="212">
        <v>1.062028</v>
      </c>
      <c r="AD33" s="212">
        <v>5.440337E-3</v>
      </c>
      <c r="AE33" s="212">
        <v>1.11682E-6</v>
      </c>
      <c r="AG33" s="212">
        <v>7.4398519999999997E-5</v>
      </c>
      <c r="AH33" s="212">
        <v>5.0237270000000004E-3</v>
      </c>
      <c r="AI33" s="212">
        <v>1.0620959999999999</v>
      </c>
      <c r="AJ33" s="212">
        <v>5.3316969999999998E-3</v>
      </c>
      <c r="AK33" s="212">
        <v>1.200246E-6</v>
      </c>
    </row>
    <row r="34" spans="1:37" x14ac:dyDescent="0.25">
      <c r="A34" s="211" t="s">
        <v>194</v>
      </c>
      <c r="C34" s="212">
        <v>1.175867E-4</v>
      </c>
      <c r="D34" s="212">
        <v>5.7801629999999996E-3</v>
      </c>
      <c r="E34" s="212">
        <v>1.0608519999999999</v>
      </c>
      <c r="F34" s="212">
        <v>6.127665E-3</v>
      </c>
      <c r="G34" s="212">
        <v>1.219763E-6</v>
      </c>
      <c r="I34" s="212">
        <v>1.178963E-4</v>
      </c>
      <c r="J34" s="212">
        <v>5.92509E-3</v>
      </c>
      <c r="K34" s="212">
        <v>1.060872</v>
      </c>
      <c r="L34" s="212">
        <v>6.2807849999999997E-3</v>
      </c>
      <c r="M34" s="212">
        <v>1.772462E-6</v>
      </c>
      <c r="O34" s="212">
        <v>1.1782290000000001E-4</v>
      </c>
      <c r="P34" s="212">
        <v>5.8072200000000001E-3</v>
      </c>
      <c r="Q34" s="212">
        <v>1.06091</v>
      </c>
      <c r="R34" s="212">
        <v>6.1565140000000001E-3</v>
      </c>
      <c r="S34" s="212">
        <v>8.9338760000000001E-7</v>
      </c>
      <c r="U34" s="212">
        <v>1.1932839999999999E-4</v>
      </c>
      <c r="V34" s="212">
        <v>5.9721499999999999E-3</v>
      </c>
      <c r="W34" s="212">
        <v>1.06073</v>
      </c>
      <c r="X34" s="212">
        <v>6.3295629999999999E-3</v>
      </c>
      <c r="Y34" s="212">
        <v>1.9031530000000001E-5</v>
      </c>
      <c r="AA34" s="212">
        <v>1.185018E-4</v>
      </c>
      <c r="AB34" s="212">
        <v>5.7802060000000004E-3</v>
      </c>
      <c r="AC34" s="212">
        <v>1.061021</v>
      </c>
      <c r="AD34" s="212">
        <v>6.1286969999999998E-3</v>
      </c>
      <c r="AE34" s="212">
        <v>1.269525E-5</v>
      </c>
      <c r="AG34" s="212">
        <v>1.179705E-4</v>
      </c>
      <c r="AH34" s="212">
        <v>5.9189079999999996E-3</v>
      </c>
      <c r="AI34" s="212">
        <v>1.0608489999999999</v>
      </c>
      <c r="AJ34" s="212">
        <v>6.2740230000000001E-3</v>
      </c>
      <c r="AK34" s="212">
        <v>1.686289E-6</v>
      </c>
    </row>
    <row r="35" spans="1:37" x14ac:dyDescent="0.25">
      <c r="A35" s="211" t="s">
        <v>195</v>
      </c>
      <c r="C35" s="212">
        <v>4.0228779999999998E-4</v>
      </c>
      <c r="D35" s="212">
        <v>5.7098729999999999E-3</v>
      </c>
      <c r="E35" s="212">
        <v>1.061037</v>
      </c>
      <c r="F35" s="212">
        <v>6.0512200000000004E-3</v>
      </c>
      <c r="G35" s="212">
        <v>2.4141170000000001E-6</v>
      </c>
      <c r="I35" s="212">
        <v>4.0131850000000002E-4</v>
      </c>
      <c r="J35" s="212">
        <v>5.8130780000000002E-3</v>
      </c>
      <c r="K35" s="212">
        <v>1.0611010000000001</v>
      </c>
      <c r="L35" s="212">
        <v>6.1607670000000002E-3</v>
      </c>
      <c r="M35" s="212">
        <v>2.006131E-6</v>
      </c>
      <c r="O35" s="212">
        <v>4.0230259999999999E-4</v>
      </c>
      <c r="P35" s="212">
        <v>5.7163759999999996E-3</v>
      </c>
      <c r="Q35" s="212">
        <v>1.061124</v>
      </c>
      <c r="R35" s="212">
        <v>6.0585980000000001E-3</v>
      </c>
      <c r="S35" s="212">
        <v>2.387613E-6</v>
      </c>
      <c r="U35" s="212">
        <v>4.0143170000000002E-4</v>
      </c>
      <c r="V35" s="212">
        <v>5.8076660000000004E-3</v>
      </c>
      <c r="W35" s="212">
        <v>1.0610360000000001</v>
      </c>
      <c r="X35" s="212">
        <v>6.1546530000000004E-3</v>
      </c>
      <c r="Y35" s="212">
        <v>2.1261050000000002E-6</v>
      </c>
      <c r="AA35" s="212">
        <v>4.0211069999999998E-4</v>
      </c>
      <c r="AB35" s="212">
        <v>5.7124660000000002E-3</v>
      </c>
      <c r="AC35" s="212">
        <v>1.0612090000000001</v>
      </c>
      <c r="AD35" s="212">
        <v>6.0549510000000003E-3</v>
      </c>
      <c r="AE35" s="212">
        <v>2.329106E-6</v>
      </c>
      <c r="AG35" s="212">
        <v>4.0137270000000001E-4</v>
      </c>
      <c r="AH35" s="212">
        <v>5.8004229999999999E-3</v>
      </c>
      <c r="AI35" s="212">
        <v>1.0610820000000001</v>
      </c>
      <c r="AJ35" s="212">
        <v>6.1472360000000004E-3</v>
      </c>
      <c r="AK35" s="212">
        <v>1.9938400000000001E-6</v>
      </c>
    </row>
    <row r="36" spans="1:37" x14ac:dyDescent="0.25">
      <c r="A36" s="211" t="s">
        <v>196</v>
      </c>
      <c r="C36" s="212">
        <v>2.4211069999999999E-4</v>
      </c>
      <c r="D36" s="212">
        <v>5.7601170000000004E-3</v>
      </c>
      <c r="E36" s="212">
        <v>1.0609519999999999</v>
      </c>
      <c r="F36" s="212">
        <v>6.1043030000000002E-3</v>
      </c>
      <c r="G36" s="212">
        <v>2.2514839999999999E-6</v>
      </c>
      <c r="I36" s="212">
        <v>4.9111109999999995E-4</v>
      </c>
      <c r="J36" s="212">
        <v>5.5640680000000001E-3</v>
      </c>
      <c r="K36" s="212">
        <v>1.061415</v>
      </c>
      <c r="L36" s="212">
        <v>5.9002079999999997E-3</v>
      </c>
      <c r="M36" s="212">
        <v>1.7359810000000001E-6</v>
      </c>
      <c r="O36" s="212">
        <v>2.421255E-4</v>
      </c>
      <c r="P36" s="212">
        <v>5.7542089999999997E-3</v>
      </c>
      <c r="Q36" s="212">
        <v>1.0610539999999999</v>
      </c>
      <c r="R36" s="212">
        <v>6.0986469999999996E-3</v>
      </c>
      <c r="S36" s="212">
        <v>2.3027629999999998E-6</v>
      </c>
      <c r="U36" s="212">
        <v>4.9115870000000002E-4</v>
      </c>
      <c r="V36" s="212">
        <v>5.5627810000000001E-3</v>
      </c>
      <c r="W36" s="212">
        <v>1.061337</v>
      </c>
      <c r="X36" s="212">
        <v>5.8983880000000001E-3</v>
      </c>
      <c r="Y36" s="212">
        <v>1.704218E-6</v>
      </c>
      <c r="AA36" s="212">
        <v>2.4234690000000001E-4</v>
      </c>
      <c r="AB36" s="212">
        <v>5.7555159999999996E-3</v>
      </c>
      <c r="AC36" s="212">
        <v>1.061124</v>
      </c>
      <c r="AD36" s="212">
        <v>6.1004359999999999E-3</v>
      </c>
      <c r="AE36" s="212">
        <v>2.1734039999999999E-6</v>
      </c>
      <c r="AG36" s="212">
        <v>4.9102580000000002E-4</v>
      </c>
      <c r="AH36" s="212">
        <v>5.5609939999999997E-3</v>
      </c>
      <c r="AI36" s="212">
        <v>1.0613710000000001</v>
      </c>
      <c r="AJ36" s="212">
        <v>5.8966829999999998E-3</v>
      </c>
      <c r="AK36" s="212">
        <v>1.7876320000000001E-6</v>
      </c>
    </row>
    <row r="37" spans="1:37" x14ac:dyDescent="0.25">
      <c r="A37" s="211" t="s">
        <v>197</v>
      </c>
      <c r="C37" s="212">
        <v>7.2346859999999994E-5</v>
      </c>
      <c r="D37" s="212">
        <v>4.7983679999999999E-3</v>
      </c>
      <c r="E37" s="212">
        <v>1.0622400000000001</v>
      </c>
      <c r="F37" s="212">
        <v>5.0942349999999999E-3</v>
      </c>
      <c r="G37" s="212">
        <v>1.973336E-6</v>
      </c>
      <c r="I37" s="212">
        <v>7.2518519999999995E-5</v>
      </c>
      <c r="J37" s="212">
        <v>4.7753400000000003E-3</v>
      </c>
      <c r="K37" s="212">
        <v>1.062476</v>
      </c>
      <c r="L37" s="212">
        <v>5.0711280000000003E-3</v>
      </c>
      <c r="M37" s="212">
        <v>1.935203E-6</v>
      </c>
      <c r="O37" s="212">
        <v>7.2258300000000006E-5</v>
      </c>
      <c r="P37" s="212">
        <v>4.7939829999999999E-3</v>
      </c>
      <c r="Q37" s="212">
        <v>1.062349</v>
      </c>
      <c r="R37" s="212">
        <v>5.0901610000000002E-3</v>
      </c>
      <c r="S37" s="212">
        <v>1.9869189999999999E-6</v>
      </c>
      <c r="U37" s="212">
        <v>7.2346859999999994E-5</v>
      </c>
      <c r="V37" s="212">
        <v>4.7413940000000003E-3</v>
      </c>
      <c r="W37" s="212">
        <v>1.06246</v>
      </c>
      <c r="X37" s="212">
        <v>5.035164E-3</v>
      </c>
      <c r="Y37" s="212">
        <v>1.973336E-6</v>
      </c>
      <c r="AA37" s="212">
        <v>7.2391140000000002E-5</v>
      </c>
      <c r="AB37" s="212">
        <v>4.7682089999999998E-3</v>
      </c>
      <c r="AC37" s="212">
        <v>1.06246</v>
      </c>
      <c r="AD37" s="212">
        <v>5.0634909999999998E-3</v>
      </c>
      <c r="AE37" s="212">
        <v>1.965008E-6</v>
      </c>
      <c r="AG37" s="212">
        <v>7.2391140000000002E-5</v>
      </c>
      <c r="AH37" s="212">
        <v>4.7508369999999999E-3</v>
      </c>
      <c r="AI37" s="212">
        <v>1.0624800000000001</v>
      </c>
      <c r="AJ37" s="212">
        <v>5.0452600000000002E-3</v>
      </c>
      <c r="AK37" s="212">
        <v>1.965008E-6</v>
      </c>
    </row>
    <row r="38" spans="1:37" x14ac:dyDescent="0.25">
      <c r="A38" s="211" t="s">
        <v>198</v>
      </c>
      <c r="C38" s="212">
        <v>1.2232470000000001E-4</v>
      </c>
      <c r="D38" s="212">
        <v>6.2183949999999998E-3</v>
      </c>
      <c r="E38" s="212">
        <v>1.0602819999999999</v>
      </c>
      <c r="F38" s="212">
        <v>6.5867629999999998E-3</v>
      </c>
      <c r="G38" s="212">
        <v>1.9881449999999999E-5</v>
      </c>
      <c r="I38" s="212">
        <v>1.236E-4</v>
      </c>
      <c r="J38" s="212">
        <v>6.31227E-3</v>
      </c>
      <c r="K38" s="212">
        <v>1.0603499999999999</v>
      </c>
      <c r="L38" s="212">
        <v>6.6864359999999996E-3</v>
      </c>
      <c r="M38" s="212">
        <v>2.663681E-5</v>
      </c>
      <c r="O38" s="212">
        <v>1.211292E-4</v>
      </c>
      <c r="P38" s="212">
        <v>6.3200030000000003E-3</v>
      </c>
      <c r="Q38" s="212">
        <v>1.060249</v>
      </c>
      <c r="R38" s="212">
        <v>6.69391E-3</v>
      </c>
      <c r="S38" s="212">
        <v>2.5549369999999998E-6</v>
      </c>
      <c r="U38" s="212">
        <v>1.214244E-4</v>
      </c>
      <c r="V38" s="212">
        <v>6.3022219999999997E-3</v>
      </c>
      <c r="W38" s="212">
        <v>1.0602830000000001</v>
      </c>
      <c r="X38" s="212">
        <v>6.6754359999999999E-3</v>
      </c>
      <c r="Y38" s="212">
        <v>2.54602E-6</v>
      </c>
      <c r="AA38" s="212">
        <v>1.211734E-4</v>
      </c>
      <c r="AB38" s="212">
        <v>6.318265E-3</v>
      </c>
      <c r="AC38" s="212">
        <v>1.0603229999999999</v>
      </c>
      <c r="AD38" s="212">
        <v>6.6925409999999998E-3</v>
      </c>
      <c r="AE38" s="212">
        <v>2.671418E-6</v>
      </c>
      <c r="AG38" s="212">
        <v>1.2157199999999999E-4</v>
      </c>
      <c r="AH38" s="212">
        <v>6.3169000000000003E-3</v>
      </c>
      <c r="AI38" s="212">
        <v>1.0603020000000001</v>
      </c>
      <c r="AJ38" s="212">
        <v>6.6909609999999996E-3</v>
      </c>
      <c r="AK38" s="212">
        <v>2.643193E-6</v>
      </c>
    </row>
    <row r="39" spans="1:37" x14ac:dyDescent="0.25">
      <c r="A39" s="211" t="s">
        <v>199</v>
      </c>
      <c r="C39" s="212">
        <v>4.0143170000000002E-4</v>
      </c>
      <c r="D39" s="212">
        <v>5.7509980000000002E-3</v>
      </c>
      <c r="E39" s="212">
        <v>1.0609820000000001</v>
      </c>
      <c r="F39" s="212">
        <v>6.0944930000000003E-3</v>
      </c>
      <c r="G39" s="212">
        <v>2.1811370000000001E-6</v>
      </c>
      <c r="I39" s="212">
        <v>4.0130370000000001E-4</v>
      </c>
      <c r="J39" s="212">
        <v>5.7587189999999998E-3</v>
      </c>
      <c r="K39" s="212">
        <v>1.061172</v>
      </c>
      <c r="L39" s="212">
        <v>6.1037940000000001E-3</v>
      </c>
      <c r="M39" s="212">
        <v>2.0010189999999999E-6</v>
      </c>
      <c r="O39" s="212">
        <v>4.0063469999999999E-4</v>
      </c>
      <c r="P39" s="212">
        <v>5.7608980000000004E-3</v>
      </c>
      <c r="Q39" s="212">
        <v>1.061067</v>
      </c>
      <c r="R39" s="212">
        <v>6.1054680000000002E-3</v>
      </c>
      <c r="S39" s="212">
        <v>1.464182E-6</v>
      </c>
      <c r="U39" s="212">
        <v>4.0075279999999999E-4</v>
      </c>
      <c r="V39" s="212">
        <v>5.7630579999999997E-3</v>
      </c>
      <c r="W39" s="212">
        <v>1.0610919999999999</v>
      </c>
      <c r="X39" s="212">
        <v>6.1078820000000002E-3</v>
      </c>
      <c r="Y39" s="212">
        <v>1.5663539999999999E-6</v>
      </c>
      <c r="AA39" s="212">
        <v>4.0061989999999999E-4</v>
      </c>
      <c r="AB39" s="212">
        <v>5.7572229999999997E-3</v>
      </c>
      <c r="AC39" s="212">
        <v>1.06115</v>
      </c>
      <c r="AD39" s="212">
        <v>6.1020789999999998E-3</v>
      </c>
      <c r="AE39" s="212">
        <v>1.4905289999999999E-6</v>
      </c>
      <c r="AG39" s="212">
        <v>4.0053140000000001E-4</v>
      </c>
      <c r="AH39" s="212">
        <v>5.7499300000000003E-3</v>
      </c>
      <c r="AI39" s="212">
        <v>1.061148</v>
      </c>
      <c r="AJ39" s="212">
        <v>6.0943009999999999E-3</v>
      </c>
      <c r="AK39" s="212">
        <v>1.3601239999999999E-6</v>
      </c>
    </row>
    <row r="40" spans="1:37" x14ac:dyDescent="0.25">
      <c r="A40" s="211" t="s">
        <v>200</v>
      </c>
      <c r="C40" s="212">
        <v>2.4426569999999999E-4</v>
      </c>
      <c r="D40" s="212">
        <v>5.8023930000000003E-3</v>
      </c>
      <c r="E40" s="212">
        <v>1.0608919999999999</v>
      </c>
      <c r="F40" s="212">
        <v>6.1486969999999998E-3</v>
      </c>
      <c r="G40" s="212">
        <v>2.630921E-6</v>
      </c>
      <c r="I40" s="212">
        <v>4.9088889999999996E-4</v>
      </c>
      <c r="J40" s="212">
        <v>5.597355E-3</v>
      </c>
      <c r="K40" s="212">
        <v>1.0613619999999999</v>
      </c>
      <c r="L40" s="212">
        <v>5.9350929999999998E-3</v>
      </c>
      <c r="M40" s="212">
        <v>1.8277770000000001E-6</v>
      </c>
      <c r="O40" s="212">
        <v>2.4444279999999999E-4</v>
      </c>
      <c r="P40" s="212">
        <v>5.8119590000000002E-3</v>
      </c>
      <c r="Q40" s="212">
        <v>1.0609740000000001</v>
      </c>
      <c r="R40" s="212">
        <v>6.1593079999999996E-3</v>
      </c>
      <c r="S40" s="212">
        <v>2.5377619999999999E-6</v>
      </c>
      <c r="U40" s="212">
        <v>4.910111E-4</v>
      </c>
      <c r="V40" s="212">
        <v>5.5960740000000004E-3</v>
      </c>
      <c r="W40" s="212">
        <v>1.0612889999999999</v>
      </c>
      <c r="X40" s="212">
        <v>5.9333220000000004E-3</v>
      </c>
      <c r="Y40" s="212">
        <v>1.728805E-6</v>
      </c>
      <c r="AA40" s="212">
        <v>2.4470850000000001E-4</v>
      </c>
      <c r="AB40" s="212">
        <v>5.8088669999999997E-3</v>
      </c>
      <c r="AC40" s="212">
        <v>1.061059</v>
      </c>
      <c r="AD40" s="212">
        <v>6.156557E-3</v>
      </c>
      <c r="AE40" s="212">
        <v>2.45249E-6</v>
      </c>
      <c r="AG40" s="212">
        <v>4.9124719999999995E-4</v>
      </c>
      <c r="AH40" s="212">
        <v>5.5951899999999999E-3</v>
      </c>
      <c r="AI40" s="212">
        <v>1.0613239999999999</v>
      </c>
      <c r="AJ40" s="212">
        <v>5.9325610000000003E-3</v>
      </c>
      <c r="AK40" s="212">
        <v>1.5663539999999999E-6</v>
      </c>
    </row>
    <row r="41" spans="1:37" x14ac:dyDescent="0.25">
      <c r="A41" s="211" t="s">
        <v>201</v>
      </c>
      <c r="C41" s="212">
        <v>7.2450179999999998E-5</v>
      </c>
      <c r="D41" s="212">
        <v>5.1778329999999997E-3</v>
      </c>
      <c r="E41" s="212">
        <v>1.061741</v>
      </c>
      <c r="F41" s="212">
        <v>5.4929369999999998E-3</v>
      </c>
      <c r="G41" s="212">
        <v>1.9522799999999998E-6</v>
      </c>
      <c r="I41" s="212">
        <v>7.2607410000000006E-5</v>
      </c>
      <c r="J41" s="212">
        <v>4.6788369999999999E-3</v>
      </c>
      <c r="K41" s="212">
        <v>1.0626599999999999</v>
      </c>
      <c r="L41" s="212">
        <v>4.9706419999999999E-3</v>
      </c>
      <c r="M41" s="212">
        <v>1.9090720000000001E-6</v>
      </c>
      <c r="O41" s="212">
        <v>7.2464940000000001E-5</v>
      </c>
      <c r="P41" s="212">
        <v>5.191457E-3</v>
      </c>
      <c r="Q41" s="212">
        <v>1.0618399999999999</v>
      </c>
      <c r="R41" s="212">
        <v>5.5079309999999998E-3</v>
      </c>
      <c r="S41" s="212">
        <v>1.9488049999999998E-6</v>
      </c>
      <c r="U41" s="212">
        <v>7.2420660000000007E-5</v>
      </c>
      <c r="V41" s="212">
        <v>4.6447650000000004E-3</v>
      </c>
      <c r="W41" s="212">
        <v>1.0626469999999999</v>
      </c>
      <c r="X41" s="212">
        <v>4.9345969999999998E-3</v>
      </c>
      <c r="Y41" s="212">
        <v>1.958877E-6</v>
      </c>
      <c r="AA41" s="212">
        <v>7.2553510000000003E-5</v>
      </c>
      <c r="AB41" s="212">
        <v>5.2030540000000004E-3</v>
      </c>
      <c r="AC41" s="212">
        <v>1.0618909999999999</v>
      </c>
      <c r="AD41" s="212">
        <v>5.5204340000000003E-3</v>
      </c>
      <c r="AE41" s="212">
        <v>1.925438E-6</v>
      </c>
      <c r="AG41" s="212">
        <v>7.2450179999999998E-5</v>
      </c>
      <c r="AH41" s="212">
        <v>4.6671819999999998E-3</v>
      </c>
      <c r="AI41" s="212">
        <v>1.062638</v>
      </c>
      <c r="AJ41" s="212">
        <v>4.958255E-3</v>
      </c>
      <c r="AK41" s="212">
        <v>1.9522799999999998E-6</v>
      </c>
    </row>
    <row r="42" spans="1:37" x14ac:dyDescent="0.25">
      <c r="A42" s="211" t="s">
        <v>202</v>
      </c>
      <c r="C42" s="212">
        <v>1.2000740000000001E-4</v>
      </c>
      <c r="D42" s="212">
        <v>5.8662840000000003E-3</v>
      </c>
      <c r="E42" s="212">
        <v>1.060737</v>
      </c>
      <c r="F42" s="212">
        <v>6.2173419999999998E-3</v>
      </c>
      <c r="G42" s="212">
        <v>1.88495E-5</v>
      </c>
      <c r="I42" s="212">
        <v>1.2346669999999999E-4</v>
      </c>
      <c r="J42" s="212">
        <v>6.2731719999999996E-3</v>
      </c>
      <c r="K42" s="212">
        <v>1.06037</v>
      </c>
      <c r="L42" s="212">
        <v>6.6451510000000002E-3</v>
      </c>
      <c r="M42" s="212">
        <v>2.3854199999999999E-5</v>
      </c>
      <c r="O42" s="212">
        <v>1.1867900000000001E-4</v>
      </c>
      <c r="P42" s="212">
        <v>5.8322280000000001E-3</v>
      </c>
      <c r="Q42" s="212">
        <v>1.060891</v>
      </c>
      <c r="R42" s="212">
        <v>6.1823219999999996E-3</v>
      </c>
      <c r="S42" s="212">
        <v>2.601332E-6</v>
      </c>
      <c r="U42" s="212">
        <v>1.222362E-4</v>
      </c>
      <c r="V42" s="212">
        <v>6.2770949999999999E-3</v>
      </c>
      <c r="W42" s="212">
        <v>1.0603</v>
      </c>
      <c r="X42" s="212">
        <v>6.6488880000000004E-3</v>
      </c>
      <c r="Y42" s="212">
        <v>1.388856E-5</v>
      </c>
      <c r="AA42" s="212">
        <v>1.184428E-4</v>
      </c>
      <c r="AB42" s="212">
        <v>5.8430499999999998E-3</v>
      </c>
      <c r="AC42" s="212">
        <v>1.0609390000000001</v>
      </c>
      <c r="AD42" s="212">
        <v>6.1940099999999998E-3</v>
      </c>
      <c r="AE42" s="212">
        <v>2.4181900000000001E-6</v>
      </c>
      <c r="AG42" s="212">
        <v>1.2359409999999999E-4</v>
      </c>
      <c r="AH42" s="212">
        <v>6.2377760000000004E-3</v>
      </c>
      <c r="AI42" s="212">
        <v>1.0603860000000001</v>
      </c>
      <c r="AJ42" s="212">
        <v>6.607885E-3</v>
      </c>
      <c r="AK42" s="212">
        <v>2.7801369999999999E-5</v>
      </c>
    </row>
    <row r="43" spans="1:37" x14ac:dyDescent="0.25">
      <c r="A43" s="211" t="s">
        <v>203</v>
      </c>
      <c r="C43" s="212">
        <v>1.40524E-4</v>
      </c>
      <c r="D43" s="212">
        <v>7.6645719999999997E-3</v>
      </c>
      <c r="E43" s="212">
        <v>1.0585070000000001</v>
      </c>
      <c r="F43" s="212">
        <v>8.0987279999999995E-3</v>
      </c>
      <c r="G43" s="212">
        <v>2.9176450000000001E-5</v>
      </c>
      <c r="I43" s="212">
        <v>1.6937779999999999E-4</v>
      </c>
      <c r="J43" s="212">
        <v>7.1521759999999997E-3</v>
      </c>
      <c r="K43" s="212">
        <v>1.05938</v>
      </c>
      <c r="L43" s="212">
        <v>7.5635429999999998E-3</v>
      </c>
      <c r="M43" s="212">
        <v>3.4596749999999997E-5</v>
      </c>
      <c r="O43" s="212">
        <v>1.3918080000000001E-4</v>
      </c>
      <c r="P43" s="212">
        <v>7.64804E-3</v>
      </c>
      <c r="Q43" s="212">
        <v>1.05863</v>
      </c>
      <c r="R43" s="212">
        <v>8.0823360000000007E-3</v>
      </c>
      <c r="S43" s="212">
        <v>2.829724E-5</v>
      </c>
      <c r="U43" s="212">
        <v>1.7060520000000001E-4</v>
      </c>
      <c r="V43" s="212">
        <v>7.0914000000000003E-3</v>
      </c>
      <c r="W43" s="212">
        <v>1.059383</v>
      </c>
      <c r="X43" s="212">
        <v>7.4995189999999996E-3</v>
      </c>
      <c r="Y43" s="212">
        <v>3.482936E-5</v>
      </c>
      <c r="AA43" s="212">
        <v>1.3727680000000001E-4</v>
      </c>
      <c r="AB43" s="212">
        <v>7.6933399999999999E-3</v>
      </c>
      <c r="AC43" s="212">
        <v>1.0586439999999999</v>
      </c>
      <c r="AD43" s="212">
        <v>8.1304759999999993E-3</v>
      </c>
      <c r="AE43" s="212">
        <v>2.7107619999999999E-5</v>
      </c>
      <c r="AG43" s="212">
        <v>1.6769739999999999E-4</v>
      </c>
      <c r="AH43" s="212">
        <v>7.1354599999999997E-3</v>
      </c>
      <c r="AI43" s="212">
        <v>1.0593600000000001</v>
      </c>
      <c r="AJ43" s="212">
        <v>7.5459139999999999E-3</v>
      </c>
      <c r="AK43" s="212">
        <v>3.5712600000000001E-5</v>
      </c>
    </row>
    <row r="44" spans="1:37" x14ac:dyDescent="0.25">
      <c r="A44" s="211" t="s">
        <v>204</v>
      </c>
      <c r="C44" s="212">
        <v>0</v>
      </c>
      <c r="D44" s="212">
        <v>5.2287479999999996E-7</v>
      </c>
      <c r="E44" s="212">
        <v>1.069493</v>
      </c>
      <c r="F44" s="212">
        <v>5.5920939999999998E-7</v>
      </c>
      <c r="G44" s="212">
        <v>0</v>
      </c>
      <c r="I44" s="212">
        <v>0</v>
      </c>
      <c r="J44" s="212">
        <v>5.3139070000000005E-7</v>
      </c>
      <c r="K44" s="212">
        <v>1.0696859999999999</v>
      </c>
      <c r="L44" s="212">
        <v>5.6841950000000004E-7</v>
      </c>
      <c r="M44" s="212">
        <v>0</v>
      </c>
      <c r="O44" s="212">
        <v>0</v>
      </c>
      <c r="P44" s="212">
        <v>5.2792860000000005E-7</v>
      </c>
      <c r="Q44" s="212">
        <v>1.069591</v>
      </c>
      <c r="R44" s="212">
        <v>5.6466630000000001E-7</v>
      </c>
      <c r="S44" s="212">
        <v>0</v>
      </c>
      <c r="U44" s="212">
        <v>0</v>
      </c>
      <c r="V44" s="212">
        <v>5.2869469999999995E-7</v>
      </c>
      <c r="W44" s="212">
        <v>1.0696159999999999</v>
      </c>
      <c r="X44" s="212">
        <v>5.6549869999999997E-7</v>
      </c>
      <c r="Y44" s="212">
        <v>0</v>
      </c>
      <c r="AA44" s="212">
        <v>0</v>
      </c>
      <c r="AB44" s="212">
        <v>5.2850369999999998E-7</v>
      </c>
      <c r="AC44" s="212">
        <v>1.0696639999999999</v>
      </c>
      <c r="AD44" s="212">
        <v>5.6531980000000005E-7</v>
      </c>
      <c r="AE44" s="212">
        <v>0</v>
      </c>
      <c r="AG44" s="212">
        <v>0</v>
      </c>
      <c r="AH44" s="212">
        <v>5.2811009999999997E-7</v>
      </c>
      <c r="AI44" s="212">
        <v>1.0696479999999999</v>
      </c>
      <c r="AJ44" s="212">
        <v>5.6489009999999996E-7</v>
      </c>
      <c r="AK44" s="212">
        <v>0</v>
      </c>
    </row>
    <row r="46" spans="1:37" x14ac:dyDescent="0.25">
      <c r="A46" s="211" t="s">
        <v>218</v>
      </c>
    </row>
    <row r="48" spans="1:37" x14ac:dyDescent="0.25">
      <c r="F48" s="211">
        <v>-10</v>
      </c>
      <c r="G48" s="211">
        <v>0</v>
      </c>
      <c r="H48" s="211">
        <v>4</v>
      </c>
    </row>
    <row r="49" spans="1:8" x14ac:dyDescent="0.25">
      <c r="C49" s="211" t="s">
        <v>209</v>
      </c>
      <c r="F49" s="211" t="s">
        <v>219</v>
      </c>
      <c r="G49" s="211" t="s">
        <v>219</v>
      </c>
      <c r="H49" s="211" t="s">
        <v>219</v>
      </c>
    </row>
    <row r="50" spans="1:8" x14ac:dyDescent="0.25">
      <c r="A50" s="211" t="s">
        <v>190</v>
      </c>
      <c r="C50" s="212">
        <v>3.9336869999999997E-4</v>
      </c>
      <c r="F50" s="212">
        <v>1.0568350000000001E-2</v>
      </c>
      <c r="G50" s="212">
        <v>1.059352E-2</v>
      </c>
      <c r="H50" s="212">
        <v>1.058744E-2</v>
      </c>
    </row>
    <row r="51" spans="1:8" x14ac:dyDescent="0.25">
      <c r="A51" s="211" t="s">
        <v>191</v>
      </c>
      <c r="C51" s="212">
        <v>4.8182230000000002E-4</v>
      </c>
      <c r="F51" s="212">
        <v>9.308139E-3</v>
      </c>
      <c r="G51" s="212">
        <v>9.3267929999999999E-3</v>
      </c>
      <c r="H51" s="212">
        <v>9.3237040000000004E-3</v>
      </c>
    </row>
    <row r="52" spans="1:8" x14ac:dyDescent="0.25">
      <c r="A52" s="211" t="s">
        <v>192</v>
      </c>
      <c r="F52" s="212">
        <v>1.2760199999999999E-2</v>
      </c>
      <c r="G52" s="212">
        <v>1.6905320000000001E-2</v>
      </c>
      <c r="H52" s="212">
        <v>1.9183519999999999E-2</v>
      </c>
    </row>
    <row r="53" spans="1:8" x14ac:dyDescent="0.25">
      <c r="A53" s="211" t="s">
        <v>193</v>
      </c>
      <c r="C53" s="212">
        <v>7.4457110000000003E-5</v>
      </c>
      <c r="F53" s="212">
        <v>8.342113E-3</v>
      </c>
      <c r="G53" s="212">
        <v>8.2908099999999992E-3</v>
      </c>
      <c r="H53" s="212">
        <v>8.2994650000000007E-3</v>
      </c>
    </row>
    <row r="54" spans="1:8" x14ac:dyDescent="0.25">
      <c r="A54" s="211" t="s">
        <v>194</v>
      </c>
      <c r="C54" s="212">
        <v>1.187525E-4</v>
      </c>
      <c r="F54" s="212">
        <v>1.369715E-2</v>
      </c>
      <c r="G54" s="212">
        <v>1.368372E-2</v>
      </c>
      <c r="H54" s="212">
        <v>1.368925E-2</v>
      </c>
    </row>
    <row r="55" spans="1:8" x14ac:dyDescent="0.25">
      <c r="A55" s="211" t="s">
        <v>195</v>
      </c>
      <c r="C55" s="212">
        <v>4.0188399999999998E-4</v>
      </c>
      <c r="F55" s="212">
        <v>8.5209369999999993E-3</v>
      </c>
      <c r="G55" s="212">
        <v>8.5257309999999999E-3</v>
      </c>
      <c r="H55" s="212">
        <v>8.5342160000000007E-3</v>
      </c>
    </row>
    <row r="56" spans="1:8" x14ac:dyDescent="0.25">
      <c r="A56" s="211" t="s">
        <v>196</v>
      </c>
      <c r="F56" s="212">
        <v>1.1440219999999999E-2</v>
      </c>
      <c r="G56" s="212">
        <v>1.540157E-2</v>
      </c>
      <c r="H56" s="212">
        <v>1.7713119999999999E-2</v>
      </c>
    </row>
    <row r="57" spans="1:8" x14ac:dyDescent="0.25">
      <c r="A57" s="211" t="s">
        <v>197</v>
      </c>
      <c r="C57" s="212">
        <v>7.2364889999999995E-5</v>
      </c>
      <c r="F57" s="212">
        <v>7.9519450000000002E-3</v>
      </c>
      <c r="G57" s="212">
        <v>8.0113509999999999E-3</v>
      </c>
      <c r="H57" s="212">
        <v>7.9898309999999993E-3</v>
      </c>
    </row>
    <row r="58" spans="1:8" x14ac:dyDescent="0.25">
      <c r="A58" s="211" t="s">
        <v>198</v>
      </c>
      <c r="C58" s="212">
        <v>1.2227559999999999E-4</v>
      </c>
      <c r="F58" s="212">
        <v>1.406049E-2</v>
      </c>
      <c r="G58" s="212">
        <v>1.393894E-2</v>
      </c>
      <c r="H58" s="212">
        <v>1.4110670000000001E-2</v>
      </c>
    </row>
    <row r="59" spans="1:8" x14ac:dyDescent="0.25">
      <c r="A59" s="211" t="s">
        <v>199</v>
      </c>
      <c r="C59" s="212">
        <v>4.0087629999999998E-4</v>
      </c>
      <c r="F59" s="212">
        <v>8.5038389999999991E-3</v>
      </c>
      <c r="G59" s="212">
        <v>8.5215020000000002E-3</v>
      </c>
      <c r="H59" s="212">
        <v>8.5093619999999995E-3</v>
      </c>
    </row>
    <row r="60" spans="1:8" x14ac:dyDescent="0.25">
      <c r="A60" s="211" t="s">
        <v>200</v>
      </c>
      <c r="F60" s="212">
        <v>1.151107E-2</v>
      </c>
      <c r="G60" s="212">
        <v>1.5631269999999999E-2</v>
      </c>
      <c r="H60" s="212">
        <v>1.747837E-2</v>
      </c>
    </row>
    <row r="61" spans="1:8" x14ac:dyDescent="0.25">
      <c r="A61" s="211" t="s">
        <v>201</v>
      </c>
      <c r="C61" s="212">
        <v>7.2437490000000005E-5</v>
      </c>
      <c r="F61" s="212">
        <v>8.020101E-3</v>
      </c>
      <c r="G61" s="212">
        <v>8.1029799999999992E-3</v>
      </c>
      <c r="H61" s="212">
        <v>8.1820049999999991E-3</v>
      </c>
    </row>
    <row r="62" spans="1:8" x14ac:dyDescent="0.25">
      <c r="A62" s="211" t="s">
        <v>202</v>
      </c>
      <c r="C62" s="212">
        <v>1.206771E-4</v>
      </c>
      <c r="F62" s="212">
        <v>1.3872239999999999E-2</v>
      </c>
      <c r="G62" s="212">
        <v>1.3787280000000001E-2</v>
      </c>
      <c r="H62" s="212">
        <v>1.3825560000000001E-2</v>
      </c>
    </row>
    <row r="63" spans="1:8" x14ac:dyDescent="0.25">
      <c r="A63" s="211" t="s">
        <v>203</v>
      </c>
      <c r="C63" s="212">
        <v>1.5444800000000001E-4</v>
      </c>
      <c r="F63" s="212">
        <v>9.8612000000000005E-3</v>
      </c>
      <c r="G63" s="212">
        <v>9.8230060000000004E-3</v>
      </c>
      <c r="H63" s="212">
        <v>9.7770050000000001E-3</v>
      </c>
    </row>
    <row r="64" spans="1:8" x14ac:dyDescent="0.25">
      <c r="A64" s="211" t="s">
        <v>204</v>
      </c>
      <c r="F64" s="212">
        <v>6.0343209999999999E-7</v>
      </c>
      <c r="G64" s="212">
        <v>6.0565180000000004E-7</v>
      </c>
      <c r="H64" s="212">
        <v>6.0570069999999998E-7</v>
      </c>
    </row>
    <row r="66" spans="1:4" x14ac:dyDescent="0.25">
      <c r="A66" s="211" t="s">
        <v>220</v>
      </c>
    </row>
    <row r="68" spans="1:4" x14ac:dyDescent="0.25">
      <c r="B68" s="211" t="s">
        <v>221</v>
      </c>
      <c r="C68" s="211" t="s">
        <v>222</v>
      </c>
    </row>
    <row r="69" spans="1:4" x14ac:dyDescent="0.25">
      <c r="B69" s="211">
        <v>6</v>
      </c>
      <c r="C69" s="212">
        <v>2.4321999999999999E-4</v>
      </c>
    </row>
    <row r="70" spans="1:4" x14ac:dyDescent="0.25">
      <c r="B70" s="211">
        <v>37</v>
      </c>
      <c r="C70" s="212">
        <v>4.9105350000000004E-4</v>
      </c>
    </row>
    <row r="72" spans="1:4" x14ac:dyDescent="0.25">
      <c r="B72" s="211" t="s">
        <v>223</v>
      </c>
    </row>
    <row r="73" spans="1:4" x14ac:dyDescent="0.25">
      <c r="B73" s="211" t="s">
        <v>224</v>
      </c>
      <c r="C73" s="212">
        <v>195.13669999999999</v>
      </c>
      <c r="D73" s="211" t="s">
        <v>225</v>
      </c>
    </row>
    <row r="74" spans="1:4" x14ac:dyDescent="0.25">
      <c r="B74" s="211" t="s">
        <v>226</v>
      </c>
      <c r="C74" s="212">
        <v>8</v>
      </c>
      <c r="D74" s="211"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F2C7-14E9-43EB-BE97-7CFEACACB02C}">
  <dimension ref="A2:AK50"/>
  <sheetViews>
    <sheetView topLeftCell="A11" zoomScale="85" zoomScaleNormal="85" workbookViewId="0">
      <selection activeCell="D14" sqref="D14"/>
    </sheetView>
  </sheetViews>
  <sheetFormatPr defaultRowHeight="15" x14ac:dyDescent="0.25"/>
  <cols>
    <col min="1" max="16384" width="9.140625" style="211"/>
  </cols>
  <sheetData>
    <row r="2" spans="1:37" x14ac:dyDescent="0.25">
      <c r="A2" s="211" t="s">
        <v>180</v>
      </c>
    </row>
    <row r="4" spans="1:37" x14ac:dyDescent="0.25">
      <c r="C4" s="211" t="s">
        <v>181</v>
      </c>
      <c r="D4" s="211">
        <v>-10</v>
      </c>
      <c r="E4" s="211" t="s">
        <v>182</v>
      </c>
      <c r="F4" s="211">
        <v>0</v>
      </c>
      <c r="I4" s="211" t="s">
        <v>181</v>
      </c>
      <c r="J4" s="211">
        <v>-10</v>
      </c>
      <c r="K4" s="211" t="s">
        <v>182</v>
      </c>
      <c r="L4" s="211">
        <v>64</v>
      </c>
      <c r="O4" s="211" t="s">
        <v>181</v>
      </c>
      <c r="P4" s="211">
        <v>0</v>
      </c>
      <c r="Q4" s="211" t="s">
        <v>182</v>
      </c>
      <c r="R4" s="211">
        <v>0</v>
      </c>
      <c r="U4" s="211" t="s">
        <v>181</v>
      </c>
      <c r="V4" s="211">
        <v>0</v>
      </c>
      <c r="W4" s="211" t="s">
        <v>182</v>
      </c>
      <c r="X4" s="211">
        <v>64</v>
      </c>
      <c r="AA4" s="211" t="s">
        <v>181</v>
      </c>
      <c r="AB4" s="211">
        <v>4</v>
      </c>
      <c r="AC4" s="211" t="s">
        <v>182</v>
      </c>
      <c r="AD4" s="211">
        <v>0</v>
      </c>
      <c r="AG4" s="211" t="s">
        <v>181</v>
      </c>
      <c r="AH4" s="211">
        <v>4</v>
      </c>
      <c r="AI4" s="211" t="s">
        <v>182</v>
      </c>
      <c r="AJ4" s="211">
        <v>64</v>
      </c>
    </row>
    <row r="5" spans="1:37" x14ac:dyDescent="0.25">
      <c r="C5" s="211" t="s">
        <v>183</v>
      </c>
      <c r="D5" s="211">
        <v>199</v>
      </c>
      <c r="E5" s="211" t="s">
        <v>184</v>
      </c>
      <c r="F5" s="211">
        <v>198</v>
      </c>
      <c r="I5" s="211" t="s">
        <v>183</v>
      </c>
      <c r="J5" s="211">
        <v>200</v>
      </c>
      <c r="K5" s="211" t="s">
        <v>184</v>
      </c>
      <c r="L5" s="211">
        <v>199</v>
      </c>
      <c r="O5" s="211" t="s">
        <v>183</v>
      </c>
      <c r="P5" s="211">
        <v>199</v>
      </c>
      <c r="Q5" s="211" t="s">
        <v>184</v>
      </c>
      <c r="R5" s="211">
        <v>198</v>
      </c>
      <c r="U5" s="211" t="s">
        <v>183</v>
      </c>
      <c r="V5" s="211">
        <v>199</v>
      </c>
      <c r="W5" s="211" t="s">
        <v>184</v>
      </c>
      <c r="X5" s="211">
        <v>198</v>
      </c>
      <c r="AA5" s="211" t="s">
        <v>183</v>
      </c>
      <c r="AB5" s="211">
        <v>200</v>
      </c>
      <c r="AC5" s="211" t="s">
        <v>184</v>
      </c>
      <c r="AD5" s="211">
        <v>199</v>
      </c>
      <c r="AG5" s="211" t="s">
        <v>183</v>
      </c>
      <c r="AH5" s="211">
        <v>200</v>
      </c>
      <c r="AI5" s="211" t="s">
        <v>184</v>
      </c>
      <c r="AJ5" s="211">
        <v>199</v>
      </c>
    </row>
    <row r="6" spans="1:37" x14ac:dyDescent="0.25">
      <c r="C6" s="211" t="s">
        <v>185</v>
      </c>
      <c r="D6" s="211" t="s">
        <v>186</v>
      </c>
      <c r="E6" s="211" t="s">
        <v>187</v>
      </c>
      <c r="F6" s="211" t="s">
        <v>188</v>
      </c>
      <c r="G6" s="211" t="s">
        <v>189</v>
      </c>
      <c r="I6" s="211" t="s">
        <v>185</v>
      </c>
      <c r="J6" s="211" t="s">
        <v>186</v>
      </c>
      <c r="K6" s="211" t="s">
        <v>187</v>
      </c>
      <c r="L6" s="211" t="s">
        <v>188</v>
      </c>
      <c r="M6" s="211" t="s">
        <v>189</v>
      </c>
      <c r="O6" s="211" t="s">
        <v>185</v>
      </c>
      <c r="P6" s="211" t="s">
        <v>186</v>
      </c>
      <c r="Q6" s="211" t="s">
        <v>187</v>
      </c>
      <c r="R6" s="211" t="s">
        <v>188</v>
      </c>
      <c r="S6" s="211" t="s">
        <v>189</v>
      </c>
      <c r="U6" s="211" t="s">
        <v>185</v>
      </c>
      <c r="V6" s="211" t="s">
        <v>186</v>
      </c>
      <c r="W6" s="211" t="s">
        <v>187</v>
      </c>
      <c r="X6" s="211" t="s">
        <v>188</v>
      </c>
      <c r="Y6" s="211" t="s">
        <v>189</v>
      </c>
      <c r="AA6" s="211" t="s">
        <v>185</v>
      </c>
      <c r="AB6" s="211" t="s">
        <v>186</v>
      </c>
      <c r="AC6" s="211" t="s">
        <v>187</v>
      </c>
      <c r="AD6" s="211" t="s">
        <v>188</v>
      </c>
      <c r="AE6" s="211" t="s">
        <v>189</v>
      </c>
      <c r="AG6" s="211" t="s">
        <v>185</v>
      </c>
      <c r="AH6" s="211" t="s">
        <v>186</v>
      </c>
      <c r="AI6" s="211" t="s">
        <v>187</v>
      </c>
      <c r="AJ6" s="211" t="s">
        <v>188</v>
      </c>
      <c r="AK6" s="211" t="s">
        <v>189</v>
      </c>
    </row>
    <row r="8" spans="1:37" x14ac:dyDescent="0.25">
      <c r="A8" s="211" t="s">
        <v>190</v>
      </c>
      <c r="C8" s="212">
        <v>3.9314569999999999E-4</v>
      </c>
      <c r="D8" s="212">
        <v>2.9667090000000001E-3</v>
      </c>
      <c r="E8" s="212">
        <v>1.2000519999999999</v>
      </c>
      <c r="F8" s="212">
        <v>3.4637859999999999E-3</v>
      </c>
      <c r="G8" s="212">
        <v>1.812936E-6</v>
      </c>
      <c r="I8" s="212">
        <v>3.9320000000000002E-4</v>
      </c>
      <c r="J8" s="212">
        <v>2.9916209999999999E-3</v>
      </c>
      <c r="K8" s="212">
        <v>1.2000150000000001</v>
      </c>
      <c r="L8" s="212">
        <v>3.4941830000000001E-3</v>
      </c>
      <c r="M8" s="212">
        <v>1.83763E-6</v>
      </c>
      <c r="O8" s="212">
        <v>3.9328639999999999E-4</v>
      </c>
      <c r="P8" s="212">
        <v>2.9722030000000001E-3</v>
      </c>
      <c r="Q8" s="212">
        <v>1.200054</v>
      </c>
      <c r="R8" s="212">
        <v>3.4706860000000002E-3</v>
      </c>
      <c r="S8" s="212">
        <v>1.8730859999999999E-6</v>
      </c>
      <c r="U8" s="212">
        <v>3.93206E-4</v>
      </c>
      <c r="V8" s="212">
        <v>2.9884059999999999E-3</v>
      </c>
      <c r="W8" s="212">
        <v>1.2000249999999999</v>
      </c>
      <c r="X8" s="212">
        <v>3.490253E-3</v>
      </c>
      <c r="Y8" s="212">
        <v>1.8402800000000001E-6</v>
      </c>
      <c r="AA8" s="212">
        <v>3.9330000000000002E-4</v>
      </c>
      <c r="AB8" s="212">
        <v>2.9850509999999999E-3</v>
      </c>
      <c r="AC8" s="212">
        <v>1.199986</v>
      </c>
      <c r="AD8" s="212">
        <v>3.4847770000000001E-3</v>
      </c>
      <c r="AE8" s="212">
        <v>1.8782010000000001E-6</v>
      </c>
      <c r="AG8" s="212">
        <v>3.9324E-4</v>
      </c>
      <c r="AH8" s="212">
        <v>2.9893599999999999E-3</v>
      </c>
      <c r="AI8" s="212">
        <v>1.2</v>
      </c>
      <c r="AJ8" s="212">
        <v>3.4910280000000002E-3</v>
      </c>
      <c r="AK8" s="212">
        <v>1.854615E-6</v>
      </c>
    </row>
    <row r="9" spans="1:37" x14ac:dyDescent="0.25">
      <c r="A9" s="211" t="s">
        <v>191</v>
      </c>
      <c r="C9" s="212">
        <v>3.831005E-4</v>
      </c>
      <c r="D9" s="212">
        <v>1.8376550000000001E-3</v>
      </c>
      <c r="E9" s="212">
        <v>1.1998310000000001</v>
      </c>
      <c r="F9" s="212">
        <v>2.2048689999999999E-3</v>
      </c>
      <c r="G9" s="212">
        <v>9.337118E-6</v>
      </c>
      <c r="I9" s="212">
        <v>3.8437999999999998E-4</v>
      </c>
      <c r="J9" s="212">
        <v>1.838178E-3</v>
      </c>
      <c r="K9" s="212">
        <v>1.1998089999999999</v>
      </c>
      <c r="L9" s="212">
        <v>2.2054570000000001E-3</v>
      </c>
      <c r="M9" s="212">
        <v>9.2977329999999994E-6</v>
      </c>
      <c r="O9" s="212">
        <v>3.8340200000000003E-4</v>
      </c>
      <c r="P9" s="212">
        <v>1.8393769999999999E-3</v>
      </c>
      <c r="Q9" s="212">
        <v>1.1998420000000001</v>
      </c>
      <c r="R9" s="212">
        <v>2.206955E-3</v>
      </c>
      <c r="S9" s="212">
        <v>9.4622689999999994E-6</v>
      </c>
      <c r="U9" s="212">
        <v>3.8460799999999999E-4</v>
      </c>
      <c r="V9" s="212">
        <v>1.8385439999999999E-3</v>
      </c>
      <c r="W9" s="212">
        <v>1.1998180000000001</v>
      </c>
      <c r="X9" s="212">
        <v>2.2059110000000001E-3</v>
      </c>
      <c r="Y9" s="212">
        <v>9.131317E-6</v>
      </c>
      <c r="AA9" s="212">
        <v>3.8385999999999997E-4</v>
      </c>
      <c r="AB9" s="212">
        <v>1.8393859999999999E-3</v>
      </c>
      <c r="AC9" s="212">
        <v>1.1997990000000001</v>
      </c>
      <c r="AD9" s="212">
        <v>2.2068869999999998E-3</v>
      </c>
      <c r="AE9" s="212">
        <v>9.0459689999999997E-6</v>
      </c>
      <c r="AG9" s="212">
        <v>3.8412E-4</v>
      </c>
      <c r="AH9" s="212">
        <v>1.8401470000000001E-3</v>
      </c>
      <c r="AI9" s="212">
        <v>1.199805</v>
      </c>
      <c r="AJ9" s="212">
        <v>2.2078129999999999E-3</v>
      </c>
      <c r="AK9" s="212">
        <v>9.1016370000000006E-6</v>
      </c>
    </row>
    <row r="10" spans="1:37" x14ac:dyDescent="0.25">
      <c r="A10" s="211" t="s">
        <v>194</v>
      </c>
      <c r="C10" s="212">
        <v>1.622513E-4</v>
      </c>
      <c r="D10" s="212">
        <v>4.9867619999999996E-3</v>
      </c>
      <c r="E10" s="212">
        <v>1.19516</v>
      </c>
      <c r="F10" s="212">
        <v>5.9595189999999999E-3</v>
      </c>
      <c r="G10" s="212">
        <v>1.9891589999999999E-6</v>
      </c>
      <c r="I10" s="212">
        <v>1.6190000000000001E-4</v>
      </c>
      <c r="J10" s="212">
        <v>4.9932470000000001E-3</v>
      </c>
      <c r="K10" s="212">
        <v>1.1951149999999999</v>
      </c>
      <c r="L10" s="212">
        <v>5.9670519999999996E-3</v>
      </c>
      <c r="M10" s="212">
        <v>2.002511E-6</v>
      </c>
      <c r="O10" s="212">
        <v>1.6144719999999999E-4</v>
      </c>
      <c r="P10" s="212">
        <v>4.9887880000000001E-3</v>
      </c>
      <c r="Q10" s="212">
        <v>1.195144</v>
      </c>
      <c r="R10" s="212">
        <v>5.9618880000000003E-3</v>
      </c>
      <c r="S10" s="212">
        <v>1.9269429999999998E-6</v>
      </c>
      <c r="U10" s="212">
        <v>1.6128639999999999E-4</v>
      </c>
      <c r="V10" s="212">
        <v>4.9922969999999997E-3</v>
      </c>
      <c r="W10" s="212">
        <v>1.1951210000000001</v>
      </c>
      <c r="X10" s="212">
        <v>5.9659580000000004E-3</v>
      </c>
      <c r="Y10" s="212">
        <v>1.8730859999999999E-6</v>
      </c>
      <c r="AA10" s="212">
        <v>1.6168000000000001E-4</v>
      </c>
      <c r="AB10" s="212">
        <v>4.9871350000000002E-3</v>
      </c>
      <c r="AC10" s="212">
        <v>1.195111</v>
      </c>
      <c r="AD10" s="212">
        <v>5.959738E-3</v>
      </c>
      <c r="AE10" s="212">
        <v>1.9791880000000001E-6</v>
      </c>
      <c r="AG10" s="212">
        <v>1.6134E-4</v>
      </c>
      <c r="AH10" s="212">
        <v>4.9918300000000001E-3</v>
      </c>
      <c r="AI10" s="212">
        <v>1.1951179999999999</v>
      </c>
      <c r="AJ10" s="212">
        <v>5.9653780000000003E-3</v>
      </c>
      <c r="AK10" s="212">
        <v>1.8926999999999999E-6</v>
      </c>
    </row>
    <row r="11" spans="1:37" x14ac:dyDescent="0.25">
      <c r="A11" s="211" t="s">
        <v>195</v>
      </c>
      <c r="C11" s="212">
        <v>4.2909550000000003E-5</v>
      </c>
      <c r="D11" s="212">
        <v>9.0920600000000008E-3</v>
      </c>
      <c r="E11" s="212">
        <v>1.1997949999999999</v>
      </c>
      <c r="F11" s="212">
        <v>1.05839E-2</v>
      </c>
      <c r="G11" s="212">
        <v>2.0029930000000002E-6</v>
      </c>
      <c r="I11" s="212">
        <v>4.4339999999999999E-5</v>
      </c>
      <c r="J11" s="212">
        <v>8.9882169999999997E-3</v>
      </c>
      <c r="K11" s="212">
        <v>1.1997990000000001</v>
      </c>
      <c r="L11" s="212">
        <v>1.0475979999999999E-2</v>
      </c>
      <c r="M11" s="212">
        <v>1.4884480000000001E-6</v>
      </c>
      <c r="O11" s="212">
        <v>4.288945E-5</v>
      </c>
      <c r="P11" s="212">
        <v>9.1672249999999993E-3</v>
      </c>
      <c r="Q11" s="212">
        <v>1.199819</v>
      </c>
      <c r="R11" s="212">
        <v>1.067456E-2</v>
      </c>
      <c r="S11" s="212">
        <v>2.0019790000000001E-6</v>
      </c>
      <c r="U11" s="212">
        <v>4.4477390000000001E-5</v>
      </c>
      <c r="V11" s="212">
        <v>8.9333069999999997E-3</v>
      </c>
      <c r="W11" s="212">
        <v>1.199816</v>
      </c>
      <c r="X11" s="212">
        <v>1.040339E-2</v>
      </c>
      <c r="Y11" s="212">
        <v>1.3514830000000001E-6</v>
      </c>
      <c r="AA11" s="212">
        <v>4.3099999999999997E-5</v>
      </c>
      <c r="AB11" s="212">
        <v>9.1038669999999999E-3</v>
      </c>
      <c r="AC11" s="212">
        <v>1.1998089999999999</v>
      </c>
      <c r="AD11" s="212">
        <v>1.0605130000000001E-2</v>
      </c>
      <c r="AE11" s="212">
        <v>2.002511E-6</v>
      </c>
      <c r="AG11" s="212">
        <v>4.4520000000000001E-5</v>
      </c>
      <c r="AH11" s="212">
        <v>8.9113520000000009E-3</v>
      </c>
      <c r="AI11" s="212">
        <v>1.1997089999999999</v>
      </c>
      <c r="AJ11" s="212">
        <v>1.038065E-2</v>
      </c>
      <c r="AK11" s="212">
        <v>1.3031080000000001E-6</v>
      </c>
    </row>
    <row r="12" spans="1:37" x14ac:dyDescent="0.25">
      <c r="A12" s="211" t="s">
        <v>192</v>
      </c>
      <c r="C12" s="212">
        <v>1.913719E-4</v>
      </c>
      <c r="D12" s="212">
        <v>5.9363949999999997E-3</v>
      </c>
      <c r="E12" s="212">
        <v>1.1970209999999999</v>
      </c>
      <c r="F12" s="212">
        <v>7.1067700000000001E-3</v>
      </c>
      <c r="G12" s="212">
        <v>2.3099289999999999E-6</v>
      </c>
      <c r="I12" s="212">
        <v>7.0127999999999998E-4</v>
      </c>
      <c r="J12" s="212">
        <v>5.2044969999999998E-3</v>
      </c>
      <c r="K12" s="212">
        <v>1.195694</v>
      </c>
      <c r="L12" s="212">
        <v>6.2236189999999997E-3</v>
      </c>
      <c r="M12" s="212">
        <v>1.0231490000000001E-6</v>
      </c>
      <c r="O12" s="212">
        <v>1.915729E-4</v>
      </c>
      <c r="P12" s="212">
        <v>8.9232730000000007E-3</v>
      </c>
      <c r="Q12" s="212">
        <v>1.1931659999999999</v>
      </c>
      <c r="R12" s="212">
        <v>1.0646350000000001E-2</v>
      </c>
      <c r="S12" s="212">
        <v>2.3035909999999998E-6</v>
      </c>
      <c r="U12" s="212">
        <v>7.0124119999999998E-4</v>
      </c>
      <c r="V12" s="212">
        <v>9.0131610000000004E-3</v>
      </c>
      <c r="W12" s="212">
        <v>1.190631</v>
      </c>
      <c r="X12" s="212">
        <v>1.073139E-2</v>
      </c>
      <c r="Y12" s="212">
        <v>9.5457990000000008E-7</v>
      </c>
      <c r="AA12" s="212">
        <v>1.9123999999999999E-4</v>
      </c>
      <c r="AB12" s="212">
        <v>1.06242E-2</v>
      </c>
      <c r="AC12" s="212">
        <v>1.1915439999999999</v>
      </c>
      <c r="AD12" s="212">
        <v>1.26553E-2</v>
      </c>
      <c r="AE12" s="212">
        <v>2.290992E-6</v>
      </c>
      <c r="AG12" s="212">
        <v>7.0116000000000004E-4</v>
      </c>
      <c r="AH12" s="212">
        <v>1.1080349999999999E-2</v>
      </c>
      <c r="AI12" s="212">
        <v>1.188083</v>
      </c>
      <c r="AJ12" s="212">
        <v>1.316313E-2</v>
      </c>
      <c r="AK12" s="212">
        <v>7.8580370000000004E-7</v>
      </c>
    </row>
    <row r="13" spans="1:37" x14ac:dyDescent="0.25">
      <c r="A13" s="211" t="s">
        <v>203</v>
      </c>
      <c r="C13" s="212">
        <v>1.3211559999999999E-4</v>
      </c>
      <c r="D13" s="212">
        <v>1.9132470000000001E-3</v>
      </c>
      <c r="E13" s="212">
        <v>1.2001980000000001</v>
      </c>
      <c r="F13" s="212">
        <v>2.2942079999999998E-3</v>
      </c>
      <c r="G13" s="212">
        <v>8.0517079999999997E-6</v>
      </c>
      <c r="I13" s="212">
        <v>1.3862E-4</v>
      </c>
      <c r="J13" s="212">
        <v>1.920218E-3</v>
      </c>
      <c r="K13" s="212">
        <v>1.2001459999999999</v>
      </c>
      <c r="L13" s="212">
        <v>2.3025620000000002E-3</v>
      </c>
      <c r="M13" s="212">
        <v>9.0479239999999992E-6</v>
      </c>
      <c r="O13" s="212">
        <v>1.3251760000000001E-4</v>
      </c>
      <c r="P13" s="212">
        <v>1.9214659999999999E-3</v>
      </c>
      <c r="Q13" s="212">
        <v>1.200232</v>
      </c>
      <c r="R13" s="212">
        <v>2.3041210000000001E-3</v>
      </c>
      <c r="S13" s="212">
        <v>8.1753779999999995E-6</v>
      </c>
      <c r="U13" s="212">
        <v>1.3903019999999999E-4</v>
      </c>
      <c r="V13" s="212">
        <v>1.936091E-3</v>
      </c>
      <c r="W13" s="212">
        <v>1.2001809999999999</v>
      </c>
      <c r="X13" s="212">
        <v>2.3216629999999999E-3</v>
      </c>
      <c r="Y13" s="212">
        <v>9.1131549999999997E-6</v>
      </c>
      <c r="AA13" s="212">
        <v>1.3187999999999999E-4</v>
      </c>
      <c r="AB13" s="212">
        <v>1.9253849999999999E-3</v>
      </c>
      <c r="AC13" s="212">
        <v>1.2002079999999999</v>
      </c>
      <c r="AD13" s="212">
        <v>2.3087670000000002E-3</v>
      </c>
      <c r="AE13" s="212">
        <v>8.1607960000000006E-6</v>
      </c>
      <c r="AG13" s="212">
        <v>1.3944000000000001E-4</v>
      </c>
      <c r="AH13" s="212">
        <v>1.9361020000000001E-3</v>
      </c>
      <c r="AI13" s="212">
        <v>1.200178</v>
      </c>
      <c r="AJ13" s="212">
        <v>2.321675E-3</v>
      </c>
      <c r="AK13" s="212">
        <v>9.0451909999999998E-6</v>
      </c>
    </row>
    <row r="14" spans="1:37" x14ac:dyDescent="0.25">
      <c r="A14" s="211" t="s">
        <v>204</v>
      </c>
      <c r="C14" s="212">
        <v>0</v>
      </c>
      <c r="D14" s="212">
        <v>3.2312949999999997E-8</v>
      </c>
      <c r="E14" s="212">
        <v>1.2039660000000001</v>
      </c>
      <c r="F14" s="212">
        <v>3.8902099999999999E-8</v>
      </c>
      <c r="G14" s="212">
        <v>0</v>
      </c>
      <c r="I14" s="212">
        <v>0</v>
      </c>
      <c r="J14" s="212">
        <v>3.3884569999999997E-8</v>
      </c>
      <c r="K14" s="212">
        <v>1.203938</v>
      </c>
      <c r="L14" s="212">
        <v>4.0793280000000003E-8</v>
      </c>
      <c r="M14" s="212">
        <v>0</v>
      </c>
      <c r="O14" s="212">
        <v>0</v>
      </c>
      <c r="P14" s="212">
        <v>3.3412049999999998E-8</v>
      </c>
      <c r="Q14" s="212">
        <v>1.203967</v>
      </c>
      <c r="R14" s="212">
        <v>4.022538E-8</v>
      </c>
      <c r="S14" s="212">
        <v>0</v>
      </c>
      <c r="U14" s="212">
        <v>0</v>
      </c>
      <c r="V14" s="212">
        <v>3.3542539999999997E-8</v>
      </c>
      <c r="W14" s="212">
        <v>1.2039470000000001</v>
      </c>
      <c r="X14" s="212">
        <v>4.0381839999999999E-8</v>
      </c>
      <c r="Y14" s="212">
        <v>0</v>
      </c>
      <c r="AA14" s="212">
        <v>0</v>
      </c>
      <c r="AB14" s="212">
        <v>3.2830209999999998E-8</v>
      </c>
      <c r="AC14" s="212">
        <v>1.2039390000000001</v>
      </c>
      <c r="AD14" s="212">
        <v>3.9523930000000001E-8</v>
      </c>
      <c r="AE14" s="212">
        <v>0</v>
      </c>
      <c r="AG14" s="212">
        <v>0</v>
      </c>
      <c r="AH14" s="212">
        <v>3.409649E-8</v>
      </c>
      <c r="AI14" s="212">
        <v>1.203938</v>
      </c>
      <c r="AJ14" s="212">
        <v>4.1048439999999999E-8</v>
      </c>
      <c r="AK14" s="212">
        <v>0</v>
      </c>
    </row>
    <row r="16" spans="1:37" x14ac:dyDescent="0.25">
      <c r="A16" s="211" t="s">
        <v>205</v>
      </c>
    </row>
    <row r="18" spans="1:37" x14ac:dyDescent="0.25">
      <c r="C18" s="211" t="s">
        <v>181</v>
      </c>
      <c r="D18" s="211">
        <v>-10</v>
      </c>
      <c r="E18" s="211" t="s">
        <v>182</v>
      </c>
      <c r="F18" s="211">
        <v>0</v>
      </c>
      <c r="I18" s="211" t="s">
        <v>181</v>
      </c>
      <c r="J18" s="211">
        <v>-10</v>
      </c>
      <c r="K18" s="211" t="s">
        <v>182</v>
      </c>
      <c r="L18" s="211">
        <v>64</v>
      </c>
      <c r="O18" s="211" t="s">
        <v>181</v>
      </c>
      <c r="P18" s="211">
        <v>0</v>
      </c>
      <c r="Q18" s="211" t="s">
        <v>182</v>
      </c>
      <c r="R18" s="211">
        <v>0</v>
      </c>
      <c r="U18" s="211" t="s">
        <v>181</v>
      </c>
      <c r="V18" s="211">
        <v>0</v>
      </c>
      <c r="W18" s="211" t="s">
        <v>182</v>
      </c>
      <c r="X18" s="211">
        <v>64</v>
      </c>
      <c r="AA18" s="211" t="s">
        <v>181</v>
      </c>
      <c r="AB18" s="211">
        <v>4</v>
      </c>
      <c r="AC18" s="211" t="s">
        <v>182</v>
      </c>
      <c r="AD18" s="211">
        <v>0</v>
      </c>
      <c r="AG18" s="211" t="s">
        <v>181</v>
      </c>
      <c r="AH18" s="211">
        <v>4</v>
      </c>
      <c r="AI18" s="211" t="s">
        <v>182</v>
      </c>
      <c r="AJ18" s="211">
        <v>64</v>
      </c>
    </row>
    <row r="19" spans="1:37" x14ac:dyDescent="0.25">
      <c r="C19" s="211" t="s">
        <v>183</v>
      </c>
      <c r="D19" s="211">
        <v>200</v>
      </c>
      <c r="E19" s="211" t="s">
        <v>184</v>
      </c>
      <c r="F19" s="211">
        <v>199</v>
      </c>
      <c r="I19" s="211" t="s">
        <v>183</v>
      </c>
      <c r="J19" s="211">
        <v>199</v>
      </c>
      <c r="K19" s="211" t="s">
        <v>184</v>
      </c>
      <c r="L19" s="211">
        <v>198</v>
      </c>
      <c r="O19" s="211" t="s">
        <v>183</v>
      </c>
      <c r="P19" s="211">
        <v>199</v>
      </c>
      <c r="Q19" s="211" t="s">
        <v>184</v>
      </c>
      <c r="R19" s="211">
        <v>198</v>
      </c>
      <c r="U19" s="211" t="s">
        <v>183</v>
      </c>
      <c r="V19" s="211">
        <v>200</v>
      </c>
      <c r="W19" s="211" t="s">
        <v>184</v>
      </c>
      <c r="X19" s="211">
        <v>199</v>
      </c>
      <c r="AA19" s="211" t="s">
        <v>183</v>
      </c>
      <c r="AB19" s="211">
        <v>199</v>
      </c>
      <c r="AC19" s="211" t="s">
        <v>184</v>
      </c>
      <c r="AD19" s="211">
        <v>198</v>
      </c>
      <c r="AG19" s="211" t="s">
        <v>183</v>
      </c>
      <c r="AH19" s="211">
        <v>200</v>
      </c>
      <c r="AI19" s="211" t="s">
        <v>184</v>
      </c>
      <c r="AJ19" s="211">
        <v>199</v>
      </c>
    </row>
    <row r="20" spans="1:37" x14ac:dyDescent="0.25">
      <c r="C20" s="211" t="s">
        <v>185</v>
      </c>
      <c r="D20" s="211" t="s">
        <v>186</v>
      </c>
      <c r="E20" s="211" t="s">
        <v>187</v>
      </c>
      <c r="F20" s="211" t="s">
        <v>188</v>
      </c>
      <c r="G20" s="211" t="s">
        <v>189</v>
      </c>
      <c r="I20" s="211" t="s">
        <v>185</v>
      </c>
      <c r="J20" s="211" t="s">
        <v>186</v>
      </c>
      <c r="K20" s="211" t="s">
        <v>187</v>
      </c>
      <c r="L20" s="211" t="s">
        <v>188</v>
      </c>
      <c r="M20" s="211" t="s">
        <v>189</v>
      </c>
      <c r="O20" s="211" t="s">
        <v>185</v>
      </c>
      <c r="P20" s="211" t="s">
        <v>186</v>
      </c>
      <c r="Q20" s="211" t="s">
        <v>187</v>
      </c>
      <c r="R20" s="211" t="s">
        <v>188</v>
      </c>
      <c r="S20" s="211" t="s">
        <v>189</v>
      </c>
      <c r="U20" s="211" t="s">
        <v>185</v>
      </c>
      <c r="V20" s="211" t="s">
        <v>186</v>
      </c>
      <c r="W20" s="211" t="s">
        <v>187</v>
      </c>
      <c r="X20" s="211" t="s">
        <v>188</v>
      </c>
      <c r="Y20" s="211" t="s">
        <v>189</v>
      </c>
      <c r="AA20" s="211" t="s">
        <v>185</v>
      </c>
      <c r="AB20" s="211" t="s">
        <v>186</v>
      </c>
      <c r="AC20" s="211" t="s">
        <v>187</v>
      </c>
      <c r="AD20" s="211" t="s">
        <v>188</v>
      </c>
      <c r="AE20" s="211" t="s">
        <v>189</v>
      </c>
      <c r="AG20" s="211" t="s">
        <v>185</v>
      </c>
      <c r="AH20" s="211" t="s">
        <v>186</v>
      </c>
      <c r="AI20" s="211" t="s">
        <v>187</v>
      </c>
      <c r="AJ20" s="211" t="s">
        <v>188</v>
      </c>
      <c r="AK20" s="211" t="s">
        <v>189</v>
      </c>
    </row>
    <row r="22" spans="1:37" x14ac:dyDescent="0.25">
      <c r="A22" s="211" t="s">
        <v>190</v>
      </c>
      <c r="C22" s="212">
        <v>3.9325999999999999E-4</v>
      </c>
      <c r="D22" s="212">
        <v>6.8829529999999998E-3</v>
      </c>
      <c r="E22" s="212">
        <v>1.0605560000000001</v>
      </c>
      <c r="F22" s="212">
        <v>7.2900059999999999E-3</v>
      </c>
      <c r="G22" s="212">
        <v>1.8627260000000001E-6</v>
      </c>
      <c r="I22" s="212">
        <v>3.9326630000000002E-4</v>
      </c>
      <c r="J22" s="212">
        <v>6.8721210000000001E-3</v>
      </c>
      <c r="K22" s="212">
        <v>1.060513</v>
      </c>
      <c r="L22" s="212">
        <v>7.278329E-3</v>
      </c>
      <c r="M22" s="212">
        <v>1.865265E-6</v>
      </c>
      <c r="O22" s="212">
        <v>3.9354770000000003E-4</v>
      </c>
      <c r="P22" s="212">
        <v>6.8722389999999996E-3</v>
      </c>
      <c r="Q22" s="212">
        <v>1.0604469999999999</v>
      </c>
      <c r="R22" s="212">
        <v>7.2777809999999997E-3</v>
      </c>
      <c r="S22" s="212">
        <v>1.953107E-6</v>
      </c>
      <c r="U22" s="212">
        <v>3.9350000000000002E-4</v>
      </c>
      <c r="V22" s="212">
        <v>6.8754189999999998E-3</v>
      </c>
      <c r="W22" s="212">
        <v>1.060487</v>
      </c>
      <c r="X22" s="212">
        <v>7.2815149999999997E-3</v>
      </c>
      <c r="Y22" s="212">
        <v>1.9413509999999999E-6</v>
      </c>
      <c r="AA22" s="212">
        <v>3.9322610000000003E-4</v>
      </c>
      <c r="AB22" s="212">
        <v>6.8703599999999998E-3</v>
      </c>
      <c r="AC22" s="212">
        <v>1.060457</v>
      </c>
      <c r="AD22" s="212">
        <v>7.2759260000000003E-3</v>
      </c>
      <c r="AE22" s="212">
        <v>1.8488659999999999E-6</v>
      </c>
      <c r="AG22" s="212">
        <v>3.9324E-4</v>
      </c>
      <c r="AH22" s="212">
        <v>6.8749759999999997E-3</v>
      </c>
      <c r="AI22" s="212">
        <v>1.0604739999999999</v>
      </c>
      <c r="AJ22" s="212">
        <v>7.2809609999999999E-3</v>
      </c>
      <c r="AK22" s="212">
        <v>1.854615E-6</v>
      </c>
    </row>
    <row r="23" spans="1:37" x14ac:dyDescent="0.25">
      <c r="A23" s="211" t="s">
        <v>191</v>
      </c>
      <c r="C23" s="212">
        <v>3.8343999999999997E-4</v>
      </c>
      <c r="D23" s="212">
        <v>6.2278539999999997E-3</v>
      </c>
      <c r="E23" s="212">
        <v>1.060405</v>
      </c>
      <c r="F23" s="212">
        <v>6.595297E-3</v>
      </c>
      <c r="G23" s="212">
        <v>9.3425269999999996E-6</v>
      </c>
      <c r="I23" s="212">
        <v>3.845276E-4</v>
      </c>
      <c r="J23" s="212">
        <v>6.2061479999999999E-3</v>
      </c>
      <c r="K23" s="212">
        <v>1.0604089999999999</v>
      </c>
      <c r="L23" s="212">
        <v>6.5725239999999997E-3</v>
      </c>
      <c r="M23" s="212">
        <v>9.1451809999999998E-6</v>
      </c>
      <c r="O23" s="212">
        <v>3.8297990000000002E-4</v>
      </c>
      <c r="P23" s="212">
        <v>6.2143759999999998E-3</v>
      </c>
      <c r="Q23" s="212">
        <v>1.060362</v>
      </c>
      <c r="R23" s="212">
        <v>6.5808739999999996E-3</v>
      </c>
      <c r="S23" s="212">
        <v>9.1452699999999999E-6</v>
      </c>
      <c r="U23" s="212">
        <v>3.8489999999999998E-4</v>
      </c>
      <c r="V23" s="212">
        <v>6.2055809999999999E-3</v>
      </c>
      <c r="W23" s="212">
        <v>1.060425</v>
      </c>
      <c r="X23" s="212">
        <v>6.5719699999999999E-3</v>
      </c>
      <c r="Y23" s="212">
        <v>9.1173259999999994E-6</v>
      </c>
      <c r="AA23" s="212">
        <v>3.8302010000000001E-4</v>
      </c>
      <c r="AB23" s="212">
        <v>6.2217669999999996E-3</v>
      </c>
      <c r="AC23" s="212">
        <v>1.060406</v>
      </c>
      <c r="AD23" s="212">
        <v>6.5889980000000004E-3</v>
      </c>
      <c r="AE23" s="212">
        <v>9.1805460000000004E-6</v>
      </c>
      <c r="AG23" s="212">
        <v>3.8445999999999999E-4</v>
      </c>
      <c r="AH23" s="212">
        <v>6.2150540000000002E-3</v>
      </c>
      <c r="AI23" s="212">
        <v>1.06043</v>
      </c>
      <c r="AJ23" s="212">
        <v>6.5820280000000002E-3</v>
      </c>
      <c r="AK23" s="212">
        <v>9.4485329999999997E-6</v>
      </c>
    </row>
    <row r="24" spans="1:37" x14ac:dyDescent="0.25">
      <c r="A24" s="211" t="s">
        <v>194</v>
      </c>
      <c r="C24" s="212">
        <v>1.616E-4</v>
      </c>
      <c r="D24" s="212">
        <v>6.274778E-3</v>
      </c>
      <c r="E24" s="212">
        <v>1.0602780000000001</v>
      </c>
      <c r="F24" s="212">
        <v>6.6466880000000004E-3</v>
      </c>
      <c r="G24" s="212">
        <v>1.964509E-6</v>
      </c>
      <c r="I24" s="212">
        <v>1.6182910000000001E-4</v>
      </c>
      <c r="J24" s="212">
        <v>6.258095E-3</v>
      </c>
      <c r="K24" s="212">
        <v>1.0602819999999999</v>
      </c>
      <c r="L24" s="212">
        <v>6.6290480000000002E-3</v>
      </c>
      <c r="M24" s="212">
        <v>1.9977150000000002E-6</v>
      </c>
      <c r="O24" s="212">
        <v>1.6213069999999999E-4</v>
      </c>
      <c r="P24" s="212">
        <v>6.2598369999999999E-3</v>
      </c>
      <c r="Q24" s="212">
        <v>1.0602480000000001</v>
      </c>
      <c r="R24" s="212">
        <v>6.6307520000000002E-3</v>
      </c>
      <c r="S24" s="212">
        <v>2.000761E-6</v>
      </c>
      <c r="U24" s="212">
        <v>1.6164E-4</v>
      </c>
      <c r="V24" s="212">
        <v>6.2398979999999998E-3</v>
      </c>
      <c r="W24" s="212">
        <v>1.0603130000000001</v>
      </c>
      <c r="X24" s="212">
        <v>6.6100580000000003E-3</v>
      </c>
      <c r="Y24" s="212">
        <v>1.9722700000000002E-6</v>
      </c>
      <c r="AA24" s="212">
        <v>1.6180900000000001E-4</v>
      </c>
      <c r="AB24" s="212">
        <v>6.275012E-3</v>
      </c>
      <c r="AC24" s="212">
        <v>1.0602739999999999</v>
      </c>
      <c r="AD24" s="212">
        <v>6.6469809999999997E-3</v>
      </c>
      <c r="AE24" s="212">
        <v>1.9958839999999998E-6</v>
      </c>
      <c r="AG24" s="212">
        <v>1.6165999999999999E-4</v>
      </c>
      <c r="AH24" s="212">
        <v>6.2554990000000003E-3</v>
      </c>
      <c r="AI24" s="212">
        <v>1.0603119999999999</v>
      </c>
      <c r="AJ24" s="212">
        <v>6.6265689999999997E-3</v>
      </c>
      <c r="AK24" s="212">
        <v>1.9758339999999999E-6</v>
      </c>
    </row>
    <row r="25" spans="1:37" x14ac:dyDescent="0.25">
      <c r="A25" s="211" t="s">
        <v>195</v>
      </c>
      <c r="C25" s="212">
        <v>4.2960000000000002E-5</v>
      </c>
      <c r="D25" s="212">
        <v>1.018493E-2</v>
      </c>
      <c r="E25" s="212">
        <v>1.05522</v>
      </c>
      <c r="F25" s="212">
        <v>1.073991E-2</v>
      </c>
      <c r="G25" s="212">
        <v>2.0046179999999999E-6</v>
      </c>
      <c r="I25" s="212">
        <v>4.4296479999999997E-5</v>
      </c>
      <c r="J25" s="212">
        <v>1.006247E-2</v>
      </c>
      <c r="K25" s="212">
        <v>1.0553889999999999</v>
      </c>
      <c r="L25" s="212">
        <v>1.06126E-2</v>
      </c>
      <c r="M25" s="212">
        <v>1.526711E-6</v>
      </c>
      <c r="O25" s="212">
        <v>4.2788940000000002E-5</v>
      </c>
      <c r="P25" s="212">
        <v>1.011427E-2</v>
      </c>
      <c r="Q25" s="212">
        <v>1.055294</v>
      </c>
      <c r="R25" s="212">
        <v>1.066579E-2</v>
      </c>
      <c r="S25" s="212">
        <v>1.9938490000000002E-6</v>
      </c>
      <c r="U25" s="212">
        <v>4.456E-5</v>
      </c>
      <c r="V25" s="212">
        <v>1.0068290000000001E-2</v>
      </c>
      <c r="W25" s="212">
        <v>1.055391</v>
      </c>
      <c r="X25" s="212">
        <v>1.061865E-2</v>
      </c>
      <c r="Y25" s="212">
        <v>1.2547E-6</v>
      </c>
      <c r="AA25" s="212">
        <v>4.3150749999999997E-5</v>
      </c>
      <c r="AB25" s="212">
        <v>1.0123139999999999E-2</v>
      </c>
      <c r="AC25" s="212">
        <v>1.0553170000000001</v>
      </c>
      <c r="AD25" s="212">
        <v>1.067541E-2</v>
      </c>
      <c r="AE25" s="212">
        <v>1.9993399999999999E-6</v>
      </c>
      <c r="AG25" s="212">
        <v>4.422E-5</v>
      </c>
      <c r="AH25" s="212">
        <v>1.0067889999999999E-2</v>
      </c>
      <c r="AI25" s="212">
        <v>1.055396</v>
      </c>
      <c r="AJ25" s="212">
        <v>1.0618280000000001E-2</v>
      </c>
      <c r="AK25" s="212">
        <v>1.58878E-6</v>
      </c>
    </row>
    <row r="26" spans="1:37" x14ac:dyDescent="0.25">
      <c r="A26" s="211" t="s">
        <v>192</v>
      </c>
      <c r="C26" s="212">
        <v>1.9142000000000001E-4</v>
      </c>
      <c r="D26" s="212">
        <v>5.855135E-3</v>
      </c>
      <c r="E26" s="212">
        <v>1.060921</v>
      </c>
      <c r="F26" s="212">
        <v>6.2041789999999998E-3</v>
      </c>
      <c r="G26" s="212">
        <v>2.334706E-6</v>
      </c>
      <c r="I26" s="212">
        <v>7.012613E-4</v>
      </c>
      <c r="J26" s="212">
        <v>5.41845E-3</v>
      </c>
      <c r="K26" s="212">
        <v>1.0614680000000001</v>
      </c>
      <c r="L26" s="212">
        <v>5.7466189999999997E-3</v>
      </c>
      <c r="M26" s="212">
        <v>9.908981E-7</v>
      </c>
      <c r="O26" s="212">
        <v>1.914121E-4</v>
      </c>
      <c r="P26" s="212">
        <v>5.823567E-3</v>
      </c>
      <c r="Q26" s="212">
        <v>1.0609090000000001</v>
      </c>
      <c r="R26" s="212">
        <v>6.1708350000000004E-3</v>
      </c>
      <c r="S26" s="212">
        <v>2.267704E-6</v>
      </c>
      <c r="U26" s="212">
        <v>7.0114000000000005E-4</v>
      </c>
      <c r="V26" s="212">
        <v>5.4107239999999996E-3</v>
      </c>
      <c r="W26" s="212">
        <v>1.0614889999999999</v>
      </c>
      <c r="X26" s="212">
        <v>5.7386390000000002E-3</v>
      </c>
      <c r="Y26" s="212">
        <v>7.3696379999999997E-7</v>
      </c>
      <c r="AA26" s="212">
        <v>1.912312E-4</v>
      </c>
      <c r="AB26" s="212">
        <v>5.8344269999999997E-3</v>
      </c>
      <c r="AC26" s="212">
        <v>1.060934</v>
      </c>
      <c r="AD26" s="212">
        <v>6.1824749999999998E-3</v>
      </c>
      <c r="AE26" s="212">
        <v>2.1850810000000002E-6</v>
      </c>
      <c r="AG26" s="212">
        <v>7.0147999999999999E-4</v>
      </c>
      <c r="AH26" s="212">
        <v>5.412905E-3</v>
      </c>
      <c r="AI26" s="212">
        <v>1.0614939999999999</v>
      </c>
      <c r="AJ26" s="212">
        <v>5.7409929999999998E-3</v>
      </c>
      <c r="AK26" s="212">
        <v>1.3031080000000001E-6</v>
      </c>
    </row>
    <row r="27" spans="1:37" x14ac:dyDescent="0.25">
      <c r="A27" s="211" t="s">
        <v>203</v>
      </c>
      <c r="C27" s="212">
        <v>1.3229999999999999E-4</v>
      </c>
      <c r="D27" s="212">
        <v>8.5819639999999992E-3</v>
      </c>
      <c r="E27" s="212">
        <v>1.057326</v>
      </c>
      <c r="F27" s="212">
        <v>9.0585519999999992E-3</v>
      </c>
      <c r="G27" s="212">
        <v>7.9540140000000004E-6</v>
      </c>
      <c r="I27" s="212">
        <v>1.3864819999999999E-4</v>
      </c>
      <c r="J27" s="212">
        <v>8.4553649999999994E-3</v>
      </c>
      <c r="K27" s="212">
        <v>1.057493</v>
      </c>
      <c r="L27" s="212">
        <v>8.9267050000000001E-3</v>
      </c>
      <c r="M27" s="212">
        <v>9.0797190000000008E-6</v>
      </c>
      <c r="O27" s="212">
        <v>1.3229649999999999E-4</v>
      </c>
      <c r="P27" s="212">
        <v>8.5411250000000001E-3</v>
      </c>
      <c r="Q27" s="212">
        <v>1.0573380000000001</v>
      </c>
      <c r="R27" s="212">
        <v>9.0153209999999998E-3</v>
      </c>
      <c r="S27" s="212">
        <v>8.1641950000000002E-6</v>
      </c>
      <c r="U27" s="212">
        <v>1.3828000000000001E-4</v>
      </c>
      <c r="V27" s="212">
        <v>8.443954E-3</v>
      </c>
      <c r="W27" s="212">
        <v>1.0575140000000001</v>
      </c>
      <c r="X27" s="212">
        <v>8.9148820000000007E-3</v>
      </c>
      <c r="Y27" s="212">
        <v>8.9376170000000005E-6</v>
      </c>
      <c r="AA27" s="212">
        <v>1.324171E-4</v>
      </c>
      <c r="AB27" s="212">
        <v>8.5392109999999997E-3</v>
      </c>
      <c r="AC27" s="212">
        <v>1.0573889999999999</v>
      </c>
      <c r="AD27" s="212">
        <v>9.0136929999999997E-3</v>
      </c>
      <c r="AE27" s="212">
        <v>8.1340980000000001E-6</v>
      </c>
      <c r="AG27" s="212">
        <v>1.3860000000000001E-4</v>
      </c>
      <c r="AH27" s="212">
        <v>8.4512230000000008E-3</v>
      </c>
      <c r="AI27" s="212">
        <v>1.057528</v>
      </c>
      <c r="AJ27" s="212">
        <v>8.9226940000000001E-3</v>
      </c>
      <c r="AK27" s="212">
        <v>8.8765970000000008E-6</v>
      </c>
    </row>
    <row r="28" spans="1:37" x14ac:dyDescent="0.25">
      <c r="A28" s="211" t="s">
        <v>204</v>
      </c>
      <c r="C28" s="212">
        <v>0</v>
      </c>
      <c r="D28" s="212">
        <v>5.2918700000000001E-7</v>
      </c>
      <c r="E28" s="212">
        <v>1.069571</v>
      </c>
      <c r="F28" s="212">
        <v>5.6600200000000001E-7</v>
      </c>
      <c r="G28" s="212">
        <v>0</v>
      </c>
      <c r="I28" s="212">
        <v>0</v>
      </c>
      <c r="J28" s="212">
        <v>5.2908820000000002E-7</v>
      </c>
      <c r="K28" s="212">
        <v>1.0695619999999999</v>
      </c>
      <c r="L28" s="212">
        <v>5.6589159999999997E-7</v>
      </c>
      <c r="M28" s="212">
        <v>0</v>
      </c>
      <c r="O28" s="212">
        <v>0</v>
      </c>
      <c r="P28" s="212">
        <v>5.2811890000000003E-7</v>
      </c>
      <c r="Q28" s="212">
        <v>1.069537</v>
      </c>
      <c r="R28" s="212">
        <v>5.6484149999999996E-7</v>
      </c>
      <c r="S28" s="212">
        <v>0</v>
      </c>
      <c r="U28" s="212">
        <v>0</v>
      </c>
      <c r="V28" s="212">
        <v>5.2964990000000004E-7</v>
      </c>
      <c r="W28" s="212">
        <v>1.069574</v>
      </c>
      <c r="X28" s="212">
        <v>5.6649849999999996E-7</v>
      </c>
      <c r="Y28" s="212">
        <v>0</v>
      </c>
      <c r="AA28" s="212">
        <v>0</v>
      </c>
      <c r="AB28" s="212">
        <v>5.3213049999999995E-7</v>
      </c>
      <c r="AC28" s="212">
        <v>1.06958</v>
      </c>
      <c r="AD28" s="212">
        <v>5.6915469999999999E-7</v>
      </c>
      <c r="AE28" s="212">
        <v>0</v>
      </c>
      <c r="AG28" s="212">
        <v>0</v>
      </c>
      <c r="AH28" s="212">
        <v>5.3218000000000004E-7</v>
      </c>
      <c r="AI28" s="212">
        <v>1.069588</v>
      </c>
      <c r="AJ28" s="212">
        <v>5.69212E-7</v>
      </c>
      <c r="AK28" s="212">
        <v>0</v>
      </c>
    </row>
    <row r="30" spans="1:37" x14ac:dyDescent="0.25">
      <c r="A30" s="211" t="s">
        <v>218</v>
      </c>
    </row>
    <row r="32" spans="1:37" x14ac:dyDescent="0.25">
      <c r="F32" s="211">
        <v>-10</v>
      </c>
      <c r="G32" s="211">
        <v>0</v>
      </c>
      <c r="H32" s="211">
        <v>4</v>
      </c>
    </row>
    <row r="33" spans="1:8" x14ac:dyDescent="0.25">
      <c r="C33" s="211" t="s">
        <v>209</v>
      </c>
      <c r="F33" s="211" t="s">
        <v>219</v>
      </c>
      <c r="G33" s="211" t="s">
        <v>219</v>
      </c>
      <c r="H33" s="211" t="s">
        <v>219</v>
      </c>
    </row>
    <row r="34" spans="1:8" x14ac:dyDescent="0.25">
      <c r="A34" s="211" t="s">
        <v>190</v>
      </c>
      <c r="C34" s="212">
        <v>3.9328490000000002E-4</v>
      </c>
      <c r="F34" s="212">
        <v>1.076176E-2</v>
      </c>
      <c r="G34" s="212">
        <v>1.07642E-2</v>
      </c>
      <c r="H34" s="212">
        <v>1.076526E-2</v>
      </c>
    </row>
    <row r="35" spans="1:8" x14ac:dyDescent="0.25">
      <c r="A35" s="211" t="s">
        <v>191</v>
      </c>
      <c r="C35" s="212">
        <v>3.8389979999999999E-4</v>
      </c>
      <c r="F35" s="212">
        <v>8.7895809999999994E-3</v>
      </c>
      <c r="G35" s="212">
        <v>8.7841350000000002E-3</v>
      </c>
      <c r="H35" s="212">
        <v>8.7906340000000003E-3</v>
      </c>
    </row>
    <row r="36" spans="1:8" x14ac:dyDescent="0.25">
      <c r="A36" s="211" t="s">
        <v>194</v>
      </c>
      <c r="C36" s="212">
        <v>1.6171450000000001E-4</v>
      </c>
      <c r="F36" s="212">
        <v>1.2614459999999999E-2</v>
      </c>
      <c r="G36" s="212">
        <v>1.2578519999999999E-2</v>
      </c>
      <c r="H36" s="212">
        <v>1.2592620000000001E-2</v>
      </c>
    </row>
    <row r="37" spans="1:8" x14ac:dyDescent="0.25">
      <c r="A37" s="211" t="s">
        <v>195</v>
      </c>
      <c r="C37" s="212">
        <v>4.3684379999999997E-5</v>
      </c>
      <c r="F37" s="212">
        <v>2.1176250000000001E-2</v>
      </c>
      <c r="G37" s="212">
        <v>2.1175610000000001E-2</v>
      </c>
      <c r="H37" s="212">
        <v>2.1167979999999999E-2</v>
      </c>
    </row>
    <row r="38" spans="1:8" x14ac:dyDescent="0.25">
      <c r="A38" s="211" t="s">
        <v>192</v>
      </c>
      <c r="F38" s="212">
        <v>1.264059E-2</v>
      </c>
      <c r="G38" s="212">
        <v>1.664361E-2</v>
      </c>
      <c r="H38" s="212">
        <v>1.8870950000000001E-2</v>
      </c>
    </row>
    <row r="39" spans="1:8" x14ac:dyDescent="0.25">
      <c r="A39" s="211" t="s">
        <v>203</v>
      </c>
      <c r="C39" s="212">
        <v>1.3551209999999999E-4</v>
      </c>
      <c r="F39" s="212">
        <v>1.1284600000000001E-2</v>
      </c>
      <c r="G39" s="212">
        <v>1.1266750000000001E-2</v>
      </c>
      <c r="H39" s="212">
        <v>1.1284850000000001E-2</v>
      </c>
    </row>
    <row r="40" spans="1:8" x14ac:dyDescent="0.25">
      <c r="A40" s="211" t="s">
        <v>204</v>
      </c>
      <c r="F40" s="212">
        <v>6.0579450000000005E-7</v>
      </c>
      <c r="G40" s="212">
        <v>6.0597359999999995E-7</v>
      </c>
      <c r="H40" s="212">
        <v>6.0946949999999995E-7</v>
      </c>
    </row>
    <row r="42" spans="1:8" x14ac:dyDescent="0.25">
      <c r="A42" s="211" t="s">
        <v>220</v>
      </c>
    </row>
    <row r="44" spans="1:8" x14ac:dyDescent="0.25">
      <c r="B44" s="211" t="s">
        <v>221</v>
      </c>
      <c r="C44" s="211" t="s">
        <v>222</v>
      </c>
    </row>
    <row r="45" spans="1:8" x14ac:dyDescent="0.25">
      <c r="B45" s="211">
        <v>0</v>
      </c>
      <c r="C45" s="212">
        <v>1.913746E-4</v>
      </c>
    </row>
    <row r="46" spans="1:8" x14ac:dyDescent="0.25">
      <c r="B46" s="211">
        <v>64</v>
      </c>
      <c r="C46" s="212">
        <v>7.0126040000000002E-4</v>
      </c>
    </row>
    <row r="48" spans="1:8" x14ac:dyDescent="0.25">
      <c r="B48" s="211" t="s">
        <v>223</v>
      </c>
    </row>
    <row r="49" spans="2:4" x14ac:dyDescent="0.25">
      <c r="B49" s="211" t="s">
        <v>224</v>
      </c>
      <c r="C49" s="212">
        <v>190.3175</v>
      </c>
      <c r="D49" s="211" t="s">
        <v>225</v>
      </c>
    </row>
    <row r="50" spans="2:4" x14ac:dyDescent="0.25">
      <c r="B50" s="211" t="s">
        <v>226</v>
      </c>
      <c r="C50" s="212">
        <v>8</v>
      </c>
      <c r="D50" s="211" t="s">
        <v>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5:E44"/>
  <sheetViews>
    <sheetView zoomScale="115" zoomScaleNormal="115" workbookViewId="0">
      <selection activeCell="C9" sqref="C9"/>
    </sheetView>
  </sheetViews>
  <sheetFormatPr defaultColWidth="8.85546875" defaultRowHeight="12.75" x14ac:dyDescent="0.2"/>
  <cols>
    <col min="2" max="2" width="34.42578125" customWidth="1"/>
    <col min="3" max="3" width="14.28515625" customWidth="1"/>
    <col min="5" max="5" width="11" customWidth="1"/>
    <col min="8" max="8" width="24" bestFit="1" customWidth="1"/>
  </cols>
  <sheetData>
    <row r="5" spans="2:5" ht="25.5" x14ac:dyDescent="0.2">
      <c r="B5" s="31" t="s">
        <v>3</v>
      </c>
      <c r="C5" s="32" t="s">
        <v>24</v>
      </c>
      <c r="D5" s="33" t="s">
        <v>25</v>
      </c>
      <c r="E5" s="80" t="s">
        <v>36</v>
      </c>
    </row>
    <row r="6" spans="2:5" ht="15" customHeight="1" x14ac:dyDescent="0.2">
      <c r="B6" s="51" t="s">
        <v>13</v>
      </c>
      <c r="C6" s="58">
        <v>1755.2</v>
      </c>
      <c r="D6" s="98">
        <v>3.1791999999999998</v>
      </c>
      <c r="E6" s="58">
        <f>C6*D6</f>
        <v>5580.13184</v>
      </c>
    </row>
    <row r="7" spans="2:5" x14ac:dyDescent="0.2">
      <c r="B7" s="51" t="s">
        <v>114</v>
      </c>
      <c r="C7" s="58">
        <f>'BLE - Central'!D7*1000</f>
        <v>500000</v>
      </c>
      <c r="D7" s="98">
        <f>C38</f>
        <v>6.4947999999999997</v>
      </c>
      <c r="E7" s="58">
        <f>C7*D7</f>
        <v>3247400</v>
      </c>
    </row>
    <row r="8" spans="2:5" x14ac:dyDescent="0.2">
      <c r="B8" s="51" t="s">
        <v>115</v>
      </c>
      <c r="C8" s="58">
        <v>854</v>
      </c>
      <c r="D8" s="98">
        <v>2.8071000000000002</v>
      </c>
      <c r="E8" s="58">
        <f>C8*D8</f>
        <v>2397.2634000000003</v>
      </c>
    </row>
    <row r="9" spans="2:5" x14ac:dyDescent="0.2">
      <c r="B9" s="51" t="s">
        <v>133</v>
      </c>
      <c r="C9" s="58">
        <f>'BLE - Central'!D9*1000-C6-C8</f>
        <v>777390.8</v>
      </c>
      <c r="D9" s="98">
        <f>'Input arguments'!L4 / 1000</f>
        <v>1.2999999999999999E-3</v>
      </c>
      <c r="E9" s="58">
        <f>C9*D9</f>
        <v>1010.60804</v>
      </c>
    </row>
    <row r="10" spans="2:5" x14ac:dyDescent="0.2">
      <c r="B10" s="51"/>
      <c r="C10" s="58"/>
      <c r="D10" s="98"/>
      <c r="E10" s="58"/>
    </row>
    <row r="11" spans="2:5" x14ac:dyDescent="0.2">
      <c r="B11" s="51"/>
      <c r="C11" s="98"/>
      <c r="D11" s="98"/>
      <c r="E11" s="58"/>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x14ac:dyDescent="0.2">
      <c r="B23" s="15" t="s">
        <v>117</v>
      </c>
      <c r="C23" s="107">
        <f>SUM(C6:C19)</f>
        <v>1280000</v>
      </c>
      <c r="D23" s="4"/>
      <c r="E23" s="2"/>
    </row>
    <row r="24" spans="2:5" x14ac:dyDescent="0.2">
      <c r="B24" s="15" t="s">
        <v>43</v>
      </c>
      <c r="C24" s="22"/>
      <c r="D24" s="5"/>
      <c r="E24" s="62">
        <f>SUM(E6:E19)</f>
        <v>3256388.0032799998</v>
      </c>
    </row>
    <row r="25" spans="2:5" ht="25.5" x14ac:dyDescent="0.2">
      <c r="B25" s="28" t="s">
        <v>118</v>
      </c>
      <c r="C25" s="79"/>
      <c r="D25" s="7"/>
      <c r="E25" s="59">
        <f>IF(E24=0,0,1000*E24/C23)</f>
        <v>2544.0531275624999</v>
      </c>
    </row>
    <row r="26" spans="2:5" x14ac:dyDescent="0.2">
      <c r="B26" s="3"/>
    </row>
    <row r="27" spans="2:5" ht="25.5" x14ac:dyDescent="0.2">
      <c r="B27" s="93" t="s">
        <v>116</v>
      </c>
      <c r="C27" s="81">
        <f>E25</f>
        <v>2544.0531275624999</v>
      </c>
      <c r="D27" s="96" t="s">
        <v>38</v>
      </c>
    </row>
    <row r="28" spans="2:5" ht="15.75" x14ac:dyDescent="0.2">
      <c r="B28" s="16" t="s">
        <v>33</v>
      </c>
      <c r="C28" s="94">
        <f>'BLE - Central'!D4/(C27/1000)</f>
        <v>88.441549259459165</v>
      </c>
      <c r="D28" s="97" t="s">
        <v>18</v>
      </c>
    </row>
    <row r="29" spans="2:5" ht="15.75" x14ac:dyDescent="0.2">
      <c r="B29" s="16" t="s">
        <v>33</v>
      </c>
      <c r="C29" s="88">
        <f>C28/24</f>
        <v>3.6850645524774652</v>
      </c>
      <c r="D29" s="96" t="s">
        <v>21</v>
      </c>
    </row>
    <row r="33" spans="2:3" x14ac:dyDescent="0.2">
      <c r="B33" s="1" t="s">
        <v>124</v>
      </c>
      <c r="C33">
        <f>IF(EXACT('BLE - Central'!D10,'Input arguments'!H3),'BLE - Central'!E10,0)</f>
        <v>5</v>
      </c>
    </row>
    <row r="34" spans="2:3" x14ac:dyDescent="0.2">
      <c r="B34" s="1" t="s">
        <v>120</v>
      </c>
      <c r="C34" s="102">
        <v>740</v>
      </c>
    </row>
    <row r="35" spans="2:3" x14ac:dyDescent="0.2">
      <c r="B35" s="1" t="s">
        <v>121</v>
      </c>
      <c r="C35" s="102">
        <v>8.48</v>
      </c>
    </row>
    <row r="36" spans="2:3" x14ac:dyDescent="0.2">
      <c r="B36" s="1" t="s">
        <v>122</v>
      </c>
      <c r="C36">
        <v>6.48</v>
      </c>
    </row>
    <row r="37" spans="2:3" x14ac:dyDescent="0.2">
      <c r="B37" s="1" t="s">
        <v>123</v>
      </c>
      <c r="C37">
        <f>($C$7-$C$33*$C$34)</f>
        <v>496300</v>
      </c>
    </row>
    <row r="38" spans="2:3" x14ac:dyDescent="0.2">
      <c r="B38" s="1" t="s">
        <v>125</v>
      </c>
      <c r="C38" s="1">
        <f>IF(C7&gt;0,(C33*C34*C35+C36*C37)/$C$7,0)</f>
        <v>6.4947999999999997</v>
      </c>
    </row>
    <row r="39" spans="2:3" ht="15" x14ac:dyDescent="0.25">
      <c r="B39" s="101"/>
      <c r="C39" s="101"/>
    </row>
    <row r="40" spans="2:3" ht="15" x14ac:dyDescent="0.25">
      <c r="B40" s="101"/>
      <c r="C40" s="101"/>
    </row>
    <row r="41" spans="2:3" ht="15" x14ac:dyDescent="0.25">
      <c r="B41" s="101"/>
      <c r="C41" s="101"/>
    </row>
    <row r="42" spans="2:3" ht="15" x14ac:dyDescent="0.25">
      <c r="B42" s="101"/>
      <c r="C42" s="101"/>
    </row>
    <row r="43" spans="2:3" ht="15" x14ac:dyDescent="0.25">
      <c r="B43" s="101"/>
      <c r="C43" s="101"/>
    </row>
    <row r="44" spans="2:3" ht="15" x14ac:dyDescent="0.25">
      <c r="B44" s="101"/>
      <c r="C44" s="10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5:E29"/>
  <sheetViews>
    <sheetView zoomScale="145" zoomScaleNormal="145" workbookViewId="0">
      <selection activeCell="F34" sqref="F34"/>
    </sheetView>
  </sheetViews>
  <sheetFormatPr defaultColWidth="8.85546875" defaultRowHeight="12.75" x14ac:dyDescent="0.2"/>
  <cols>
    <col min="2" max="2" width="27.42578125" customWidth="1"/>
    <col min="8" max="8" width="24.28515625" customWidth="1"/>
  </cols>
  <sheetData>
    <row r="5" spans="2:5" ht="25.5" x14ac:dyDescent="0.2">
      <c r="B5" s="31" t="s">
        <v>3</v>
      </c>
      <c r="C5" s="32" t="s">
        <v>24</v>
      </c>
      <c r="D5" s="33" t="s">
        <v>25</v>
      </c>
      <c r="E5" s="80" t="s">
        <v>36</v>
      </c>
    </row>
    <row r="6" spans="2:5" x14ac:dyDescent="0.2">
      <c r="B6" s="51" t="str">
        <f>'3V_Scanning'!B6</f>
        <v>Wake Up &amp; Pre-processing</v>
      </c>
      <c r="C6" s="100">
        <f>'3V_Scanning'!C6</f>
        <v>1755.2</v>
      </c>
      <c r="D6" s="99">
        <f>('3V_Scanning'!D6)*3/3.6</f>
        <v>2.6493333333333333</v>
      </c>
      <c r="E6" s="58">
        <f t="shared" ref="E6:E11" si="0">C6*D6</f>
        <v>4650.1098666666667</v>
      </c>
    </row>
    <row r="7" spans="2:5" x14ac:dyDescent="0.2">
      <c r="B7" s="51" t="str">
        <f>'3V_Scanning'!B7</f>
        <v>Receive (RX)</v>
      </c>
      <c r="C7" s="100">
        <f>'3V_Scanning'!C7</f>
        <v>500000</v>
      </c>
      <c r="D7" s="99">
        <f>('3V_Scanning'!D7)*3/3.6</f>
        <v>5.4123333333333337</v>
      </c>
      <c r="E7" s="58">
        <f t="shared" si="0"/>
        <v>2706166.666666667</v>
      </c>
    </row>
    <row r="8" spans="2:5" x14ac:dyDescent="0.2">
      <c r="B8" s="51" t="str">
        <f>'3V_Scanning'!B8</f>
        <v>Post-processing</v>
      </c>
      <c r="C8" s="100">
        <f>'3V_Scanning'!C8</f>
        <v>854</v>
      </c>
      <c r="D8" s="99">
        <f>('3V_Scanning'!D8)*3/3.6</f>
        <v>2.3392500000000003</v>
      </c>
      <c r="E8" s="58">
        <f t="shared" si="0"/>
        <v>1997.7195000000002</v>
      </c>
    </row>
    <row r="9" spans="2:5" x14ac:dyDescent="0.2">
      <c r="B9" s="51" t="str">
        <f>'3V_Scanning'!B9</f>
        <v>Standby</v>
      </c>
      <c r="C9" s="100">
        <f>'3V_Scanning'!C9</f>
        <v>777390.8</v>
      </c>
      <c r="D9" s="99">
        <f>('3V_Scanning'!D9)*3/3.6</f>
        <v>1.0833333333333333E-3</v>
      </c>
      <c r="E9" s="58">
        <f t="shared" si="0"/>
        <v>842.17336666666665</v>
      </c>
    </row>
    <row r="10" spans="2:5" x14ac:dyDescent="0.2">
      <c r="B10" s="51">
        <f>'3V_Scanning'!B10</f>
        <v>0</v>
      </c>
      <c r="C10" s="100">
        <f>'3V_Scanning'!C10</f>
        <v>0</v>
      </c>
      <c r="D10" s="99">
        <f>('3V_Scanning'!D10)*3/3.6</f>
        <v>0</v>
      </c>
      <c r="E10" s="58">
        <f t="shared" si="0"/>
        <v>0</v>
      </c>
    </row>
    <row r="11" spans="2:5" x14ac:dyDescent="0.2">
      <c r="B11" s="51">
        <f>'3V_Scanning'!B11</f>
        <v>0</v>
      </c>
      <c r="C11" s="100">
        <f>'3V_Scanning'!C11</f>
        <v>0</v>
      </c>
      <c r="D11" s="99">
        <f>('3V_Scanning'!D11)*3/3.6</f>
        <v>0</v>
      </c>
      <c r="E11" s="58">
        <f t="shared" si="0"/>
        <v>0</v>
      </c>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ht="25.5" x14ac:dyDescent="0.2">
      <c r="B23" s="15" t="s">
        <v>42</v>
      </c>
      <c r="C23" s="107">
        <f>SUM(C6:C19)</f>
        <v>1280000</v>
      </c>
      <c r="D23" s="4"/>
      <c r="E23" s="2"/>
    </row>
    <row r="24" spans="2:5" x14ac:dyDescent="0.2">
      <c r="B24" s="15" t="s">
        <v>43</v>
      </c>
      <c r="C24" s="22"/>
      <c r="D24" s="5"/>
      <c r="E24" s="62">
        <f>SUM(E6:E19)</f>
        <v>2713656.6694000005</v>
      </c>
    </row>
    <row r="25" spans="2:5" ht="25.5" x14ac:dyDescent="0.2">
      <c r="B25" s="28" t="s">
        <v>55</v>
      </c>
      <c r="C25" s="79"/>
      <c r="D25" s="7"/>
      <c r="E25" s="59">
        <f>IF(E24=0,0,1000*E24/C23)</f>
        <v>2120.0442729687506</v>
      </c>
    </row>
    <row r="26" spans="2:5" x14ac:dyDescent="0.2">
      <c r="B26" s="3"/>
    </row>
    <row r="27" spans="2:5" ht="25.5" x14ac:dyDescent="0.2">
      <c r="B27" s="93" t="s">
        <v>32</v>
      </c>
      <c r="C27" s="81">
        <f>E25</f>
        <v>2120.0442729687506</v>
      </c>
      <c r="D27" s="96" t="s">
        <v>38</v>
      </c>
    </row>
    <row r="28" spans="2:5" ht="15.75" x14ac:dyDescent="0.2">
      <c r="B28" s="16" t="s">
        <v>33</v>
      </c>
      <c r="C28" s="94">
        <f>'BLE - Central'!D4/(C27/1000)</f>
        <v>106.12985911135097</v>
      </c>
      <c r="D28" s="97" t="s">
        <v>18</v>
      </c>
    </row>
    <row r="29" spans="2:5" ht="15.75" x14ac:dyDescent="0.2">
      <c r="B29" s="16" t="s">
        <v>33</v>
      </c>
      <c r="C29" s="88">
        <f>C28/24</f>
        <v>4.4220774629729567</v>
      </c>
      <c r="D29" s="96" t="s">
        <v>21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5:E29"/>
  <sheetViews>
    <sheetView topLeftCell="A10" zoomScale="145" zoomScaleNormal="145" workbookViewId="0">
      <selection activeCell="F32" sqref="F32"/>
    </sheetView>
  </sheetViews>
  <sheetFormatPr defaultColWidth="8.85546875" defaultRowHeight="12.75" x14ac:dyDescent="0.2"/>
  <cols>
    <col min="2" max="2" width="27.42578125" customWidth="1"/>
    <col min="8" max="8" width="24.28515625" customWidth="1"/>
  </cols>
  <sheetData>
    <row r="5" spans="2:5" ht="25.5" x14ac:dyDescent="0.2">
      <c r="B5" s="31" t="s">
        <v>3</v>
      </c>
      <c r="C5" s="32" t="s">
        <v>24</v>
      </c>
      <c r="D5" s="33" t="s">
        <v>25</v>
      </c>
      <c r="E5" s="80" t="s">
        <v>36</v>
      </c>
    </row>
    <row r="6" spans="2:5" x14ac:dyDescent="0.2">
      <c r="B6" s="51" t="str">
        <f>'3V_Scanning'!B6</f>
        <v>Wake Up &amp; Pre-processing</v>
      </c>
      <c r="C6" s="100">
        <f>'3V_Scanning'!C6</f>
        <v>1755.2</v>
      </c>
      <c r="D6" s="99">
        <f>('3V_Scanning'!D6)*3/1.8</f>
        <v>5.2986666666666666</v>
      </c>
      <c r="E6" s="58">
        <f t="shared" ref="E6:E11" si="0">C6*D6</f>
        <v>9300.2197333333334</v>
      </c>
    </row>
    <row r="7" spans="2:5" x14ac:dyDescent="0.2">
      <c r="B7" s="51" t="str">
        <f>'3V_Scanning'!B7</f>
        <v>Receive (RX)</v>
      </c>
      <c r="C7" s="100">
        <f>'3V_Scanning'!C7</f>
        <v>500000</v>
      </c>
      <c r="D7" s="99">
        <f>('3V_Scanning'!D7)*3/1.8</f>
        <v>10.824666666666667</v>
      </c>
      <c r="E7" s="58">
        <f t="shared" si="0"/>
        <v>5412333.333333334</v>
      </c>
    </row>
    <row r="8" spans="2:5" x14ac:dyDescent="0.2">
      <c r="B8" s="51" t="str">
        <f>'3V_Scanning'!B8</f>
        <v>Post-processing</v>
      </c>
      <c r="C8" s="100">
        <f>'3V_Scanning'!C8</f>
        <v>854</v>
      </c>
      <c r="D8" s="99">
        <f>('3V_Scanning'!D8)*3/1.8</f>
        <v>4.6785000000000005</v>
      </c>
      <c r="E8" s="58">
        <f t="shared" si="0"/>
        <v>3995.4390000000003</v>
      </c>
    </row>
    <row r="9" spans="2:5" x14ac:dyDescent="0.2">
      <c r="B9" s="51" t="str">
        <f>'3V_Scanning'!B9</f>
        <v>Standby</v>
      </c>
      <c r="C9" s="100">
        <f>'3V_Scanning'!C9</f>
        <v>777390.8</v>
      </c>
      <c r="D9" s="99">
        <f>('3V_Scanning'!D9)*3/1.8</f>
        <v>2.1666666666666666E-3</v>
      </c>
      <c r="E9" s="58">
        <f t="shared" si="0"/>
        <v>1684.3467333333333</v>
      </c>
    </row>
    <row r="10" spans="2:5" x14ac:dyDescent="0.2">
      <c r="B10" s="51">
        <f>'3V_Scanning'!B10</f>
        <v>0</v>
      </c>
      <c r="C10" s="100">
        <f>'3V_Scanning'!C10</f>
        <v>0</v>
      </c>
      <c r="D10" s="99">
        <f>('3V_Scanning'!D10)*3/1.8</f>
        <v>0</v>
      </c>
      <c r="E10" s="58">
        <f t="shared" si="0"/>
        <v>0</v>
      </c>
    </row>
    <row r="11" spans="2:5" x14ac:dyDescent="0.2">
      <c r="B11" s="51">
        <f>'3V_Scanning'!B11</f>
        <v>0</v>
      </c>
      <c r="C11" s="100">
        <f>'3V_Scanning'!C11</f>
        <v>0</v>
      </c>
      <c r="D11" s="99">
        <f>('3V_Scanning'!D11)*3/1.8</f>
        <v>0</v>
      </c>
      <c r="E11" s="58">
        <f t="shared" si="0"/>
        <v>0</v>
      </c>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ht="25.5" x14ac:dyDescent="0.2">
      <c r="B23" s="15" t="s">
        <v>42</v>
      </c>
      <c r="C23" s="107">
        <f>SUM(C6:C19)</f>
        <v>1280000</v>
      </c>
      <c r="D23" s="4"/>
      <c r="E23" s="2"/>
    </row>
    <row r="24" spans="2:5" x14ac:dyDescent="0.2">
      <c r="B24" s="15" t="s">
        <v>43</v>
      </c>
      <c r="C24" s="22"/>
      <c r="D24" s="5"/>
      <c r="E24" s="62">
        <f>SUM(E6:E19)</f>
        <v>5427313.338800001</v>
      </c>
    </row>
    <row r="25" spans="2:5" ht="25.5" x14ac:dyDescent="0.2">
      <c r="B25" s="28" t="s">
        <v>55</v>
      </c>
      <c r="C25" s="79"/>
      <c r="D25" s="7"/>
      <c r="E25" s="59">
        <f>IF(E24=0,0,1000*E24/C23)</f>
        <v>4240.0885459375013</v>
      </c>
    </row>
    <row r="26" spans="2:5" x14ac:dyDescent="0.2">
      <c r="B26" s="3"/>
    </row>
    <row r="27" spans="2:5" ht="25.5" x14ac:dyDescent="0.2">
      <c r="B27" s="93" t="s">
        <v>32</v>
      </c>
      <c r="C27" s="81">
        <f>E25</f>
        <v>4240.0885459375013</v>
      </c>
      <c r="D27" s="96" t="s">
        <v>38</v>
      </c>
    </row>
    <row r="28" spans="2:5" ht="15.75" x14ac:dyDescent="0.2">
      <c r="B28" s="16" t="s">
        <v>33</v>
      </c>
      <c r="C28" s="94">
        <f>'BLE - Central'!D4/(C27/1000)</f>
        <v>53.064929555675484</v>
      </c>
      <c r="D28" s="97" t="s">
        <v>18</v>
      </c>
    </row>
    <row r="29" spans="2:5" ht="15.75" x14ac:dyDescent="0.2">
      <c r="B29" s="16" t="s">
        <v>33</v>
      </c>
      <c r="C29" s="88">
        <f>C28/24</f>
        <v>2.2110387314864783</v>
      </c>
      <c r="D29" s="96" t="s">
        <v>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5:E46"/>
  <sheetViews>
    <sheetView workbookViewId="0">
      <selection activeCell="C8" sqref="C8"/>
    </sheetView>
  </sheetViews>
  <sheetFormatPr defaultColWidth="8.85546875" defaultRowHeight="12.75" x14ac:dyDescent="0.2"/>
  <cols>
    <col min="2" max="2" width="24.28515625" bestFit="1" customWidth="1"/>
    <col min="3" max="3" width="11" bestFit="1" customWidth="1"/>
    <col min="8" max="8" width="24" bestFit="1" customWidth="1"/>
  </cols>
  <sheetData>
    <row r="5" spans="2:5" ht="25.5" x14ac:dyDescent="0.2">
      <c r="B5" s="31" t="s">
        <v>3</v>
      </c>
      <c r="C5" s="32" t="s">
        <v>24</v>
      </c>
      <c r="D5" s="33" t="s">
        <v>25</v>
      </c>
      <c r="E5" s="80" t="s">
        <v>36</v>
      </c>
    </row>
    <row r="6" spans="2:5" ht="15" customHeight="1" x14ac:dyDescent="0.2">
      <c r="B6" s="51" t="s">
        <v>13</v>
      </c>
      <c r="C6" s="58">
        <v>1283.8888888888889</v>
      </c>
      <c r="D6" s="98">
        <v>3.1012666666666662</v>
      </c>
      <c r="E6" s="58">
        <f t="shared" ref="E6:E11" si="0">C6*D6</f>
        <v>3981.6818148148141</v>
      </c>
    </row>
    <row r="7" spans="2:5" x14ac:dyDescent="0.2">
      <c r="B7" s="51" t="s">
        <v>128</v>
      </c>
      <c r="C7" s="58">
        <v>394.22222222222223</v>
      </c>
      <c r="D7" s="98">
        <v>3.5755222222222218</v>
      </c>
      <c r="E7" s="58">
        <f t="shared" si="0"/>
        <v>1409.5503160493827</v>
      </c>
    </row>
    <row r="8" spans="2:5" x14ac:dyDescent="0.2">
      <c r="B8" s="51" t="s">
        <v>7</v>
      </c>
      <c r="C8" s="58">
        <f>84.39+7.6258*'BLE - Central'!$D$12</f>
        <v>84.39</v>
      </c>
      <c r="D8" s="98">
        <f>IF('BLE - Central'!$D$6=B39,C39,IF('BLE - Central'!$D$6=B40,C40,IF('BLE - Central'!$D$6=B41,C41,IF('BLE - Central'!$D$6=B42,C42,IF('BLE - Central'!$D$6=B43,C43,IF('BLE - Central'!$D$6=B44,C44))))))</f>
        <v>7.3402000000000003</v>
      </c>
      <c r="E8" s="58">
        <f t="shared" si="0"/>
        <v>619.43947800000001</v>
      </c>
    </row>
    <row r="9" spans="2:5" x14ac:dyDescent="0.2">
      <c r="B9" s="51" t="s">
        <v>9</v>
      </c>
      <c r="C9" s="58">
        <v>109.22222222222223</v>
      </c>
      <c r="D9" s="98">
        <v>5.2093222222222222</v>
      </c>
      <c r="E9" s="58">
        <f t="shared" si="0"/>
        <v>568.97374938271605</v>
      </c>
    </row>
    <row r="10" spans="2:5" x14ac:dyDescent="0.2">
      <c r="B10" s="51" t="s">
        <v>114</v>
      </c>
      <c r="C10" s="58">
        <f>IF('BLE - Central'!$D$13=B34,C34,IF('BLE - Central'!$D$13=B35,C35))</f>
        <v>461.33333333333331</v>
      </c>
      <c r="D10" s="98">
        <v>6.6890999999999998</v>
      </c>
      <c r="E10" s="58">
        <f t="shared" si="0"/>
        <v>3085.9047999999998</v>
      </c>
    </row>
    <row r="11" spans="2:5" x14ac:dyDescent="0.2">
      <c r="B11" s="51" t="s">
        <v>16</v>
      </c>
      <c r="C11" s="98">
        <v>853.44444444444446</v>
      </c>
      <c r="D11" s="98">
        <v>2.6242222222222225</v>
      </c>
      <c r="E11" s="58">
        <f t="shared" si="0"/>
        <v>2239.6278765432103</v>
      </c>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ht="25.5" x14ac:dyDescent="0.2">
      <c r="B23" s="15" t="s">
        <v>42</v>
      </c>
      <c r="C23" s="107">
        <f>SUM(C6:C19)</f>
        <v>3186.5011111111112</v>
      </c>
      <c r="D23" s="4"/>
      <c r="E23" s="2"/>
    </row>
    <row r="24" spans="2:5" ht="25.5" x14ac:dyDescent="0.2">
      <c r="B24" s="15" t="s">
        <v>43</v>
      </c>
      <c r="C24" s="22"/>
      <c r="D24" s="5"/>
      <c r="E24" s="62">
        <f>SUM(E6:E19)</f>
        <v>11905.178034790124</v>
      </c>
    </row>
    <row r="25" spans="2:5" ht="38.25" x14ac:dyDescent="0.2">
      <c r="B25" s="28" t="s">
        <v>55</v>
      </c>
      <c r="C25" s="79"/>
      <c r="D25" s="7"/>
      <c r="E25" s="59">
        <f>IF(E24=0,0,1000*E24/C23)</f>
        <v>3736.1286312681909</v>
      </c>
    </row>
    <row r="26" spans="2:5" x14ac:dyDescent="0.2">
      <c r="B26" s="3"/>
    </row>
    <row r="27" spans="2:5" ht="25.5" x14ac:dyDescent="0.2">
      <c r="B27" s="93" t="s">
        <v>32</v>
      </c>
      <c r="C27" s="81">
        <f>((E25*C23)+((('BLE - Central'!D11*1000)-C23)*'Input arguments'!L4))/('BLE - Central'!D11*1000)</f>
        <v>120.3103558334568</v>
      </c>
      <c r="D27" s="96" t="s">
        <v>38</v>
      </c>
    </row>
    <row r="28" spans="2:5" ht="15.75" x14ac:dyDescent="0.2">
      <c r="B28" s="16" t="s">
        <v>33</v>
      </c>
      <c r="C28" s="94">
        <f>'BLE - Central'!D4/(C27/1000)</f>
        <v>1870.1631995126252</v>
      </c>
      <c r="D28" s="97" t="s">
        <v>18</v>
      </c>
    </row>
    <row r="29" spans="2:5" ht="15.75" x14ac:dyDescent="0.2">
      <c r="B29" s="16" t="s">
        <v>33</v>
      </c>
      <c r="C29" s="88">
        <f>C28/24</f>
        <v>77.923466646359387</v>
      </c>
      <c r="D29" s="96" t="s">
        <v>21</v>
      </c>
    </row>
    <row r="33" spans="2:3" x14ac:dyDescent="0.2">
      <c r="B33" t="s">
        <v>67</v>
      </c>
      <c r="C33" t="s">
        <v>66</v>
      </c>
    </row>
    <row r="34" spans="2:3" x14ac:dyDescent="0.2">
      <c r="B34" t="str">
        <f>'Input arguments'!G2</f>
        <v>external 32kHz</v>
      </c>
      <c r="C34" s="102">
        <v>219.66666666666666</v>
      </c>
    </row>
    <row r="35" spans="2:3" x14ac:dyDescent="0.2">
      <c r="B35" t="str">
        <f>'Input arguments'!G3</f>
        <v>RCOSC_LF</v>
      </c>
      <c r="C35" s="102">
        <v>461.33333333333331</v>
      </c>
    </row>
    <row r="38" spans="2:3" ht="15" x14ac:dyDescent="0.25">
      <c r="B38" s="101" t="s">
        <v>61</v>
      </c>
      <c r="C38" s="1" t="s">
        <v>62</v>
      </c>
    </row>
    <row r="39" spans="2:3" ht="15" x14ac:dyDescent="0.25">
      <c r="B39" s="101">
        <v>-21</v>
      </c>
      <c r="C39" s="101">
        <v>4.8119000000000005</v>
      </c>
    </row>
    <row r="40" spans="2:3" ht="15" x14ac:dyDescent="0.25">
      <c r="B40" s="101">
        <v>-15</v>
      </c>
      <c r="C40" s="101">
        <v>5.0670333333333328</v>
      </c>
    </row>
    <row r="41" spans="2:3" ht="15" x14ac:dyDescent="0.25">
      <c r="B41" s="101">
        <v>-9</v>
      </c>
      <c r="C41" s="101">
        <v>5.5009666666666668</v>
      </c>
    </row>
    <row r="42" spans="2:3" ht="15" x14ac:dyDescent="0.25">
      <c r="B42" s="101">
        <v>0</v>
      </c>
      <c r="C42" s="101">
        <v>7.3402000000000003</v>
      </c>
    </row>
    <row r="43" spans="2:3" ht="15" x14ac:dyDescent="0.25">
      <c r="B43" s="101">
        <v>3</v>
      </c>
      <c r="C43" s="101">
        <v>8.5862333333333343</v>
      </c>
    </row>
    <row r="44" spans="2:3" ht="15" x14ac:dyDescent="0.25">
      <c r="B44" s="101">
        <v>5</v>
      </c>
      <c r="C44" s="101">
        <v>10.439366666666666</v>
      </c>
    </row>
    <row r="45" spans="2:3" ht="15" x14ac:dyDescent="0.25">
      <c r="B45" s="101"/>
      <c r="C45" s="101"/>
    </row>
    <row r="46" spans="2:3" ht="15" x14ac:dyDescent="0.25">
      <c r="B46" s="101"/>
      <c r="C46" s="10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5:E29"/>
  <sheetViews>
    <sheetView workbookViewId="0">
      <selection activeCell="F32" sqref="F32"/>
    </sheetView>
  </sheetViews>
  <sheetFormatPr defaultColWidth="8.85546875" defaultRowHeight="12.75" x14ac:dyDescent="0.2"/>
  <cols>
    <col min="2" max="2" width="27.42578125" customWidth="1"/>
    <col min="8" max="8" width="24.28515625" customWidth="1"/>
  </cols>
  <sheetData>
    <row r="5" spans="2:5" ht="25.5" x14ac:dyDescent="0.2">
      <c r="B5" s="31" t="s">
        <v>3</v>
      </c>
      <c r="C5" s="32" t="s">
        <v>24</v>
      </c>
      <c r="D5" s="33" t="s">
        <v>25</v>
      </c>
      <c r="E5" s="80" t="s">
        <v>36</v>
      </c>
    </row>
    <row r="6" spans="2:5" x14ac:dyDescent="0.2">
      <c r="B6" s="51" t="str">
        <f>'3V_ConnectedCentral'!B6</f>
        <v>Wake Up &amp; Pre-processing</v>
      </c>
      <c r="C6" s="100">
        <f>'3V_ConnectedCentral'!C6</f>
        <v>1283.8888888888889</v>
      </c>
      <c r="D6" s="99">
        <f>('3V_ConnectedCentral'!D6)*3/1.8</f>
        <v>5.1687777777777768</v>
      </c>
      <c r="E6" s="58">
        <f t="shared" ref="E6:E11" si="0">C6*D6</f>
        <v>6636.1363580246898</v>
      </c>
    </row>
    <row r="7" spans="2:5" x14ac:dyDescent="0.2">
      <c r="B7" s="51" t="str">
        <f>'3V_ConnectedCentral'!B7</f>
        <v xml:space="preserve">Preparation for Tx </v>
      </c>
      <c r="C7" s="100">
        <f>'3V_ConnectedCentral'!C7</f>
        <v>394.22222222222223</v>
      </c>
      <c r="D7" s="99">
        <f>('3V_ConnectedCentral'!D7)*3/1.8</f>
        <v>5.9592037037037029</v>
      </c>
      <c r="E7" s="58">
        <f t="shared" si="0"/>
        <v>2349.250526748971</v>
      </c>
    </row>
    <row r="8" spans="2:5" x14ac:dyDescent="0.2">
      <c r="B8" s="51" t="str">
        <f>'3V_ConnectedCentral'!B8</f>
        <v>Transmit (TX)</v>
      </c>
      <c r="C8" s="100">
        <f>'3V_ConnectedCentral'!C8</f>
        <v>84.39</v>
      </c>
      <c r="D8" s="99">
        <f>('3V_ConnectedCentral'!D8)*3/1.8</f>
        <v>12.233666666666668</v>
      </c>
      <c r="E8" s="58">
        <f t="shared" si="0"/>
        <v>1032.39913</v>
      </c>
    </row>
    <row r="9" spans="2:5" x14ac:dyDescent="0.2">
      <c r="B9" s="51" t="str">
        <f>'3V_ConnectedCentral'!B9</f>
        <v>TX to RX transition</v>
      </c>
      <c r="C9" s="100">
        <f>'3V_ConnectedCentral'!C9</f>
        <v>109.22222222222223</v>
      </c>
      <c r="D9" s="99">
        <f>('3V_ConnectedCentral'!D9)*3/1.8</f>
        <v>8.6822037037037028</v>
      </c>
      <c r="E9" s="58">
        <f t="shared" si="0"/>
        <v>948.28958230452668</v>
      </c>
    </row>
    <row r="10" spans="2:5" x14ac:dyDescent="0.2">
      <c r="B10" s="51" t="str">
        <f>'3V_ConnectedCentral'!B10</f>
        <v>Receive (RX)</v>
      </c>
      <c r="C10" s="100">
        <f>'3V_ConnectedCentral'!C10</f>
        <v>461.33333333333331</v>
      </c>
      <c r="D10" s="99">
        <f>('3V_ConnectedCentral'!D10)*3/1.8</f>
        <v>11.1485</v>
      </c>
      <c r="E10" s="58">
        <f t="shared" si="0"/>
        <v>5143.1746666666668</v>
      </c>
    </row>
    <row r="11" spans="2:5" x14ac:dyDescent="0.2">
      <c r="B11" s="51" t="str">
        <f>'3V_ConnectedCentral'!B11</f>
        <v>Post-Processing</v>
      </c>
      <c r="C11" s="100">
        <f>'3V_ConnectedCentral'!C11</f>
        <v>853.44444444444446</v>
      </c>
      <c r="D11" s="99">
        <f>('3V_ConnectedCentral'!D11)*3/1.8</f>
        <v>4.3737037037037041</v>
      </c>
      <c r="E11" s="58">
        <f t="shared" si="0"/>
        <v>3732.7131275720167</v>
      </c>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ht="25.5" x14ac:dyDescent="0.2">
      <c r="B23" s="15" t="s">
        <v>42</v>
      </c>
      <c r="C23" s="107">
        <f>SUM(C6:C19)</f>
        <v>3186.5011111111112</v>
      </c>
      <c r="D23" s="4"/>
      <c r="E23" s="2"/>
    </row>
    <row r="24" spans="2:5" x14ac:dyDescent="0.2">
      <c r="B24" s="15" t="s">
        <v>43</v>
      </c>
      <c r="C24" s="22"/>
      <c r="D24" s="5"/>
      <c r="E24" s="62">
        <f>SUM(E6:E19)</f>
        <v>19841.963391316873</v>
      </c>
    </row>
    <row r="25" spans="2:5" ht="25.5" x14ac:dyDescent="0.2">
      <c r="B25" s="28" t="s">
        <v>55</v>
      </c>
      <c r="C25" s="79"/>
      <c r="D25" s="7"/>
      <c r="E25" s="59">
        <f>IF(E24=0,0,1000*E24/C23)</f>
        <v>6226.8810521136502</v>
      </c>
    </row>
    <row r="26" spans="2:5" x14ac:dyDescent="0.2">
      <c r="B26" s="3"/>
    </row>
    <row r="27" spans="2:5" ht="25.5" x14ac:dyDescent="0.2">
      <c r="B27" s="93" t="s">
        <v>32</v>
      </c>
      <c r="C27" s="81">
        <f>((E25*C23)+((('BLE - Central'!D11*1000)-C23)*'Input arguments'!L4))/('BLE - Central'!D11*1000)</f>
        <v>199.67820939872428</v>
      </c>
      <c r="D27" s="96" t="s">
        <v>38</v>
      </c>
    </row>
    <row r="28" spans="2:5" ht="15.75" x14ac:dyDescent="0.2">
      <c r="B28" s="16" t="s">
        <v>33</v>
      </c>
      <c r="C28" s="94">
        <f>'BLE - Central'!D4/(C27/1000)</f>
        <v>1126.8129891465137</v>
      </c>
      <c r="D28" s="97" t="s">
        <v>18</v>
      </c>
    </row>
    <row r="29" spans="2:5" ht="15.75" x14ac:dyDescent="0.2">
      <c r="B29" s="16" t="s">
        <v>33</v>
      </c>
      <c r="C29" s="88">
        <f>C28/24</f>
        <v>46.950541214438068</v>
      </c>
      <c r="D29" s="96" t="s">
        <v>21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5:E29"/>
  <sheetViews>
    <sheetView workbookViewId="0">
      <selection activeCell="F32" sqref="F32"/>
    </sheetView>
  </sheetViews>
  <sheetFormatPr defaultColWidth="8.85546875" defaultRowHeight="12.75" x14ac:dyDescent="0.2"/>
  <cols>
    <col min="2" max="2" width="29.7109375" customWidth="1"/>
    <col min="8" max="8" width="24.28515625" customWidth="1"/>
  </cols>
  <sheetData>
    <row r="5" spans="2:5" ht="25.5" x14ac:dyDescent="0.2">
      <c r="B5" s="31" t="s">
        <v>3</v>
      </c>
      <c r="C5" s="32" t="s">
        <v>24</v>
      </c>
      <c r="D5" s="33" t="s">
        <v>25</v>
      </c>
      <c r="E5" s="80" t="s">
        <v>36</v>
      </c>
    </row>
    <row r="6" spans="2:5" ht="14.25" customHeight="1" x14ac:dyDescent="0.2">
      <c r="B6" s="51" t="str">
        <f>'3V_ConnectedCentral'!B6</f>
        <v>Wake Up &amp; Pre-processing</v>
      </c>
      <c r="C6" s="100">
        <f>'3V_ConnectedCentral'!C6</f>
        <v>1283.8888888888889</v>
      </c>
      <c r="D6" s="99">
        <f>('3V_ConnectedCentral'!D6)*3/3.6</f>
        <v>2.5843888888888884</v>
      </c>
      <c r="E6" s="58">
        <f t="shared" ref="E6:E11" si="0">C6*D6</f>
        <v>3318.0681790123449</v>
      </c>
    </row>
    <row r="7" spans="2:5" ht="12" customHeight="1" x14ac:dyDescent="0.2">
      <c r="B7" s="51" t="str">
        <f>'3V_ConnectedCentral'!B7</f>
        <v xml:space="preserve">Preparation for Tx </v>
      </c>
      <c r="C7" s="100">
        <f>'3V_ConnectedCentral'!C7</f>
        <v>394.22222222222223</v>
      </c>
      <c r="D7" s="99">
        <f>('3V_ConnectedCentral'!D7)*3/3.6</f>
        <v>2.9796018518518514</v>
      </c>
      <c r="E7" s="58">
        <f t="shared" si="0"/>
        <v>1174.6252633744855</v>
      </c>
    </row>
    <row r="8" spans="2:5" x14ac:dyDescent="0.2">
      <c r="B8" s="51" t="str">
        <f>'3V_ConnectedCentral'!B8</f>
        <v>Transmit (TX)</v>
      </c>
      <c r="C8" s="100">
        <f>'3V_ConnectedCentral'!C8</f>
        <v>84.39</v>
      </c>
      <c r="D8" s="99">
        <f>('3V_ConnectedCentral'!D8)*3/3.6</f>
        <v>6.116833333333334</v>
      </c>
      <c r="E8" s="58">
        <f t="shared" si="0"/>
        <v>516.19956500000001</v>
      </c>
    </row>
    <row r="9" spans="2:5" x14ac:dyDescent="0.2">
      <c r="B9" s="51" t="str">
        <f>'3V_ConnectedCentral'!B9</f>
        <v>TX to RX transition</v>
      </c>
      <c r="C9" s="100">
        <f>'3V_ConnectedCentral'!C9</f>
        <v>109.22222222222223</v>
      </c>
      <c r="D9" s="99">
        <f>('3V_ConnectedCentral'!D9)*3/3.6</f>
        <v>4.3411018518518514</v>
      </c>
      <c r="E9" s="58">
        <f t="shared" si="0"/>
        <v>474.14479115226334</v>
      </c>
    </row>
    <row r="10" spans="2:5" x14ac:dyDescent="0.2">
      <c r="B10" s="51" t="str">
        <f>'3V_ConnectedCentral'!B10</f>
        <v>Receive (RX)</v>
      </c>
      <c r="C10" s="100">
        <f>'3V_ConnectedCentral'!C10</f>
        <v>461.33333333333331</v>
      </c>
      <c r="D10" s="99">
        <f>('3V_ConnectedCentral'!D10)*3/3.6</f>
        <v>5.5742500000000001</v>
      </c>
      <c r="E10" s="58">
        <f t="shared" si="0"/>
        <v>2571.5873333333334</v>
      </c>
    </row>
    <row r="11" spans="2:5" x14ac:dyDescent="0.2">
      <c r="B11" s="51" t="str">
        <f>'3V_ConnectedCentral'!B11</f>
        <v>Post-Processing</v>
      </c>
      <c r="C11" s="100">
        <f>'3V_ConnectedCentral'!C11</f>
        <v>853.44444444444446</v>
      </c>
      <c r="D11" s="99">
        <f>('3V_ConnectedCentral'!D11)*3/3.6</f>
        <v>2.186851851851852</v>
      </c>
      <c r="E11" s="58">
        <f t="shared" si="0"/>
        <v>1866.3565637860083</v>
      </c>
    </row>
    <row r="12" spans="2:5" x14ac:dyDescent="0.2">
      <c r="B12" s="51"/>
      <c r="C12" s="111"/>
      <c r="D12" s="111"/>
      <c r="E12" s="113"/>
    </row>
    <row r="13" spans="2:5" x14ac:dyDescent="0.2">
      <c r="B13" s="51"/>
      <c r="C13" s="111"/>
      <c r="D13" s="111"/>
      <c r="E13" s="113"/>
    </row>
    <row r="14" spans="2:5" x14ac:dyDescent="0.2">
      <c r="B14" s="51"/>
      <c r="C14" s="111"/>
      <c r="D14" s="111"/>
      <c r="E14" s="113"/>
    </row>
    <row r="15" spans="2:5" x14ac:dyDescent="0.2">
      <c r="B15" s="51"/>
      <c r="C15" s="111"/>
      <c r="D15" s="111"/>
      <c r="E15" s="113"/>
    </row>
    <row r="16" spans="2:5" x14ac:dyDescent="0.2">
      <c r="B16" s="51"/>
      <c r="C16" s="111"/>
      <c r="D16" s="111"/>
      <c r="E16" s="113"/>
    </row>
    <row r="17" spans="2:5" x14ac:dyDescent="0.2">
      <c r="B17" s="51"/>
      <c r="C17" s="111"/>
      <c r="D17" s="111"/>
      <c r="E17" s="113"/>
    </row>
    <row r="18" spans="2:5" x14ac:dyDescent="0.2">
      <c r="B18" s="51"/>
      <c r="C18" s="111"/>
      <c r="D18" s="111"/>
      <c r="E18" s="113"/>
    </row>
    <row r="19" spans="2:5" x14ac:dyDescent="0.2">
      <c r="B19" s="51"/>
      <c r="C19" s="113"/>
      <c r="D19" s="119"/>
      <c r="E19" s="113"/>
    </row>
    <row r="20" spans="2:5" x14ac:dyDescent="0.2">
      <c r="B20" s="118"/>
      <c r="C20" s="113"/>
      <c r="D20" s="119"/>
      <c r="E20" s="113"/>
    </row>
    <row r="21" spans="2:5" x14ac:dyDescent="0.2">
      <c r="B21" s="55"/>
      <c r="C21" s="49"/>
      <c r="D21" s="45"/>
      <c r="E21" s="49"/>
    </row>
    <row r="22" spans="2:5" x14ac:dyDescent="0.2">
      <c r="B22" s="48"/>
      <c r="C22" s="50"/>
      <c r="D22" s="46"/>
      <c r="E22" s="50"/>
    </row>
    <row r="23" spans="2:5" ht="25.5" x14ac:dyDescent="0.2">
      <c r="B23" s="15" t="s">
        <v>42</v>
      </c>
      <c r="C23" s="107">
        <f>SUM(C6:C19)</f>
        <v>3186.5011111111112</v>
      </c>
      <c r="D23" s="4"/>
      <c r="E23" s="2"/>
    </row>
    <row r="24" spans="2:5" x14ac:dyDescent="0.2">
      <c r="B24" s="15" t="s">
        <v>43</v>
      </c>
      <c r="C24" s="22"/>
      <c r="D24" s="5"/>
      <c r="E24" s="62">
        <f>SUM(E6:E19)</f>
        <v>9920.9816956584364</v>
      </c>
    </row>
    <row r="25" spans="2:5" ht="25.5" x14ac:dyDescent="0.2">
      <c r="B25" s="28" t="s">
        <v>55</v>
      </c>
      <c r="C25" s="79"/>
      <c r="D25" s="7"/>
      <c r="E25" s="59">
        <f>IF(E24=0,0,1000*E24/C23)</f>
        <v>3113.4405260568251</v>
      </c>
    </row>
    <row r="26" spans="2:5" x14ac:dyDescent="0.2">
      <c r="B26" s="3"/>
    </row>
    <row r="27" spans="2:5" ht="25.5" x14ac:dyDescent="0.2">
      <c r="B27" s="93" t="s">
        <v>32</v>
      </c>
      <c r="C27" s="81">
        <f>((E25*C23)+((('BLE - Central'!D11*1000)-C23)*'Input arguments'!L4))/('BLE - Central'!D11*1000)</f>
        <v>100.46839244213992</v>
      </c>
      <c r="D27" s="96" t="s">
        <v>38</v>
      </c>
    </row>
    <row r="28" spans="2:5" ht="15.75" x14ac:dyDescent="0.2">
      <c r="B28" s="16" t="s">
        <v>33</v>
      </c>
      <c r="C28" s="94">
        <f>'BLE - Central'!D4/(C27/1000)</f>
        <v>2239.5103029998045</v>
      </c>
      <c r="D28" s="97" t="s">
        <v>18</v>
      </c>
    </row>
    <row r="29" spans="2:5" ht="15.75" x14ac:dyDescent="0.2">
      <c r="B29" s="16" t="s">
        <v>33</v>
      </c>
      <c r="C29" s="88">
        <f>C28/24</f>
        <v>93.31292929165852</v>
      </c>
      <c r="D29" s="96" t="s">
        <v>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2:Q18"/>
  <sheetViews>
    <sheetView showGridLines="0" showRowColHeaders="0" zoomScale="130" zoomScaleNormal="130" workbookViewId="0"/>
  </sheetViews>
  <sheetFormatPr defaultColWidth="8.85546875" defaultRowHeight="12.75" x14ac:dyDescent="0.2"/>
  <cols>
    <col min="1" max="1" width="4" customWidth="1"/>
    <col min="2" max="2" width="2" customWidth="1"/>
  </cols>
  <sheetData>
    <row r="2" spans="2:17" ht="15.75" x14ac:dyDescent="0.2">
      <c r="B2" s="18" t="s">
        <v>149</v>
      </c>
    </row>
    <row r="3" spans="2:17" x14ac:dyDescent="0.2">
      <c r="C3" s="1"/>
    </row>
    <row r="4" spans="2:17" x14ac:dyDescent="0.2">
      <c r="C4" s="1" t="s">
        <v>156</v>
      </c>
    </row>
    <row r="5" spans="2:17" x14ac:dyDescent="0.2">
      <c r="C5" s="1" t="s">
        <v>139</v>
      </c>
    </row>
    <row r="7" spans="2:17" x14ac:dyDescent="0.2">
      <c r="C7" t="s">
        <v>76</v>
      </c>
    </row>
    <row r="9" spans="2:17" x14ac:dyDescent="0.2">
      <c r="C9" s="1" t="s">
        <v>155</v>
      </c>
    </row>
    <row r="11" spans="2:17" x14ac:dyDescent="0.2">
      <c r="C11" s="1" t="s">
        <v>157</v>
      </c>
    </row>
    <row r="13" spans="2:17" x14ac:dyDescent="0.2">
      <c r="C13" s="1" t="s">
        <v>154</v>
      </c>
    </row>
    <row r="16" spans="2:17" ht="81.75" customHeight="1" x14ac:dyDescent="0.2">
      <c r="C16" s="204" t="s">
        <v>77</v>
      </c>
      <c r="D16" s="205"/>
      <c r="E16" s="205"/>
      <c r="F16" s="205"/>
      <c r="G16" s="205"/>
      <c r="H16" s="205"/>
      <c r="I16" s="205"/>
      <c r="J16" s="205"/>
      <c r="K16" s="205"/>
      <c r="L16" s="205"/>
      <c r="M16" s="205"/>
      <c r="N16" s="205"/>
      <c r="O16" s="205"/>
      <c r="P16" s="205"/>
      <c r="Q16" s="205"/>
    </row>
    <row r="18" spans="3:17" ht="49.5" customHeight="1" x14ac:dyDescent="0.2">
      <c r="C18" s="206" t="s">
        <v>163</v>
      </c>
      <c r="D18" s="207"/>
      <c r="E18" s="207"/>
      <c r="F18" s="207"/>
      <c r="G18" s="207"/>
      <c r="H18" s="207"/>
      <c r="I18" s="207"/>
      <c r="J18" s="207"/>
      <c r="K18" s="207"/>
      <c r="L18" s="207"/>
      <c r="M18" s="207"/>
      <c r="N18" s="207"/>
      <c r="O18" s="207"/>
      <c r="P18" s="207"/>
      <c r="Q18" s="207"/>
    </row>
  </sheetData>
  <mergeCells count="2">
    <mergeCell ref="C16:Q16"/>
    <mergeCell ref="C18:Q1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0"/>
  <sheetViews>
    <sheetView workbookViewId="0">
      <selection activeCell="F7" sqref="F7"/>
    </sheetView>
  </sheetViews>
  <sheetFormatPr defaultRowHeight="12.75" x14ac:dyDescent="0.2"/>
  <cols>
    <col min="1" max="1" width="19.7109375" customWidth="1"/>
    <col min="2" max="2" width="29.7109375" customWidth="1"/>
    <col min="3" max="3" width="31.7109375" customWidth="1"/>
    <col min="4" max="4" width="30.7109375" customWidth="1"/>
    <col min="5" max="5" width="8" customWidth="1"/>
    <col min="6" max="6" width="18.7109375" style="5" customWidth="1"/>
    <col min="7" max="7" width="18.85546875" style="5" customWidth="1"/>
  </cols>
  <sheetData>
    <row r="1" spans="1:7" x14ac:dyDescent="0.2">
      <c r="A1" t="s">
        <v>85</v>
      </c>
    </row>
    <row r="3" spans="1:7" x14ac:dyDescent="0.2">
      <c r="C3" t="s">
        <v>0</v>
      </c>
      <c r="F3" s="5" t="s">
        <v>236</v>
      </c>
    </row>
    <row r="4" spans="1:7" x14ac:dyDescent="0.2">
      <c r="C4" s="5">
        <v>0</v>
      </c>
      <c r="D4" s="142" t="s">
        <v>179</v>
      </c>
      <c r="E4" s="5"/>
      <c r="F4" s="5" t="str">
        <f>'Input arguments'!D12</f>
        <v>TQFN</v>
      </c>
      <c r="G4" s="5" t="str">
        <f>'Input arguments'!D13</f>
        <v>WLP</v>
      </c>
    </row>
    <row r="5" spans="1:7" x14ac:dyDescent="0.2">
      <c r="A5" s="208" t="s">
        <v>84</v>
      </c>
      <c r="B5" t="str">
        <f>'Input arguments'!B12</f>
        <v>None</v>
      </c>
      <c r="C5" t="s">
        <v>86</v>
      </c>
      <c r="D5" t="s">
        <v>86</v>
      </c>
    </row>
    <row r="6" spans="1:7" x14ac:dyDescent="0.2">
      <c r="A6" s="208"/>
      <c r="B6" t="str">
        <f>'Input arguments'!B13</f>
        <v>Legacy Advertising</v>
      </c>
      <c r="C6" t="s">
        <v>86</v>
      </c>
      <c r="D6" s="1" t="s">
        <v>177</v>
      </c>
      <c r="F6" s="5" t="s">
        <v>242</v>
      </c>
      <c r="G6" s="5" t="s">
        <v>244</v>
      </c>
    </row>
    <row r="7" spans="1:7" x14ac:dyDescent="0.2">
      <c r="A7" s="208"/>
      <c r="B7" t="str">
        <f>'Input arguments'!B14</f>
        <v>Connected as Peripheral</v>
      </c>
      <c r="C7" t="s">
        <v>86</v>
      </c>
      <c r="D7" s="1" t="s">
        <v>178</v>
      </c>
      <c r="F7" s="5" t="s">
        <v>243</v>
      </c>
      <c r="G7" s="5" t="s">
        <v>245</v>
      </c>
    </row>
    <row r="8" spans="1:7" x14ac:dyDescent="0.2">
      <c r="A8" s="208"/>
    </row>
    <row r="9" spans="1:7" x14ac:dyDescent="0.2">
      <c r="A9" s="208"/>
    </row>
    <row r="10" spans="1:7" x14ac:dyDescent="0.2">
      <c r="A10" s="208"/>
    </row>
    <row r="11" spans="1:7" x14ac:dyDescent="0.2">
      <c r="A11" s="208"/>
    </row>
    <row r="12" spans="1:7" x14ac:dyDescent="0.2">
      <c r="A12" s="208"/>
    </row>
    <row r="15" spans="1:7" x14ac:dyDescent="0.2">
      <c r="C15" s="188" t="s">
        <v>241</v>
      </c>
    </row>
    <row r="17" spans="2:3" ht="15" x14ac:dyDescent="0.25">
      <c r="B17" s="109" t="s">
        <v>96</v>
      </c>
      <c r="C17" s="109" t="str">
        <f>'BLE - Peripheral'!C18</f>
        <v>Legacy Advertising</v>
      </c>
    </row>
    <row r="18" spans="2:3" ht="15" x14ac:dyDescent="0.25">
      <c r="B18" s="109" t="s">
        <v>90</v>
      </c>
      <c r="C18" s="109">
        <v>4</v>
      </c>
    </row>
    <row r="19" spans="2:3" ht="15" x14ac:dyDescent="0.25">
      <c r="B19" s="109" t="s">
        <v>91</v>
      </c>
      <c r="C19" s="109">
        <f>IF(C17=$B$6,ROW($B$6),IF(C17=$B$7,ROW($B$7),IF(C17=$B$8,ROW($B$8),IF(C17=$B$9,ROW($B$9),IF(C17=$B$10,ROW($B$10),IF(C17=$B$11,ROW($B$11),IF(C17=$B$12,ROW($B$12),ROW($B$5))))))))</f>
        <v>6</v>
      </c>
    </row>
    <row r="20" spans="2:3" ht="15" x14ac:dyDescent="0.25">
      <c r="B20" t="s">
        <v>87</v>
      </c>
      <c r="C20" s="108" t="str">
        <f ca="1">INDIRECT(ADDRESS(C19,C18))</f>
        <v>LegacyAdvertisement</v>
      </c>
    </row>
    <row r="22" spans="2:3" ht="15" x14ac:dyDescent="0.25">
      <c r="B22" s="109" t="s">
        <v>97</v>
      </c>
      <c r="C22" s="109" t="str">
        <f>'BLE - Peripheral'!J18</f>
        <v>Connected as Peripheral</v>
      </c>
    </row>
    <row r="23" spans="2:3" ht="15" x14ac:dyDescent="0.25">
      <c r="B23" s="109" t="s">
        <v>92</v>
      </c>
      <c r="C23" s="109">
        <v>4</v>
      </c>
    </row>
    <row r="24" spans="2:3" ht="15" x14ac:dyDescent="0.25">
      <c r="B24" s="109" t="s">
        <v>93</v>
      </c>
      <c r="C24" s="109">
        <f>IF(C22=$B$6,ROW($B$6),IF(C22=$B$7,ROW($B$7),IF(C22=$B$8,ROW($B$8),IF(C22=$B$9,ROW($B$9),IF(C22=$B$10,ROW($B$10),IF(C22=$B$11,ROW($B$11),IF(C22=$B$12,ROW($B$12),ROW($B$5))))))))</f>
        <v>7</v>
      </c>
    </row>
    <row r="25" spans="2:3" ht="15" x14ac:dyDescent="0.25">
      <c r="B25" t="s">
        <v>88</v>
      </c>
      <c r="C25" s="108" t="str">
        <f ca="1">INDIRECT(ADDRESS(C24,C23))</f>
        <v>ConnectedPeriph</v>
      </c>
    </row>
    <row r="27" spans="2:3" ht="15" x14ac:dyDescent="0.25">
      <c r="B27" s="109" t="s">
        <v>98</v>
      </c>
      <c r="C27" s="109" t="str">
        <f>'BLE - Peripheral'!Q18</f>
        <v>None</v>
      </c>
    </row>
    <row r="28" spans="2:3" ht="15" x14ac:dyDescent="0.25">
      <c r="B28" s="109" t="s">
        <v>94</v>
      </c>
      <c r="C28" s="109">
        <v>4</v>
      </c>
    </row>
    <row r="29" spans="2:3" ht="15" x14ac:dyDescent="0.25">
      <c r="B29" s="109" t="s">
        <v>95</v>
      </c>
      <c r="C29" s="109">
        <f>IF(C27=$B$6,ROW($B$6),IF(C27=$B$7,ROW($B$7),IF(C27=$B$8,ROW($B$8),IF(C27=$B$9,ROW($B$9),IF(C27=$B$10,ROW($B$10),IF(C27=$B$11,ROW($B$11),IF(C27=$B$12,ROW($B$12),ROW($B$5))))))))</f>
        <v>5</v>
      </c>
    </row>
    <row r="30" spans="2:3" ht="15" x14ac:dyDescent="0.25">
      <c r="B30" t="s">
        <v>89</v>
      </c>
      <c r="C30" s="108" t="str">
        <f ca="1">INDIRECT(ADDRESS(C29,C28))</f>
        <v>0V_None</v>
      </c>
    </row>
  </sheetData>
  <mergeCells count="1">
    <mergeCell ref="A5:A1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3:N128"/>
  <sheetViews>
    <sheetView topLeftCell="B73" zoomScale="115" zoomScaleNormal="115" workbookViewId="0">
      <selection activeCell="N86" sqref="N86"/>
    </sheetView>
  </sheetViews>
  <sheetFormatPr defaultRowHeight="12.75" x14ac:dyDescent="0.2"/>
  <cols>
    <col min="1" max="1" width="3.42578125" customWidth="1"/>
    <col min="2" max="2" width="31" customWidth="1"/>
    <col min="3" max="3" width="13.28515625" customWidth="1"/>
    <col min="4" max="4" width="15.28515625" bestFit="1" customWidth="1"/>
    <col min="5" max="5" width="12" bestFit="1" customWidth="1"/>
    <col min="11" max="11" width="15.7109375" customWidth="1"/>
    <col min="13" max="13" width="23.140625" customWidth="1"/>
    <col min="14" max="14" width="20.85546875" customWidth="1"/>
  </cols>
  <sheetData>
    <row r="3" spans="1:14" x14ac:dyDescent="0.2">
      <c r="B3" t="s">
        <v>96</v>
      </c>
    </row>
    <row r="4" spans="1:14" x14ac:dyDescent="0.2">
      <c r="M4" t="s">
        <v>171</v>
      </c>
      <c r="N4" t="s">
        <v>172</v>
      </c>
    </row>
    <row r="5" spans="1:14" x14ac:dyDescent="0.2">
      <c r="L5" t="str">
        <f>C9</f>
        <v>Time
[µs]</v>
      </c>
      <c r="M5" t="str">
        <f>D9</f>
        <v>Avg Current [mA]</v>
      </c>
      <c r="N5" t="str">
        <f>E9</f>
        <v>Charge [nAh]</v>
      </c>
    </row>
    <row r="6" spans="1:14" x14ac:dyDescent="0.2">
      <c r="L6">
        <v>-200</v>
      </c>
      <c r="M6">
        <v>0</v>
      </c>
      <c r="N6">
        <v>0</v>
      </c>
    </row>
    <row r="7" spans="1:14" x14ac:dyDescent="0.2">
      <c r="L7">
        <v>0</v>
      </c>
      <c r="M7">
        <v>0</v>
      </c>
      <c r="N7">
        <v>0</v>
      </c>
    </row>
    <row r="8" spans="1:14" x14ac:dyDescent="0.2">
      <c r="L8">
        <v>0</v>
      </c>
      <c r="M8">
        <f ca="1">M9</f>
        <v>4.0726399999999998</v>
      </c>
      <c r="N8">
        <v>0</v>
      </c>
    </row>
    <row r="9" spans="1:14" x14ac:dyDescent="0.2">
      <c r="C9" t="s">
        <v>24</v>
      </c>
      <c r="D9" t="s">
        <v>62</v>
      </c>
      <c r="E9" t="s">
        <v>170</v>
      </c>
      <c r="K9" t="str">
        <f ca="1">B10</f>
        <v>Wake Up &amp; Pre-Processing</v>
      </c>
      <c r="L9">
        <f ca="1">C10</f>
        <v>391.79470000000003</v>
      </c>
      <c r="M9">
        <f ca="1">D10</f>
        <v>4.0726399999999998</v>
      </c>
      <c r="N9">
        <f ca="1">E10</f>
        <v>0.44323299083555556</v>
      </c>
    </row>
    <row r="10" spans="1:14" x14ac:dyDescent="0.2">
      <c r="A10">
        <f>'BLE - Peripheral'!B21</f>
        <v>1</v>
      </c>
      <c r="B10" t="str">
        <f ca="1">'BLE - Peripheral'!C21</f>
        <v>Wake Up &amp; Pre-Processing</v>
      </c>
      <c r="C10">
        <f ca="1">'BLE - Peripheral'!D21</f>
        <v>391.79470000000003</v>
      </c>
      <c r="D10">
        <f ca="1">'BLE - Peripheral'!E21</f>
        <v>4.0726399999999998</v>
      </c>
      <c r="E10">
        <f ca="1">'BLE - Peripheral'!F21/3600</f>
        <v>0.44323299083555556</v>
      </c>
      <c r="L10">
        <f ca="1">L9</f>
        <v>391.79470000000003</v>
      </c>
      <c r="M10">
        <f ca="1">M11</f>
        <v>3.0388480000000002</v>
      </c>
      <c r="N10">
        <f ca="1">N9</f>
        <v>0.44323299083555556</v>
      </c>
    </row>
    <row r="11" spans="1:14" x14ac:dyDescent="0.2">
      <c r="A11">
        <f>'BLE - Peripheral'!B22</f>
        <v>2</v>
      </c>
      <c r="B11" t="str">
        <f ca="1">'BLE - Peripheral'!C22</f>
        <v>Radio Preparation</v>
      </c>
      <c r="C11">
        <f ca="1">'BLE - Peripheral'!D22</f>
        <v>463.30770000000001</v>
      </c>
      <c r="D11">
        <f ca="1">'BLE - Peripheral'!E22</f>
        <v>3.0388480000000002</v>
      </c>
      <c r="E11">
        <f ca="1">'BLE - Peripheral'!F22/3600</f>
        <v>0.39108935486933338</v>
      </c>
      <c r="K11" t="str">
        <f ca="1">B11</f>
        <v>Radio Preparation</v>
      </c>
      <c r="L11">
        <f ca="1">C11+L9</f>
        <v>855.10239999999999</v>
      </c>
      <c r="M11">
        <f ca="1">D11</f>
        <v>3.0388480000000002</v>
      </c>
      <c r="N11">
        <f ca="1">E11+N9</f>
        <v>0.83432234570488895</v>
      </c>
    </row>
    <row r="12" spans="1:14" x14ac:dyDescent="0.2">
      <c r="A12">
        <f>'BLE - Peripheral'!B23</f>
        <v>3</v>
      </c>
      <c r="B12" t="str">
        <f ca="1">'BLE - Peripheral'!C23</f>
        <v>Transmit (TX)</v>
      </c>
      <c r="C12">
        <f ca="1">'BLE - Peripheral'!D23</f>
        <v>327.25559999999996</v>
      </c>
      <c r="D12">
        <f ca="1">'BLE - Peripheral'!E23</f>
        <v>5.113316666666667</v>
      </c>
      <c r="E12">
        <f ca="1">'BLE - Peripheral'!F23/3600</f>
        <v>0.46482264270555557</v>
      </c>
      <c r="L12">
        <f ca="1">L11</f>
        <v>855.10239999999999</v>
      </c>
      <c r="M12">
        <f ca="1">M13</f>
        <v>5.113316666666667</v>
      </c>
      <c r="N12">
        <f ca="1">N11</f>
        <v>0.83432234570488895</v>
      </c>
    </row>
    <row r="13" spans="1:14" x14ac:dyDescent="0.2">
      <c r="A13">
        <f>'BLE - Peripheral'!B24</f>
        <v>4</v>
      </c>
      <c r="B13" t="str">
        <f ca="1">'BLE - Peripheral'!C24</f>
        <v>TX to RX transition</v>
      </c>
      <c r="C13">
        <f ca="1">'BLE - Peripheral'!D24</f>
        <v>76.784260000000003</v>
      </c>
      <c r="D13">
        <f ca="1">'BLE - Peripheral'!E24</f>
        <v>2.9384796666666668</v>
      </c>
      <c r="E13">
        <f ca="1">'BLE - Peripheral'!F24/3600</f>
        <v>6.267471853612408E-2</v>
      </c>
      <c r="K13" t="str">
        <f ca="1">B12</f>
        <v>Transmit (TX)</v>
      </c>
      <c r="L13">
        <f ca="1">C12+L11</f>
        <v>1182.3579999999999</v>
      </c>
      <c r="M13">
        <f ca="1">D12</f>
        <v>5.113316666666667</v>
      </c>
      <c r="N13">
        <f ca="1">E12+N11</f>
        <v>1.2991449884104445</v>
      </c>
    </row>
    <row r="14" spans="1:14" x14ac:dyDescent="0.2">
      <c r="A14">
        <f>'BLE - Peripheral'!B25</f>
        <v>5</v>
      </c>
      <c r="B14" t="str">
        <f ca="1">'BLE - Peripheral'!C25</f>
        <v>Recieve (RX)</v>
      </c>
      <c r="C14">
        <f ca="1">'BLE - Peripheral'!D25</f>
        <v>115.74459999999999</v>
      </c>
      <c r="D14">
        <f ca="1">'BLE - Peripheral'!E25</f>
        <v>4.8636499999999998</v>
      </c>
      <c r="E14">
        <f ca="1">'BLE - Peripheral'!F25/3600</f>
        <v>0.1563725621638889</v>
      </c>
      <c r="L14">
        <f ca="1">L13</f>
        <v>1182.3579999999999</v>
      </c>
      <c r="M14">
        <f ca="1">M15</f>
        <v>2.9384796666666668</v>
      </c>
      <c r="N14">
        <f ca="1">N13</f>
        <v>1.2991449884104445</v>
      </c>
    </row>
    <row r="15" spans="1:14" x14ac:dyDescent="0.2">
      <c r="A15">
        <f>'BLE - Peripheral'!B26</f>
        <v>6</v>
      </c>
      <c r="B15" t="str">
        <f ca="1">'BLE - Peripheral'!C26</f>
        <v>RX to TX transition</v>
      </c>
      <c r="C15">
        <f ca="1">'BLE - Peripheral'!D26</f>
        <v>372.4323</v>
      </c>
      <c r="D15">
        <f ca="1">'BLE - Peripheral'!E26</f>
        <v>2.9429466666666664</v>
      </c>
      <c r="E15">
        <f ca="1">'BLE - Peripheral'!F26/3600</f>
        <v>0.30445788773444443</v>
      </c>
      <c r="K15" t="str">
        <f ca="1">B13</f>
        <v>TX to RX transition</v>
      </c>
      <c r="L15">
        <f ca="1">C13+L13</f>
        <v>1259.1422599999999</v>
      </c>
      <c r="M15">
        <f ca="1">D13</f>
        <v>2.9384796666666668</v>
      </c>
      <c r="N15">
        <f ca="1">E13+N13</f>
        <v>1.3618197069465685</v>
      </c>
    </row>
    <row r="16" spans="1:14" x14ac:dyDescent="0.2">
      <c r="A16">
        <f>'BLE - Peripheral'!B27</f>
        <v>7</v>
      </c>
      <c r="B16" t="str">
        <f ca="1">'BLE - Peripheral'!C27</f>
        <v>Transmit (TX)</v>
      </c>
      <c r="C16">
        <f ca="1">'BLE - Peripheral'!D27</f>
        <v>327.25559999999996</v>
      </c>
      <c r="D16">
        <f ca="1">'BLE - Peripheral'!E27</f>
        <v>4.9986466666666658</v>
      </c>
      <c r="E16">
        <f ca="1">'BLE - Peripheral'!F27/3600</f>
        <v>0.45439864280222209</v>
      </c>
      <c r="L16">
        <f ca="1">L15</f>
        <v>1259.1422599999999</v>
      </c>
      <c r="M16">
        <f ca="1">M17</f>
        <v>4.8636499999999998</v>
      </c>
      <c r="N16">
        <f ca="1">N15</f>
        <v>1.3618197069465685</v>
      </c>
    </row>
    <row r="17" spans="1:14" x14ac:dyDescent="0.2">
      <c r="A17">
        <f>'BLE - Peripheral'!B28</f>
        <v>8</v>
      </c>
      <c r="B17" t="str">
        <f ca="1">'BLE - Peripheral'!C28</f>
        <v>TX to RX transition</v>
      </c>
      <c r="C17">
        <f ca="1">'BLE - Peripheral'!D28</f>
        <v>74.617199999999997</v>
      </c>
      <c r="D17">
        <f ca="1">'BLE - Peripheral'!E28</f>
        <v>2.9272503333333337</v>
      </c>
      <c r="E17">
        <f ca="1">'BLE - Peripheral'!F28/3600</f>
        <v>6.0673117659000006E-2</v>
      </c>
      <c r="K17" t="str">
        <f ca="1">B14</f>
        <v>Recieve (RX)</v>
      </c>
      <c r="L17">
        <f ca="1">C14+L15</f>
        <v>1374.8868599999998</v>
      </c>
      <c r="M17">
        <f ca="1">D14</f>
        <v>4.8636499999999998</v>
      </c>
      <c r="N17">
        <f ca="1">E14+N15</f>
        <v>1.5181922691104575</v>
      </c>
    </row>
    <row r="18" spans="1:14" x14ac:dyDescent="0.2">
      <c r="A18">
        <f>'BLE - Peripheral'!B29</f>
        <v>9</v>
      </c>
      <c r="B18" t="str">
        <f ca="1">'BLE - Peripheral'!C29</f>
        <v>Recieve (RX)</v>
      </c>
      <c r="C18">
        <f ca="1">'BLE - Peripheral'!D29</f>
        <v>119.09439999999999</v>
      </c>
      <c r="D18">
        <f ca="1">'BLE - Peripheral'!E29</f>
        <v>4.9328233333333333</v>
      </c>
      <c r="E18">
        <f ca="1">'BLE - Peripheral'!F29/3600</f>
        <v>0.16318656533037035</v>
      </c>
      <c r="L18">
        <f ca="1">L17</f>
        <v>1374.8868599999998</v>
      </c>
      <c r="M18">
        <f ca="1">M19</f>
        <v>2.9429466666666664</v>
      </c>
      <c r="N18">
        <f ca="1">N17</f>
        <v>1.5181922691104575</v>
      </c>
    </row>
    <row r="19" spans="1:14" x14ac:dyDescent="0.2">
      <c r="A19">
        <f>'BLE - Peripheral'!B30</f>
        <v>10</v>
      </c>
      <c r="B19" t="str">
        <f ca="1">'BLE - Peripheral'!C30</f>
        <v>RX to TX transition</v>
      </c>
      <c r="C19">
        <f ca="1">'BLE - Peripheral'!D30</f>
        <v>371.90719999999999</v>
      </c>
      <c r="D19">
        <f ca="1">'BLE - Peripheral'!E30</f>
        <v>2.9496626666666668</v>
      </c>
      <c r="E19">
        <f ca="1">'BLE - Peripheral'!F30/3600</f>
        <v>0.30472243980681479</v>
      </c>
      <c r="K19" t="str">
        <f ca="1">B15</f>
        <v>RX to TX transition</v>
      </c>
      <c r="L19">
        <f ca="1">C15+L17</f>
        <v>1747.3191599999998</v>
      </c>
      <c r="M19">
        <f ca="1">D15</f>
        <v>2.9429466666666664</v>
      </c>
      <c r="N19">
        <f ca="1">E15+N17</f>
        <v>1.8226501568449018</v>
      </c>
    </row>
    <row r="20" spans="1:14" x14ac:dyDescent="0.2">
      <c r="A20">
        <f>'BLE - Peripheral'!B31</f>
        <v>11</v>
      </c>
      <c r="B20" t="str">
        <f ca="1">'BLE - Peripheral'!C31</f>
        <v>Transmit (TX)</v>
      </c>
      <c r="C20">
        <f ca="1">'BLE - Peripheral'!D31</f>
        <v>327.25559999999996</v>
      </c>
      <c r="D20">
        <f ca="1">'BLE - Peripheral'!E31</f>
        <v>4.9671433333333335</v>
      </c>
      <c r="E20">
        <f ca="1">'BLE - Peripheral'!F31/3600</f>
        <v>0.4515348532877777</v>
      </c>
      <c r="L20">
        <f ca="1">L19</f>
        <v>1747.3191599999998</v>
      </c>
      <c r="M20">
        <f ca="1">M21</f>
        <v>4.9986466666666658</v>
      </c>
      <c r="N20">
        <f ca="1">N19</f>
        <v>1.8226501568449018</v>
      </c>
    </row>
    <row r="21" spans="1:14" x14ac:dyDescent="0.2">
      <c r="A21">
        <f>'BLE - Peripheral'!B32</f>
        <v>12</v>
      </c>
      <c r="B21" t="str">
        <f ca="1">'BLE - Peripheral'!C32</f>
        <v>TX to RX transition</v>
      </c>
      <c r="C21">
        <f ca="1">'BLE - Peripheral'!D32</f>
        <v>74.614800000000002</v>
      </c>
      <c r="D21">
        <f ca="1">'BLE - Peripheral'!E32</f>
        <v>2.9366873333333334</v>
      </c>
      <c r="E21">
        <f ca="1">'BLE - Peripheral'!F32/3600</f>
        <v>6.0866760566444453E-2</v>
      </c>
      <c r="K21" t="str">
        <f ca="1">B16</f>
        <v>Transmit (TX)</v>
      </c>
      <c r="L21">
        <f ca="1">C16+L19</f>
        <v>2074.5747599999995</v>
      </c>
      <c r="M21">
        <f ca="1">D16</f>
        <v>4.9986466666666658</v>
      </c>
      <c r="N21">
        <f ca="1">E16+N19</f>
        <v>2.2770487996471238</v>
      </c>
    </row>
    <row r="22" spans="1:14" x14ac:dyDescent="0.2">
      <c r="A22">
        <f>'BLE - Peripheral'!B33</f>
        <v>13</v>
      </c>
      <c r="B22" t="str">
        <f ca="1">'BLE - Peripheral'!C33</f>
        <v>Recieve (RX)</v>
      </c>
      <c r="C22">
        <f ca="1">'BLE - Peripheral'!D33</f>
        <v>118.86019999999999</v>
      </c>
      <c r="D22">
        <f ca="1">'BLE - Peripheral'!E33</f>
        <v>4.9199133333333336</v>
      </c>
      <c r="E22">
        <f ca="1">'BLE - Peripheral'!F33/3600</f>
        <v>0.16243941188407407</v>
      </c>
      <c r="L22">
        <f ca="1">L21</f>
        <v>2074.5747599999995</v>
      </c>
      <c r="M22">
        <f ca="1">M23</f>
        <v>2.9272503333333337</v>
      </c>
      <c r="N22">
        <f ca="1">N21</f>
        <v>2.2770487996471238</v>
      </c>
    </row>
    <row r="23" spans="1:14" x14ac:dyDescent="0.2">
      <c r="A23">
        <f>'BLE - Peripheral'!B34</f>
        <v>14</v>
      </c>
      <c r="B23" t="str">
        <f ca="1">'BLE - Peripheral'!C34</f>
        <v>Post-Processing</v>
      </c>
      <c r="C23">
        <f ca="1">'BLE - Peripheral'!D34</f>
        <v>150.5265</v>
      </c>
      <c r="D23">
        <f ca="1">'BLE - Peripheral'!E34</f>
        <v>3.3373366666666664</v>
      </c>
      <c r="E23">
        <f ca="1">'BLE - Peripheral'!F34/3600</f>
        <v>0.13954377993194442</v>
      </c>
      <c r="K23" t="str">
        <f ca="1">B17</f>
        <v>TX to RX transition</v>
      </c>
      <c r="L23">
        <f ca="1">C17+L21</f>
        <v>2149.1919599999997</v>
      </c>
      <c r="M23">
        <f ca="1">D17</f>
        <v>2.9272503333333337</v>
      </c>
      <c r="N23">
        <f ca="1">E17+N21</f>
        <v>2.3377219173061237</v>
      </c>
    </row>
    <row r="24" spans="1:14" x14ac:dyDescent="0.2">
      <c r="A24">
        <f>'BLE - Peripheral'!B35</f>
        <v>15</v>
      </c>
      <c r="B24" t="str">
        <f ca="1">'BLE - Peripheral'!C35</f>
        <v/>
      </c>
      <c r="C24">
        <f ca="1">'BLE - Peripheral'!D35</f>
        <v>0</v>
      </c>
      <c r="D24">
        <f ca="1">'BLE - Peripheral'!E35</f>
        <v>0</v>
      </c>
      <c r="E24">
        <f ca="1">'BLE - Peripheral'!F35/3600</f>
        <v>0</v>
      </c>
      <c r="L24">
        <f ca="1">L23</f>
        <v>2149.1919599999997</v>
      </c>
      <c r="M24">
        <f ca="1">M25</f>
        <v>4.9328233333333333</v>
      </c>
      <c r="N24">
        <f ca="1">N23</f>
        <v>2.3377219173061237</v>
      </c>
    </row>
    <row r="25" spans="1:14" x14ac:dyDescent="0.2">
      <c r="A25">
        <f>'BLE - Peripheral'!B36</f>
        <v>16</v>
      </c>
      <c r="B25" t="str">
        <f ca="1">'BLE - Peripheral'!C36</f>
        <v/>
      </c>
      <c r="C25">
        <f ca="1">'BLE - Peripheral'!D36</f>
        <v>0</v>
      </c>
      <c r="D25">
        <f ca="1">'BLE - Peripheral'!E36</f>
        <v>0</v>
      </c>
      <c r="E25">
        <f ca="1">'BLE - Peripheral'!F36/3600</f>
        <v>0</v>
      </c>
      <c r="K25" t="str">
        <f ca="1">B18</f>
        <v>Recieve (RX)</v>
      </c>
      <c r="L25">
        <f ca="1">C18+L23</f>
        <v>2268.2863599999996</v>
      </c>
      <c r="M25">
        <f ca="1">D18</f>
        <v>4.9328233333333333</v>
      </c>
      <c r="N25">
        <f ca="1">E18+N23</f>
        <v>2.5009084826364942</v>
      </c>
    </row>
    <row r="26" spans="1:14" x14ac:dyDescent="0.2">
      <c r="A26">
        <v>17</v>
      </c>
      <c r="C26">
        <v>200</v>
      </c>
      <c r="D26">
        <v>0</v>
      </c>
      <c r="E26">
        <v>0</v>
      </c>
      <c r="L26">
        <f ca="1">L25</f>
        <v>2268.2863599999996</v>
      </c>
      <c r="M26">
        <f ca="1">M27</f>
        <v>2.9496626666666668</v>
      </c>
      <c r="N26">
        <f ca="1">N25</f>
        <v>2.5009084826364942</v>
      </c>
    </row>
    <row r="27" spans="1:14" x14ac:dyDescent="0.2">
      <c r="K27" t="str">
        <f ca="1">B19</f>
        <v>RX to TX transition</v>
      </c>
      <c r="L27">
        <f ca="1">C19+L25</f>
        <v>2640.1935599999997</v>
      </c>
      <c r="M27">
        <f ca="1">D19</f>
        <v>2.9496626666666668</v>
      </c>
      <c r="N27">
        <f ca="1">E19+N25</f>
        <v>2.8056309224433091</v>
      </c>
    </row>
    <row r="28" spans="1:14" x14ac:dyDescent="0.2">
      <c r="L28">
        <f ca="1">L27</f>
        <v>2640.1935599999997</v>
      </c>
      <c r="M28">
        <f ca="1">M29</f>
        <v>4.9671433333333335</v>
      </c>
      <c r="N28">
        <f ca="1">N27</f>
        <v>2.8056309224433091</v>
      </c>
    </row>
    <row r="29" spans="1:14" x14ac:dyDescent="0.2">
      <c r="K29" t="str">
        <f ca="1">B20</f>
        <v>Transmit (TX)</v>
      </c>
      <c r="L29">
        <f ca="1">C20+L27</f>
        <v>2967.4491599999997</v>
      </c>
      <c r="M29">
        <f ca="1">D20</f>
        <v>4.9671433333333335</v>
      </c>
      <c r="N29">
        <f ca="1">E20+N27</f>
        <v>3.257165775731087</v>
      </c>
    </row>
    <row r="30" spans="1:14" x14ac:dyDescent="0.2">
      <c r="L30">
        <f ca="1">L29</f>
        <v>2967.4491599999997</v>
      </c>
      <c r="M30">
        <f ca="1">M31</f>
        <v>2.9366873333333334</v>
      </c>
      <c r="N30">
        <f ca="1">N29</f>
        <v>3.257165775731087</v>
      </c>
    </row>
    <row r="31" spans="1:14" x14ac:dyDescent="0.2">
      <c r="K31" t="str">
        <f ca="1">B21</f>
        <v>TX to RX transition</v>
      </c>
      <c r="L31">
        <f ca="1">C21+L29</f>
        <v>3042.0639599999995</v>
      </c>
      <c r="M31">
        <f ca="1">D21</f>
        <v>2.9366873333333334</v>
      </c>
      <c r="N31">
        <f ca="1">E21+N29</f>
        <v>3.3180325362975314</v>
      </c>
    </row>
    <row r="32" spans="1:14" x14ac:dyDescent="0.2">
      <c r="L32">
        <f ca="1">L31</f>
        <v>3042.0639599999995</v>
      </c>
      <c r="M32">
        <f ca="1">M33</f>
        <v>4.9199133333333336</v>
      </c>
      <c r="N32">
        <f ca="1">N31</f>
        <v>3.3180325362975314</v>
      </c>
    </row>
    <row r="33" spans="2:14" x14ac:dyDescent="0.2">
      <c r="K33" t="str">
        <f ca="1">B22</f>
        <v>Recieve (RX)</v>
      </c>
      <c r="L33">
        <f ca="1">C22+L31</f>
        <v>3160.9241599999996</v>
      </c>
      <c r="M33">
        <f ca="1">D22</f>
        <v>4.9199133333333336</v>
      </c>
      <c r="N33">
        <f ca="1">E22+N31</f>
        <v>3.4804719481816053</v>
      </c>
    </row>
    <row r="34" spans="2:14" x14ac:dyDescent="0.2">
      <c r="L34">
        <f ca="1">L33</f>
        <v>3160.9241599999996</v>
      </c>
      <c r="M34">
        <f ca="1">M35</f>
        <v>3.3373366666666664</v>
      </c>
      <c r="N34">
        <f ca="1">N33</f>
        <v>3.4804719481816053</v>
      </c>
    </row>
    <row r="35" spans="2:14" x14ac:dyDescent="0.2">
      <c r="K35" t="str">
        <f ca="1">B23</f>
        <v>Post-Processing</v>
      </c>
      <c r="L35">
        <f ca="1">C23+L33</f>
        <v>3311.4506599999995</v>
      </c>
      <c r="M35">
        <f ca="1">D23</f>
        <v>3.3373366666666664</v>
      </c>
      <c r="N35">
        <f ca="1">E23+N33</f>
        <v>3.6200157281135499</v>
      </c>
    </row>
    <row r="36" spans="2:14" x14ac:dyDescent="0.2">
      <c r="L36">
        <f ca="1">L35</f>
        <v>3311.4506599999995</v>
      </c>
      <c r="M36">
        <f ca="1">M37</f>
        <v>0</v>
      </c>
      <c r="N36">
        <f ca="1">N35</f>
        <v>3.6200157281135499</v>
      </c>
    </row>
    <row r="37" spans="2:14" x14ac:dyDescent="0.2">
      <c r="K37" t="str">
        <f ca="1">B24</f>
        <v/>
      </c>
      <c r="L37">
        <f ca="1">C24+L35</f>
        <v>3311.4506599999995</v>
      </c>
      <c r="M37">
        <f ca="1">D24</f>
        <v>0</v>
      </c>
      <c r="N37">
        <f ca="1">E24+N35</f>
        <v>3.6200157281135499</v>
      </c>
    </row>
    <row r="38" spans="2:14" x14ac:dyDescent="0.2">
      <c r="L38">
        <f ca="1">L37</f>
        <v>3311.4506599999995</v>
      </c>
      <c r="M38">
        <f ca="1">M39</f>
        <v>0</v>
      </c>
      <c r="N38">
        <f ca="1">N37</f>
        <v>3.6200157281135499</v>
      </c>
    </row>
    <row r="39" spans="2:14" x14ac:dyDescent="0.2">
      <c r="K39" t="str">
        <f ca="1">B25</f>
        <v/>
      </c>
      <c r="L39">
        <f ca="1">C26+L37</f>
        <v>3511.4506599999995</v>
      </c>
      <c r="M39">
        <f ca="1">D25</f>
        <v>0</v>
      </c>
      <c r="N39">
        <f ca="1">E25+N37</f>
        <v>3.6200157281135499</v>
      </c>
    </row>
    <row r="40" spans="2:14" x14ac:dyDescent="0.2">
      <c r="L40">
        <f ca="1">L39</f>
        <v>3511.4506599999995</v>
      </c>
      <c r="M40">
        <f>M45</f>
        <v>0</v>
      </c>
      <c r="N40">
        <f ca="1">N39</f>
        <v>3.6200157281135499</v>
      </c>
    </row>
    <row r="41" spans="2:14" x14ac:dyDescent="0.2">
      <c r="K41" t="str">
        <f>IF(B26="","",B26)</f>
        <v/>
      </c>
      <c r="L41">
        <f ca="1">C26+L39</f>
        <v>3711.4506599999995</v>
      </c>
      <c r="M41">
        <f>D26</f>
        <v>0</v>
      </c>
      <c r="N41">
        <f ca="1">E26+N39</f>
        <v>3.6200157281135499</v>
      </c>
    </row>
    <row r="42" spans="2:14" x14ac:dyDescent="0.2">
      <c r="L42">
        <f ca="1">L41</f>
        <v>3711.4506599999995</v>
      </c>
      <c r="M42">
        <f>M43</f>
        <v>0</v>
      </c>
      <c r="N42">
        <f ca="1">N41+E32</f>
        <v>3.6200157281135499</v>
      </c>
    </row>
    <row r="46" spans="2:14" x14ac:dyDescent="0.2">
      <c r="B46" t="s">
        <v>97</v>
      </c>
    </row>
    <row r="47" spans="2:14" x14ac:dyDescent="0.2">
      <c r="M47" t="s">
        <v>171</v>
      </c>
      <c r="N47" t="s">
        <v>172</v>
      </c>
    </row>
    <row r="48" spans="2:14" x14ac:dyDescent="0.2">
      <c r="L48" t="str">
        <f>C52</f>
        <v>Time
[µs]</v>
      </c>
      <c r="M48" t="str">
        <f>D52</f>
        <v>Avg Current [mA]</v>
      </c>
      <c r="N48" t="str">
        <f>E52</f>
        <v>Charge [nAh]</v>
      </c>
    </row>
    <row r="49" spans="1:14" x14ac:dyDescent="0.2">
      <c r="L49">
        <v>-200</v>
      </c>
      <c r="M49">
        <v>0</v>
      </c>
      <c r="N49">
        <v>0</v>
      </c>
    </row>
    <row r="50" spans="1:14" x14ac:dyDescent="0.2">
      <c r="L50">
        <v>0</v>
      </c>
      <c r="M50">
        <v>0</v>
      </c>
      <c r="N50">
        <v>0</v>
      </c>
    </row>
    <row r="51" spans="1:14" x14ac:dyDescent="0.2">
      <c r="L51">
        <v>0</v>
      </c>
      <c r="M51">
        <f ca="1">M52</f>
        <v>4.2286699999999993</v>
      </c>
      <c r="N51">
        <v>0</v>
      </c>
    </row>
    <row r="52" spans="1:14" x14ac:dyDescent="0.2">
      <c r="C52" t="s">
        <v>24</v>
      </c>
      <c r="D52" t="s">
        <v>62</v>
      </c>
      <c r="E52" t="s">
        <v>170</v>
      </c>
      <c r="K52" t="str">
        <f ca="1">B53</f>
        <v>Wake Up &amp; Pre-processing</v>
      </c>
      <c r="L52">
        <f ca="1">C53</f>
        <v>391.73940000000005</v>
      </c>
      <c r="M52">
        <f ca="1">D53</f>
        <v>4.2286699999999993</v>
      </c>
      <c r="N52">
        <f ca="1">E53</f>
        <v>0.46014906905499997</v>
      </c>
    </row>
    <row r="53" spans="1:14" x14ac:dyDescent="0.2">
      <c r="A53">
        <f>'BLE - Peripheral'!I21</f>
        <v>1</v>
      </c>
      <c r="B53" t="str">
        <f ca="1">'BLE - Peripheral'!J21</f>
        <v>Wake Up &amp; Pre-processing</v>
      </c>
      <c r="C53">
        <f ca="1">'BLE - Peripheral'!K21</f>
        <v>391.73940000000005</v>
      </c>
      <c r="D53" s="124">
        <f ca="1">'BLE - Peripheral'!L21</f>
        <v>4.2286699999999993</v>
      </c>
      <c r="E53">
        <f ca="1">'BLE - Peripheral'!M21/3600</f>
        <v>0.46014906905499997</v>
      </c>
      <c r="L53">
        <f ca="1">L52</f>
        <v>391.73940000000005</v>
      </c>
      <c r="M53">
        <f ca="1">M54</f>
        <v>3.122541</v>
      </c>
      <c r="N53">
        <f ca="1">N52</f>
        <v>0.46014906905499997</v>
      </c>
    </row>
    <row r="54" spans="1:14" x14ac:dyDescent="0.2">
      <c r="A54">
        <f>'BLE - Peripheral'!I22</f>
        <v>2</v>
      </c>
      <c r="B54" t="str">
        <f ca="1">'BLE - Peripheral'!J22</f>
        <v xml:space="preserve">Preparation for Recieve </v>
      </c>
      <c r="C54">
        <f ca="1">'BLE - Peripheral'!K22</f>
        <v>369.85719999999998</v>
      </c>
      <c r="D54">
        <f ca="1">'BLE - Peripheral'!L22</f>
        <v>3.122541</v>
      </c>
      <c r="E54">
        <f ca="1">'BLE - Peripheral'!M22/3600</f>
        <v>0.32080396420700003</v>
      </c>
      <c r="K54" t="str">
        <f ca="1">B54</f>
        <v xml:space="preserve">Preparation for Recieve </v>
      </c>
      <c r="L54">
        <f ca="1">C54+L52</f>
        <v>761.59660000000008</v>
      </c>
      <c r="M54">
        <f ca="1">D54</f>
        <v>3.122541</v>
      </c>
      <c r="N54">
        <f ca="1">E54+N52</f>
        <v>0.78095303326200005</v>
      </c>
    </row>
    <row r="55" spans="1:14" x14ac:dyDescent="0.2">
      <c r="A55">
        <f>'BLE - Peripheral'!I23</f>
        <v>3</v>
      </c>
      <c r="B55" t="str">
        <f ca="1">'BLE - Peripheral'!J23</f>
        <v>Recieve (RX)</v>
      </c>
      <c r="C55">
        <f ca="1">'BLE - Peripheral'!K23</f>
        <v>182.7345</v>
      </c>
      <c r="D55">
        <f ca="1">'BLE - Peripheral'!L23</f>
        <v>4.6614433333333336</v>
      </c>
      <c r="E55">
        <f ca="1">'BLE - Peripheral'!M23/3600</f>
        <v>0.23661292133194445</v>
      </c>
      <c r="L55">
        <f ca="1">L54</f>
        <v>761.59660000000008</v>
      </c>
      <c r="M55">
        <f ca="1">M56</f>
        <v>4.6614433333333336</v>
      </c>
      <c r="N55">
        <f ca="1">N54</f>
        <v>0.78095303326200005</v>
      </c>
    </row>
    <row r="56" spans="1:14" x14ac:dyDescent="0.2">
      <c r="A56">
        <f>'BLE - Peripheral'!I24</f>
        <v>4</v>
      </c>
      <c r="B56" t="str">
        <f ca="1">'BLE - Peripheral'!J24</f>
        <v>RX to TX transition</v>
      </c>
      <c r="C56">
        <f ca="1">'BLE - Peripheral'!K24</f>
        <v>38.257580000000004</v>
      </c>
      <c r="D56">
        <f ca="1">'BLE - Peripheral'!L24</f>
        <v>4.6964933333333336</v>
      </c>
      <c r="E56">
        <f ca="1">'BLE - Peripheral'!M24/3600</f>
        <v>4.9910130394296301E-2</v>
      </c>
      <c r="K56" t="str">
        <f ca="1">B55</f>
        <v>Recieve (RX)</v>
      </c>
      <c r="L56">
        <f ca="1">C55+L54</f>
        <v>944.33110000000011</v>
      </c>
      <c r="M56">
        <f ca="1">D55</f>
        <v>4.6614433333333336</v>
      </c>
      <c r="N56">
        <f ca="1">E55+N54</f>
        <v>1.0175659545939446</v>
      </c>
    </row>
    <row r="57" spans="1:14" x14ac:dyDescent="0.2">
      <c r="A57">
        <f>'BLE - Peripheral'!I25</f>
        <v>5</v>
      </c>
      <c r="B57" t="str">
        <f ca="1">'BLE - Peripheral'!J25</f>
        <v>Transmit (TX)</v>
      </c>
      <c r="C57">
        <f ca="1">'BLE - Peripheral'!K25</f>
        <v>196.25129999999999</v>
      </c>
      <c r="D57">
        <f ca="1">'BLE - Peripheral'!L25</f>
        <v>5.1374266666666664</v>
      </c>
      <c r="E57">
        <f ca="1">'BLE - Peripheral'!M25/3600</f>
        <v>0.28006296166333328</v>
      </c>
      <c r="L57">
        <f ca="1">L56</f>
        <v>944.33110000000011</v>
      </c>
      <c r="M57">
        <f ca="1">M58</f>
        <v>4.6964933333333336</v>
      </c>
      <c r="N57">
        <f ca="1">N56</f>
        <v>1.0175659545939446</v>
      </c>
    </row>
    <row r="58" spans="1:14" x14ac:dyDescent="0.2">
      <c r="A58">
        <f>'BLE - Peripheral'!I26</f>
        <v>6</v>
      </c>
      <c r="B58" t="str">
        <f ca="1">'BLE - Peripheral'!J26</f>
        <v>Post-Processing</v>
      </c>
      <c r="C58">
        <f ca="1">'BLE - Peripheral'!K26</f>
        <v>126.2623</v>
      </c>
      <c r="D58">
        <f ca="1">'BLE - Peripheral'!L26</f>
        <v>4.0794200000000007</v>
      </c>
      <c r="E58">
        <f ca="1">'BLE - Peripheral'!M26/3600</f>
        <v>0.14307693107388891</v>
      </c>
      <c r="K58" t="str">
        <f ca="1">B56</f>
        <v>RX to TX transition</v>
      </c>
      <c r="L58">
        <f ca="1">C56+L56</f>
        <v>982.58868000000007</v>
      </c>
      <c r="M58">
        <f ca="1">D56</f>
        <v>4.6964933333333336</v>
      </c>
      <c r="N58">
        <f ca="1">E56+N56</f>
        <v>1.067476084988241</v>
      </c>
    </row>
    <row r="59" spans="1:14" x14ac:dyDescent="0.2">
      <c r="A59">
        <f>'BLE - Peripheral'!I27</f>
        <v>7</v>
      </c>
      <c r="B59" t="str">
        <f ca="1">'BLE - Peripheral'!J27</f>
        <v/>
      </c>
      <c r="C59">
        <f ca="1">'BLE - Peripheral'!K27</f>
        <v>0</v>
      </c>
      <c r="D59">
        <f ca="1">'BLE - Peripheral'!L27</f>
        <v>0</v>
      </c>
      <c r="E59">
        <f ca="1">'BLE - Peripheral'!M27/3600</f>
        <v>0</v>
      </c>
      <c r="L59">
        <f ca="1">L58</f>
        <v>982.58868000000007</v>
      </c>
      <c r="M59">
        <f ca="1">M60</f>
        <v>5.1374266666666664</v>
      </c>
      <c r="N59">
        <f ca="1">N58</f>
        <v>1.067476084988241</v>
      </c>
    </row>
    <row r="60" spans="1:14" x14ac:dyDescent="0.2">
      <c r="A60">
        <f>'BLE - Peripheral'!I28</f>
        <v>8</v>
      </c>
      <c r="B60" t="str">
        <f ca="1">'BLE - Peripheral'!J28</f>
        <v/>
      </c>
      <c r="C60">
        <f ca="1">'BLE - Peripheral'!K28</f>
        <v>0</v>
      </c>
      <c r="D60">
        <f ca="1">'BLE - Peripheral'!L28</f>
        <v>0</v>
      </c>
      <c r="E60">
        <f ca="1">'BLE - Peripheral'!M28/3600</f>
        <v>0</v>
      </c>
      <c r="K60" t="str">
        <f ca="1">B57</f>
        <v>Transmit (TX)</v>
      </c>
      <c r="L60">
        <f ca="1">C57+L58</f>
        <v>1178.83998</v>
      </c>
      <c r="M60">
        <f ca="1">D57</f>
        <v>5.1374266666666664</v>
      </c>
      <c r="N60">
        <f ca="1">E57+N58</f>
        <v>1.3475390466515742</v>
      </c>
    </row>
    <row r="61" spans="1:14" x14ac:dyDescent="0.2">
      <c r="A61">
        <f>'BLE - Peripheral'!I29</f>
        <v>9</v>
      </c>
      <c r="B61" t="str">
        <f ca="1">'BLE - Peripheral'!J29</f>
        <v/>
      </c>
      <c r="C61">
        <f ca="1">'BLE - Peripheral'!K29</f>
        <v>0</v>
      </c>
      <c r="D61">
        <f ca="1">'BLE - Peripheral'!L29</f>
        <v>0</v>
      </c>
      <c r="E61">
        <f ca="1">'BLE - Peripheral'!M29/3600</f>
        <v>0</v>
      </c>
      <c r="L61">
        <f ca="1">L60</f>
        <v>1178.83998</v>
      </c>
      <c r="M61">
        <f ca="1">M62</f>
        <v>4.0794200000000007</v>
      </c>
      <c r="N61">
        <f ca="1">N60</f>
        <v>1.3475390466515742</v>
      </c>
    </row>
    <row r="62" spans="1:14" x14ac:dyDescent="0.2">
      <c r="A62">
        <f>'BLE - Peripheral'!I30</f>
        <v>10</v>
      </c>
      <c r="B62" t="str">
        <f ca="1">'BLE - Peripheral'!J30</f>
        <v/>
      </c>
      <c r="C62">
        <f ca="1">'BLE - Peripheral'!K30</f>
        <v>0</v>
      </c>
      <c r="D62">
        <f ca="1">'BLE - Peripheral'!L30</f>
        <v>0</v>
      </c>
      <c r="E62">
        <f ca="1">'BLE - Peripheral'!M30/3600</f>
        <v>0</v>
      </c>
      <c r="K62" t="str">
        <f ca="1">B58</f>
        <v>Post-Processing</v>
      </c>
      <c r="L62">
        <f ca="1">C58+L60</f>
        <v>1305.1022800000001</v>
      </c>
      <c r="M62">
        <f ca="1">D58</f>
        <v>4.0794200000000007</v>
      </c>
      <c r="N62">
        <f ca="1">E58+N60</f>
        <v>1.4906159777254631</v>
      </c>
    </row>
    <row r="63" spans="1:14" x14ac:dyDescent="0.2">
      <c r="A63">
        <f>'BLE - Peripheral'!I31</f>
        <v>11</v>
      </c>
      <c r="B63" t="str">
        <f ca="1">'BLE - Peripheral'!J31</f>
        <v/>
      </c>
      <c r="C63">
        <f ca="1">'BLE - Peripheral'!K31</f>
        <v>0</v>
      </c>
      <c r="D63">
        <f ca="1">'BLE - Peripheral'!L31</f>
        <v>0</v>
      </c>
      <c r="E63">
        <f ca="1">'BLE - Peripheral'!M31/3600</f>
        <v>0</v>
      </c>
      <c r="L63">
        <f ca="1">L62</f>
        <v>1305.1022800000001</v>
      </c>
      <c r="M63">
        <f ca="1">M64</f>
        <v>0</v>
      </c>
      <c r="N63">
        <f ca="1">N62</f>
        <v>1.4906159777254631</v>
      </c>
    </row>
    <row r="64" spans="1:14" x14ac:dyDescent="0.2">
      <c r="A64">
        <f>'BLE - Peripheral'!I32</f>
        <v>12</v>
      </c>
      <c r="B64" t="str">
        <f ca="1">'BLE - Peripheral'!J32</f>
        <v/>
      </c>
      <c r="C64">
        <f ca="1">'BLE - Peripheral'!K32</f>
        <v>0</v>
      </c>
      <c r="D64">
        <f ca="1">'BLE - Peripheral'!L32</f>
        <v>0</v>
      </c>
      <c r="E64">
        <f ca="1">'BLE - Peripheral'!M32/3600</f>
        <v>0</v>
      </c>
      <c r="K64" t="str">
        <f ca="1">B59</f>
        <v/>
      </c>
      <c r="L64">
        <f ca="1">C59+L62</f>
        <v>1305.1022800000001</v>
      </c>
      <c r="M64">
        <f ca="1">D59</f>
        <v>0</v>
      </c>
      <c r="N64">
        <f ca="1">E59+N62</f>
        <v>1.4906159777254631</v>
      </c>
    </row>
    <row r="65" spans="1:14" x14ac:dyDescent="0.2">
      <c r="A65">
        <f>'BLE - Peripheral'!I33</f>
        <v>13</v>
      </c>
      <c r="B65" t="str">
        <f ca="1">'BLE - Peripheral'!J33</f>
        <v/>
      </c>
      <c r="C65">
        <f ca="1">'BLE - Peripheral'!K33</f>
        <v>0</v>
      </c>
      <c r="D65">
        <f ca="1">'BLE - Peripheral'!L33</f>
        <v>0</v>
      </c>
      <c r="E65">
        <f ca="1">'BLE - Peripheral'!M33/3600</f>
        <v>0</v>
      </c>
      <c r="L65">
        <f ca="1">L64</f>
        <v>1305.1022800000001</v>
      </c>
      <c r="M65">
        <f ca="1">M66</f>
        <v>0</v>
      </c>
      <c r="N65">
        <f ca="1">N64</f>
        <v>1.4906159777254631</v>
      </c>
    </row>
    <row r="66" spans="1:14" x14ac:dyDescent="0.2">
      <c r="A66">
        <f>'BLE - Peripheral'!I34</f>
        <v>14</v>
      </c>
      <c r="B66" t="str">
        <f ca="1">'BLE - Peripheral'!J34</f>
        <v/>
      </c>
      <c r="C66">
        <f ca="1">'BLE - Peripheral'!K34</f>
        <v>0</v>
      </c>
      <c r="D66" s="124">
        <f ca="1">'BLE - Peripheral'!L34</f>
        <v>0</v>
      </c>
      <c r="E66">
        <f ca="1">'BLE - Peripheral'!M34/3600</f>
        <v>0</v>
      </c>
      <c r="K66" t="str">
        <f ca="1">B60</f>
        <v/>
      </c>
      <c r="L66">
        <f ca="1">C60+L64</f>
        <v>1305.1022800000001</v>
      </c>
      <c r="M66">
        <f ca="1">D60</f>
        <v>0</v>
      </c>
      <c r="N66">
        <f ca="1">E60+N64</f>
        <v>1.4906159777254631</v>
      </c>
    </row>
    <row r="67" spans="1:14" x14ac:dyDescent="0.2">
      <c r="A67">
        <f>'BLE - Peripheral'!I35</f>
        <v>15</v>
      </c>
      <c r="B67" t="str">
        <f ca="1">'BLE - Peripheral'!J35</f>
        <v/>
      </c>
      <c r="C67">
        <f ca="1">'BLE - Peripheral'!K35</f>
        <v>0</v>
      </c>
      <c r="D67" s="124">
        <f ca="1">'BLE - Peripheral'!L35</f>
        <v>0</v>
      </c>
      <c r="E67">
        <f ca="1">'BLE - Peripheral'!M35/3600</f>
        <v>0</v>
      </c>
      <c r="L67">
        <f ca="1">L66</f>
        <v>1305.1022800000001</v>
      </c>
      <c r="M67">
        <f ca="1">M68</f>
        <v>0</v>
      </c>
      <c r="N67">
        <f ca="1">N66</f>
        <v>1.4906159777254631</v>
      </c>
    </row>
    <row r="68" spans="1:14" x14ac:dyDescent="0.2">
      <c r="A68">
        <f>'BLE - Peripheral'!I36</f>
        <v>16</v>
      </c>
      <c r="B68" t="str">
        <f ca="1">'BLE - Peripheral'!J36</f>
        <v/>
      </c>
      <c r="C68">
        <f ca="1">'BLE - Peripheral'!K36</f>
        <v>0</v>
      </c>
      <c r="D68" s="124">
        <f ca="1">'BLE - Peripheral'!L36</f>
        <v>0</v>
      </c>
      <c r="E68">
        <f ca="1">'BLE - Peripheral'!M36/3600</f>
        <v>0</v>
      </c>
      <c r="K68" t="str">
        <f ca="1">B61</f>
        <v/>
      </c>
      <c r="L68">
        <f ca="1">C61+L66</f>
        <v>1305.1022800000001</v>
      </c>
      <c r="M68">
        <f ca="1">D61</f>
        <v>0</v>
      </c>
      <c r="N68">
        <f ca="1">E61+N66</f>
        <v>1.4906159777254631</v>
      </c>
    </row>
    <row r="69" spans="1:14" x14ac:dyDescent="0.2">
      <c r="A69">
        <v>17</v>
      </c>
      <c r="C69">
        <v>200</v>
      </c>
      <c r="D69">
        <v>0</v>
      </c>
      <c r="E69">
        <v>0</v>
      </c>
      <c r="L69">
        <f ca="1">L68</f>
        <v>1305.1022800000001</v>
      </c>
      <c r="M69">
        <f ca="1">M70</f>
        <v>0</v>
      </c>
      <c r="N69">
        <f ca="1">N68</f>
        <v>1.4906159777254631</v>
      </c>
    </row>
    <row r="70" spans="1:14" x14ac:dyDescent="0.2">
      <c r="D70" s="124"/>
      <c r="K70" t="str">
        <f ca="1">B62</f>
        <v/>
      </c>
      <c r="L70">
        <f ca="1">C62+L68</f>
        <v>1305.1022800000001</v>
      </c>
      <c r="M70">
        <f ca="1">D62</f>
        <v>0</v>
      </c>
      <c r="N70">
        <f ca="1">E62+N68</f>
        <v>1.4906159777254631</v>
      </c>
    </row>
    <row r="71" spans="1:14" x14ac:dyDescent="0.2">
      <c r="L71">
        <f ca="1">L70</f>
        <v>1305.1022800000001</v>
      </c>
      <c r="M71">
        <f ca="1">M72</f>
        <v>0</v>
      </c>
      <c r="N71">
        <f ca="1">N70</f>
        <v>1.4906159777254631</v>
      </c>
    </row>
    <row r="72" spans="1:14" x14ac:dyDescent="0.2">
      <c r="K72" t="str">
        <f ca="1">B63</f>
        <v/>
      </c>
      <c r="L72">
        <f ca="1">C63+L70</f>
        <v>1305.1022800000001</v>
      </c>
      <c r="M72">
        <f ca="1">D63</f>
        <v>0</v>
      </c>
      <c r="N72">
        <f ca="1">E63+N70</f>
        <v>1.4906159777254631</v>
      </c>
    </row>
    <row r="73" spans="1:14" x14ac:dyDescent="0.2">
      <c r="L73">
        <f ca="1">L72</f>
        <v>1305.1022800000001</v>
      </c>
      <c r="M73">
        <f ca="1">M74</f>
        <v>0</v>
      </c>
      <c r="N73">
        <f ca="1">N72</f>
        <v>1.4906159777254631</v>
      </c>
    </row>
    <row r="74" spans="1:14" x14ac:dyDescent="0.2">
      <c r="K74" t="str">
        <f ca="1">B64</f>
        <v/>
      </c>
      <c r="L74">
        <f ca="1">C64+L72</f>
        <v>1305.1022800000001</v>
      </c>
      <c r="M74">
        <f ca="1">D64</f>
        <v>0</v>
      </c>
      <c r="N74">
        <f ca="1">E64+N72</f>
        <v>1.4906159777254631</v>
      </c>
    </row>
    <row r="75" spans="1:14" x14ac:dyDescent="0.2">
      <c r="L75">
        <f ca="1">L74</f>
        <v>1305.1022800000001</v>
      </c>
      <c r="M75">
        <f ca="1">M76</f>
        <v>0</v>
      </c>
      <c r="N75">
        <f ca="1">N74</f>
        <v>1.4906159777254631</v>
      </c>
    </row>
    <row r="76" spans="1:14" x14ac:dyDescent="0.2">
      <c r="K76" t="str">
        <f ca="1">B65</f>
        <v/>
      </c>
      <c r="L76">
        <f ca="1">C65+L74</f>
        <v>1305.1022800000001</v>
      </c>
      <c r="M76">
        <f ca="1">D65</f>
        <v>0</v>
      </c>
      <c r="N76">
        <f ca="1">E65+N74</f>
        <v>1.4906159777254631</v>
      </c>
    </row>
    <row r="77" spans="1:14" x14ac:dyDescent="0.2">
      <c r="L77">
        <f ca="1">L76</f>
        <v>1305.1022800000001</v>
      </c>
      <c r="M77">
        <f ca="1">M78</f>
        <v>0</v>
      </c>
      <c r="N77">
        <f ca="1">N76</f>
        <v>1.4906159777254631</v>
      </c>
    </row>
    <row r="78" spans="1:14" x14ac:dyDescent="0.2">
      <c r="K78" t="str">
        <f ca="1">B66</f>
        <v/>
      </c>
      <c r="L78">
        <f ca="1">C66+L76</f>
        <v>1305.1022800000001</v>
      </c>
      <c r="M78">
        <f ca="1">D66</f>
        <v>0</v>
      </c>
      <c r="N78">
        <f ca="1">E66+N76</f>
        <v>1.4906159777254631</v>
      </c>
    </row>
    <row r="79" spans="1:14" x14ac:dyDescent="0.2">
      <c r="L79">
        <f ca="1">L78</f>
        <v>1305.1022800000001</v>
      </c>
      <c r="M79">
        <f ca="1">M80</f>
        <v>0</v>
      </c>
      <c r="N79">
        <f ca="1">N78</f>
        <v>1.4906159777254631</v>
      </c>
    </row>
    <row r="80" spans="1:14" x14ac:dyDescent="0.2">
      <c r="K80" t="str">
        <f ca="1">B67</f>
        <v/>
      </c>
      <c r="L80">
        <f ca="1">C67+L78</f>
        <v>1305.1022800000001</v>
      </c>
      <c r="M80">
        <f ca="1">D67</f>
        <v>0</v>
      </c>
      <c r="N80">
        <f ca="1">E67+N78</f>
        <v>1.4906159777254631</v>
      </c>
    </row>
    <row r="81" spans="1:14" x14ac:dyDescent="0.2">
      <c r="L81">
        <f ca="1">L80</f>
        <v>1305.1022800000001</v>
      </c>
      <c r="M81">
        <f ca="1">M82</f>
        <v>0</v>
      </c>
      <c r="N81">
        <f ca="1">N80</f>
        <v>1.4906159777254631</v>
      </c>
    </row>
    <row r="82" spans="1:14" x14ac:dyDescent="0.2">
      <c r="K82" t="str">
        <f ca="1">B68</f>
        <v/>
      </c>
      <c r="L82">
        <f ca="1">C69+L80</f>
        <v>1505.1022800000001</v>
      </c>
      <c r="M82">
        <f ca="1">D68</f>
        <v>0</v>
      </c>
      <c r="N82">
        <f ca="1">E68+N80</f>
        <v>1.4906159777254631</v>
      </c>
    </row>
    <row r="83" spans="1:14" x14ac:dyDescent="0.2">
      <c r="L83">
        <f ca="1">L82</f>
        <v>1505.1022800000001</v>
      </c>
      <c r="M83">
        <f>M88</f>
        <v>0</v>
      </c>
      <c r="N83">
        <f ca="1">N82</f>
        <v>1.4906159777254631</v>
      </c>
    </row>
    <row r="84" spans="1:14" x14ac:dyDescent="0.2">
      <c r="K84" t="str">
        <f>IF(B69="","",B69)</f>
        <v/>
      </c>
      <c r="L84">
        <f ca="1">C69+L82</f>
        <v>1705.1022800000001</v>
      </c>
      <c r="M84">
        <f>D69</f>
        <v>0</v>
      </c>
      <c r="N84">
        <f ca="1">E69+N82</f>
        <v>1.4906159777254631</v>
      </c>
    </row>
    <row r="85" spans="1:14" x14ac:dyDescent="0.2">
      <c r="L85">
        <f ca="1">L84</f>
        <v>1705.1022800000001</v>
      </c>
      <c r="M85">
        <f>M86</f>
        <v>0</v>
      </c>
      <c r="N85">
        <f ca="1">N84+E75</f>
        <v>1.4906159777254631</v>
      </c>
    </row>
    <row r="89" spans="1:14" x14ac:dyDescent="0.2">
      <c r="B89" t="s">
        <v>98</v>
      </c>
    </row>
    <row r="90" spans="1:14" x14ac:dyDescent="0.2">
      <c r="M90" t="s">
        <v>171</v>
      </c>
      <c r="N90" t="s">
        <v>172</v>
      </c>
    </row>
    <row r="91" spans="1:14" x14ac:dyDescent="0.2">
      <c r="L91" t="str">
        <f>C95</f>
        <v>Time
[µs]</v>
      </c>
      <c r="M91" t="str">
        <f>D95</f>
        <v>Avg Current [mA]</v>
      </c>
      <c r="N91" t="str">
        <f>E95</f>
        <v>Charge [nAh]</v>
      </c>
    </row>
    <row r="92" spans="1:14" x14ac:dyDescent="0.2">
      <c r="L92">
        <v>-200</v>
      </c>
      <c r="M92">
        <v>0</v>
      </c>
      <c r="N92">
        <v>0</v>
      </c>
    </row>
    <row r="93" spans="1:14" x14ac:dyDescent="0.2">
      <c r="L93">
        <v>0</v>
      </c>
      <c r="M93">
        <v>0</v>
      </c>
      <c r="N93">
        <v>0</v>
      </c>
    </row>
    <row r="94" spans="1:14" x14ac:dyDescent="0.2">
      <c r="L94">
        <v>0</v>
      </c>
      <c r="M94">
        <f ca="1">M95</f>
        <v>0</v>
      </c>
      <c r="N94">
        <v>0</v>
      </c>
    </row>
    <row r="95" spans="1:14" x14ac:dyDescent="0.2">
      <c r="C95" t="s">
        <v>24</v>
      </c>
      <c r="D95" t="s">
        <v>62</v>
      </c>
      <c r="E95" t="s">
        <v>170</v>
      </c>
      <c r="K95" t="str">
        <f ca="1">B96</f>
        <v/>
      </c>
      <c r="L95">
        <f ca="1">C96</f>
        <v>0</v>
      </c>
      <c r="M95">
        <f ca="1">D96</f>
        <v>0</v>
      </c>
      <c r="N95">
        <f ca="1">E96</f>
        <v>0</v>
      </c>
    </row>
    <row r="96" spans="1:14" x14ac:dyDescent="0.2">
      <c r="A96">
        <f>'BLE - Peripheral'!P21</f>
        <v>1</v>
      </c>
      <c r="B96" t="str">
        <f ca="1">'BLE - Peripheral'!Q21</f>
        <v/>
      </c>
      <c r="C96">
        <f ca="1">'BLE - Peripheral'!R21</f>
        <v>0</v>
      </c>
      <c r="D96">
        <f ca="1">'BLE - Peripheral'!S21</f>
        <v>0</v>
      </c>
      <c r="E96">
        <f ca="1">'BLE - Peripheral'!T21/3600</f>
        <v>0</v>
      </c>
      <c r="L96">
        <f ca="1">L95</f>
        <v>0</v>
      </c>
      <c r="M96">
        <f ca="1">M97</f>
        <v>0</v>
      </c>
      <c r="N96">
        <f ca="1">N95</f>
        <v>0</v>
      </c>
    </row>
    <row r="97" spans="1:14" x14ac:dyDescent="0.2">
      <c r="A97">
        <f>'BLE - Peripheral'!P22</f>
        <v>2</v>
      </c>
      <c r="B97" t="str">
        <f ca="1">'BLE - Peripheral'!Q22</f>
        <v/>
      </c>
      <c r="C97">
        <f ca="1">'BLE - Peripheral'!R22</f>
        <v>0</v>
      </c>
      <c r="D97">
        <f ca="1">'BLE - Peripheral'!S22</f>
        <v>0</v>
      </c>
      <c r="E97">
        <f ca="1">'BLE - Peripheral'!T22/3600</f>
        <v>0</v>
      </c>
      <c r="K97" t="str">
        <f ca="1">B97</f>
        <v/>
      </c>
      <c r="L97">
        <f ca="1">C97+L95</f>
        <v>0</v>
      </c>
      <c r="M97">
        <f ca="1">D97</f>
        <v>0</v>
      </c>
      <c r="N97">
        <f ca="1">E97+N95</f>
        <v>0</v>
      </c>
    </row>
    <row r="98" spans="1:14" x14ac:dyDescent="0.2">
      <c r="A98">
        <f>'BLE - Peripheral'!P23</f>
        <v>3</v>
      </c>
      <c r="B98" t="str">
        <f ca="1">'BLE - Peripheral'!Q23</f>
        <v/>
      </c>
      <c r="C98">
        <f ca="1">'BLE - Peripheral'!R23</f>
        <v>0</v>
      </c>
      <c r="D98">
        <f ca="1">'BLE - Peripheral'!S23</f>
        <v>0</v>
      </c>
      <c r="E98">
        <f ca="1">'BLE - Peripheral'!T23/3600</f>
        <v>0</v>
      </c>
      <c r="L98">
        <f ca="1">L97</f>
        <v>0</v>
      </c>
      <c r="M98">
        <f ca="1">M99</f>
        <v>0</v>
      </c>
      <c r="N98">
        <f ca="1">N97</f>
        <v>0</v>
      </c>
    </row>
    <row r="99" spans="1:14" x14ac:dyDescent="0.2">
      <c r="A99">
        <f>'BLE - Peripheral'!P24</f>
        <v>4</v>
      </c>
      <c r="B99" t="str">
        <f ca="1">'BLE - Peripheral'!Q24</f>
        <v/>
      </c>
      <c r="C99">
        <f ca="1">'BLE - Peripheral'!R24</f>
        <v>0</v>
      </c>
      <c r="D99">
        <f ca="1">'BLE - Peripheral'!S24</f>
        <v>0</v>
      </c>
      <c r="E99">
        <f ca="1">'BLE - Peripheral'!T24/3600</f>
        <v>0</v>
      </c>
      <c r="K99" t="str">
        <f ca="1">B98</f>
        <v/>
      </c>
      <c r="L99">
        <f ca="1">C98+L97</f>
        <v>0</v>
      </c>
      <c r="M99">
        <f ca="1">D98</f>
        <v>0</v>
      </c>
      <c r="N99">
        <f ca="1">E98+N97</f>
        <v>0</v>
      </c>
    </row>
    <row r="100" spans="1:14" x14ac:dyDescent="0.2">
      <c r="A100">
        <f>'BLE - Peripheral'!P25</f>
        <v>5</v>
      </c>
      <c r="B100" t="str">
        <f ca="1">'BLE - Peripheral'!Q25</f>
        <v/>
      </c>
      <c r="C100">
        <f ca="1">'BLE - Peripheral'!R25</f>
        <v>0</v>
      </c>
      <c r="D100">
        <f ca="1">'BLE - Peripheral'!S25</f>
        <v>0</v>
      </c>
      <c r="E100">
        <f ca="1">'BLE - Peripheral'!T25/3600</f>
        <v>0</v>
      </c>
      <c r="L100">
        <f ca="1">L99</f>
        <v>0</v>
      </c>
      <c r="M100">
        <f ca="1">M101</f>
        <v>0</v>
      </c>
      <c r="N100">
        <f ca="1">N99</f>
        <v>0</v>
      </c>
    </row>
    <row r="101" spans="1:14" x14ac:dyDescent="0.2">
      <c r="A101">
        <f>'BLE - Peripheral'!P26</f>
        <v>6</v>
      </c>
      <c r="B101" t="str">
        <f ca="1">'BLE - Peripheral'!Q26</f>
        <v/>
      </c>
      <c r="C101">
        <f ca="1">'BLE - Peripheral'!R26</f>
        <v>0</v>
      </c>
      <c r="D101">
        <f ca="1">'BLE - Peripheral'!S26</f>
        <v>0</v>
      </c>
      <c r="E101">
        <f ca="1">'BLE - Peripheral'!T26/3600</f>
        <v>0</v>
      </c>
      <c r="K101" t="str">
        <f ca="1">B99</f>
        <v/>
      </c>
      <c r="L101">
        <f ca="1">C99+L99</f>
        <v>0</v>
      </c>
      <c r="M101">
        <f ca="1">D99</f>
        <v>0</v>
      </c>
      <c r="N101">
        <f ca="1">E99+N99</f>
        <v>0</v>
      </c>
    </row>
    <row r="102" spans="1:14" x14ac:dyDescent="0.2">
      <c r="A102">
        <f>'BLE - Peripheral'!P27</f>
        <v>7</v>
      </c>
      <c r="B102" t="str">
        <f ca="1">'BLE - Peripheral'!Q27</f>
        <v/>
      </c>
      <c r="C102">
        <f ca="1">'BLE - Peripheral'!R27</f>
        <v>0</v>
      </c>
      <c r="D102">
        <f ca="1">'BLE - Peripheral'!S27</f>
        <v>0</v>
      </c>
      <c r="E102">
        <f ca="1">'BLE - Peripheral'!T27/3600</f>
        <v>0</v>
      </c>
      <c r="L102">
        <f ca="1">L101</f>
        <v>0</v>
      </c>
      <c r="M102">
        <f ca="1">M103</f>
        <v>0</v>
      </c>
      <c r="N102">
        <f ca="1">N101</f>
        <v>0</v>
      </c>
    </row>
    <row r="103" spans="1:14" x14ac:dyDescent="0.2">
      <c r="A103">
        <f>'BLE - Peripheral'!P28</f>
        <v>8</v>
      </c>
      <c r="B103" t="str">
        <f ca="1">'BLE - Peripheral'!Q28</f>
        <v/>
      </c>
      <c r="C103">
        <f ca="1">'BLE - Peripheral'!R28</f>
        <v>0</v>
      </c>
      <c r="D103">
        <f ca="1">'BLE - Peripheral'!S28</f>
        <v>0</v>
      </c>
      <c r="E103">
        <f ca="1">'BLE - Peripheral'!T28/3600</f>
        <v>0</v>
      </c>
      <c r="K103" t="str">
        <f ca="1">B100</f>
        <v/>
      </c>
      <c r="L103">
        <f ca="1">C100+L101</f>
        <v>0</v>
      </c>
      <c r="M103">
        <f ca="1">D100</f>
        <v>0</v>
      </c>
      <c r="N103">
        <f ca="1">E100+N101</f>
        <v>0</v>
      </c>
    </row>
    <row r="104" spans="1:14" x14ac:dyDescent="0.2">
      <c r="A104">
        <f>'BLE - Peripheral'!P29</f>
        <v>9</v>
      </c>
      <c r="B104" t="str">
        <f ca="1">'BLE - Peripheral'!Q29</f>
        <v/>
      </c>
      <c r="C104">
        <f ca="1">'BLE - Peripheral'!R29</f>
        <v>0</v>
      </c>
      <c r="D104">
        <f ca="1">'BLE - Peripheral'!S29</f>
        <v>0</v>
      </c>
      <c r="E104">
        <f ca="1">'BLE - Peripheral'!T29/3600</f>
        <v>0</v>
      </c>
      <c r="L104">
        <f ca="1">L103</f>
        <v>0</v>
      </c>
      <c r="M104">
        <f ca="1">M105</f>
        <v>0</v>
      </c>
      <c r="N104">
        <f ca="1">N103</f>
        <v>0</v>
      </c>
    </row>
    <row r="105" spans="1:14" x14ac:dyDescent="0.2">
      <c r="A105">
        <f>'BLE - Peripheral'!P30</f>
        <v>10</v>
      </c>
      <c r="B105" t="str">
        <f ca="1">'BLE - Peripheral'!Q30</f>
        <v/>
      </c>
      <c r="C105">
        <f ca="1">'BLE - Peripheral'!R30</f>
        <v>0</v>
      </c>
      <c r="D105">
        <f ca="1">'BLE - Peripheral'!S30</f>
        <v>0</v>
      </c>
      <c r="E105">
        <f ca="1">'BLE - Peripheral'!T30/3600</f>
        <v>0</v>
      </c>
      <c r="K105" t="str">
        <f ca="1">B101</f>
        <v/>
      </c>
      <c r="L105">
        <f ca="1">C101+L103</f>
        <v>0</v>
      </c>
      <c r="M105">
        <f ca="1">D101</f>
        <v>0</v>
      </c>
      <c r="N105">
        <f ca="1">E101+N103</f>
        <v>0</v>
      </c>
    </row>
    <row r="106" spans="1:14" x14ac:dyDescent="0.2">
      <c r="A106">
        <f>'BLE - Peripheral'!P31</f>
        <v>11</v>
      </c>
      <c r="B106" t="str">
        <f ca="1">'BLE - Peripheral'!Q31</f>
        <v/>
      </c>
      <c r="C106">
        <f ca="1">'BLE - Peripheral'!R31</f>
        <v>0</v>
      </c>
      <c r="D106">
        <f ca="1">'BLE - Peripheral'!S31</f>
        <v>0</v>
      </c>
      <c r="E106">
        <f ca="1">'BLE - Peripheral'!T31/3600</f>
        <v>0</v>
      </c>
      <c r="L106">
        <f ca="1">L105</f>
        <v>0</v>
      </c>
      <c r="M106">
        <f ca="1">M107</f>
        <v>0</v>
      </c>
      <c r="N106">
        <f ca="1">N105</f>
        <v>0</v>
      </c>
    </row>
    <row r="107" spans="1:14" x14ac:dyDescent="0.2">
      <c r="A107">
        <f>'BLE - Peripheral'!P32</f>
        <v>12</v>
      </c>
      <c r="B107" t="str">
        <f ca="1">'BLE - Peripheral'!Q32</f>
        <v/>
      </c>
      <c r="C107">
        <f ca="1">'BLE - Peripheral'!R32</f>
        <v>0</v>
      </c>
      <c r="D107">
        <f ca="1">'BLE - Peripheral'!S32</f>
        <v>0</v>
      </c>
      <c r="E107">
        <f ca="1">'BLE - Peripheral'!T32/3600</f>
        <v>0</v>
      </c>
      <c r="K107" t="str">
        <f ca="1">B102</f>
        <v/>
      </c>
      <c r="L107">
        <f ca="1">C102+L105</f>
        <v>0</v>
      </c>
      <c r="M107">
        <f ca="1">D102</f>
        <v>0</v>
      </c>
      <c r="N107">
        <f ca="1">E102+N105</f>
        <v>0</v>
      </c>
    </row>
    <row r="108" spans="1:14" x14ac:dyDescent="0.2">
      <c r="A108">
        <f>'BLE - Peripheral'!P33</f>
        <v>13</v>
      </c>
      <c r="B108" t="str">
        <f ca="1">'BLE - Peripheral'!Q33</f>
        <v/>
      </c>
      <c r="C108">
        <f ca="1">'BLE - Peripheral'!R33</f>
        <v>0</v>
      </c>
      <c r="D108">
        <f ca="1">'BLE - Peripheral'!S33</f>
        <v>0</v>
      </c>
      <c r="E108">
        <f ca="1">'BLE - Peripheral'!T33/3600</f>
        <v>0</v>
      </c>
      <c r="L108">
        <f ca="1">L107</f>
        <v>0</v>
      </c>
      <c r="M108">
        <f ca="1">M109</f>
        <v>0</v>
      </c>
      <c r="N108">
        <f ca="1">N107</f>
        <v>0</v>
      </c>
    </row>
    <row r="109" spans="1:14" x14ac:dyDescent="0.2">
      <c r="A109">
        <f>'BLE - Peripheral'!P34</f>
        <v>14</v>
      </c>
      <c r="B109" t="str">
        <f ca="1">'BLE - Peripheral'!Q34</f>
        <v/>
      </c>
      <c r="C109">
        <f ca="1">'BLE - Peripheral'!R34</f>
        <v>0</v>
      </c>
      <c r="D109">
        <f ca="1">'BLE - Peripheral'!S34</f>
        <v>0</v>
      </c>
      <c r="E109">
        <f ca="1">'BLE - Peripheral'!T34/3600</f>
        <v>0</v>
      </c>
      <c r="K109" t="str">
        <f ca="1">B103</f>
        <v/>
      </c>
      <c r="L109">
        <f ca="1">C103+L107</f>
        <v>0</v>
      </c>
      <c r="M109">
        <f ca="1">D103</f>
        <v>0</v>
      </c>
      <c r="N109">
        <f ca="1">E103+N107</f>
        <v>0</v>
      </c>
    </row>
    <row r="110" spans="1:14" x14ac:dyDescent="0.2">
      <c r="A110">
        <f>'BLE - Peripheral'!P35</f>
        <v>15</v>
      </c>
      <c r="B110" t="str">
        <f ca="1">'BLE - Peripheral'!Q35</f>
        <v>Total time [us]</v>
      </c>
      <c r="C110">
        <f ca="1">'BLE - Peripheral'!R35</f>
        <v>0</v>
      </c>
      <c r="D110">
        <f ca="1">'BLE - Peripheral'!S35</f>
        <v>0</v>
      </c>
      <c r="E110">
        <f ca="1">'BLE - Peripheral'!T35/3600</f>
        <v>0</v>
      </c>
      <c r="L110">
        <f ca="1">L109</f>
        <v>0</v>
      </c>
      <c r="M110">
        <f ca="1">M111</f>
        <v>0</v>
      </c>
      <c r="N110">
        <f ca="1">N109</f>
        <v>0</v>
      </c>
    </row>
    <row r="111" spans="1:14" x14ac:dyDescent="0.2">
      <c r="A111">
        <f>'BLE - Peripheral'!P36</f>
        <v>16</v>
      </c>
      <c r="B111" t="str">
        <f ca="1">'BLE - Peripheral'!Q36</f>
        <v>Total time * current [us*mA]</v>
      </c>
      <c r="C111">
        <f ca="1">'BLE - Peripheral'!R36</f>
        <v>0</v>
      </c>
      <c r="D111">
        <f ca="1">'BLE - Peripheral'!S36</f>
        <v>0</v>
      </c>
      <c r="E111">
        <f ca="1">'BLE - Peripheral'!T36/3600</f>
        <v>0</v>
      </c>
      <c r="K111" t="str">
        <f ca="1">B104</f>
        <v/>
      </c>
      <c r="L111">
        <f ca="1">C104+L109</f>
        <v>0</v>
      </c>
      <c r="M111">
        <f ca="1">D104</f>
        <v>0</v>
      </c>
      <c r="N111">
        <f ca="1">E104+N109</f>
        <v>0</v>
      </c>
    </row>
    <row r="112" spans="1:14" x14ac:dyDescent="0.2">
      <c r="A112">
        <v>17</v>
      </c>
      <c r="B112" t="s">
        <v>99</v>
      </c>
      <c r="C112">
        <v>200</v>
      </c>
      <c r="D112">
        <v>0</v>
      </c>
      <c r="E112">
        <v>0</v>
      </c>
      <c r="L112">
        <f ca="1">L111</f>
        <v>0</v>
      </c>
      <c r="M112">
        <f ca="1">M113</f>
        <v>0</v>
      </c>
      <c r="N112">
        <f ca="1">N111</f>
        <v>0</v>
      </c>
    </row>
    <row r="113" spans="11:14" x14ac:dyDescent="0.2">
      <c r="K113" t="str">
        <f ca="1">B105</f>
        <v/>
      </c>
      <c r="L113">
        <f ca="1">C105+L111</f>
        <v>0</v>
      </c>
      <c r="M113">
        <f ca="1">D105</f>
        <v>0</v>
      </c>
      <c r="N113">
        <f ca="1">E105+N111</f>
        <v>0</v>
      </c>
    </row>
    <row r="114" spans="11:14" x14ac:dyDescent="0.2">
      <c r="L114">
        <f ca="1">L113</f>
        <v>0</v>
      </c>
      <c r="M114">
        <f ca="1">M115</f>
        <v>0</v>
      </c>
      <c r="N114">
        <f ca="1">N113</f>
        <v>0</v>
      </c>
    </row>
    <row r="115" spans="11:14" x14ac:dyDescent="0.2">
      <c r="K115" t="str">
        <f ca="1">B106</f>
        <v/>
      </c>
      <c r="L115">
        <f ca="1">C106+L113</f>
        <v>0</v>
      </c>
      <c r="M115">
        <f ca="1">D106</f>
        <v>0</v>
      </c>
      <c r="N115">
        <f ca="1">E106+N113</f>
        <v>0</v>
      </c>
    </row>
    <row r="116" spans="11:14" x14ac:dyDescent="0.2">
      <c r="L116">
        <f ca="1">L115</f>
        <v>0</v>
      </c>
      <c r="M116">
        <f ca="1">M117</f>
        <v>0</v>
      </c>
      <c r="N116">
        <f ca="1">N115</f>
        <v>0</v>
      </c>
    </row>
    <row r="117" spans="11:14" x14ac:dyDescent="0.2">
      <c r="K117" t="str">
        <f ca="1">B107</f>
        <v/>
      </c>
      <c r="L117">
        <f ca="1">C107+L115</f>
        <v>0</v>
      </c>
      <c r="M117">
        <f ca="1">D107</f>
        <v>0</v>
      </c>
      <c r="N117">
        <f ca="1">E107+N115</f>
        <v>0</v>
      </c>
    </row>
    <row r="118" spans="11:14" x14ac:dyDescent="0.2">
      <c r="L118">
        <f ca="1">L117</f>
        <v>0</v>
      </c>
      <c r="M118">
        <f ca="1">M119</f>
        <v>0</v>
      </c>
      <c r="N118">
        <f ca="1">N117</f>
        <v>0</v>
      </c>
    </row>
    <row r="119" spans="11:14" x14ac:dyDescent="0.2">
      <c r="K119" t="str">
        <f ca="1">B108</f>
        <v/>
      </c>
      <c r="L119">
        <f ca="1">C108+L117</f>
        <v>0</v>
      </c>
      <c r="M119">
        <f ca="1">D108</f>
        <v>0</v>
      </c>
      <c r="N119">
        <f ca="1">E108+N117</f>
        <v>0</v>
      </c>
    </row>
    <row r="120" spans="11:14" x14ac:dyDescent="0.2">
      <c r="L120">
        <f ca="1">L119</f>
        <v>0</v>
      </c>
      <c r="M120">
        <f ca="1">M121</f>
        <v>0</v>
      </c>
      <c r="N120">
        <f ca="1">N119</f>
        <v>0</v>
      </c>
    </row>
    <row r="121" spans="11:14" x14ac:dyDescent="0.2">
      <c r="K121" t="str">
        <f ca="1">B109</f>
        <v/>
      </c>
      <c r="L121">
        <f ca="1">C109+L119</f>
        <v>0</v>
      </c>
      <c r="M121">
        <f ca="1">D109</f>
        <v>0</v>
      </c>
      <c r="N121">
        <f ca="1">E109+N119</f>
        <v>0</v>
      </c>
    </row>
    <row r="122" spans="11:14" x14ac:dyDescent="0.2">
      <c r="L122">
        <f ca="1">L121</f>
        <v>0</v>
      </c>
      <c r="M122">
        <f ca="1">M123</f>
        <v>0</v>
      </c>
      <c r="N122">
        <f ca="1">N121</f>
        <v>0</v>
      </c>
    </row>
    <row r="123" spans="11:14" x14ac:dyDescent="0.2">
      <c r="K123" t="str">
        <f ca="1">B110</f>
        <v>Total time [us]</v>
      </c>
      <c r="L123">
        <f ca="1">C110+L121</f>
        <v>0</v>
      </c>
      <c r="M123">
        <f ca="1">D110</f>
        <v>0</v>
      </c>
      <c r="N123">
        <f ca="1">E110+N121</f>
        <v>0</v>
      </c>
    </row>
    <row r="124" spans="11:14" x14ac:dyDescent="0.2">
      <c r="L124">
        <f ca="1">L123</f>
        <v>0</v>
      </c>
      <c r="M124">
        <f ca="1">M125</f>
        <v>0</v>
      </c>
      <c r="N124">
        <f ca="1">N123</f>
        <v>0</v>
      </c>
    </row>
    <row r="125" spans="11:14" x14ac:dyDescent="0.2">
      <c r="K125" t="str">
        <f ca="1">B111</f>
        <v>Total time * current [us*mA]</v>
      </c>
      <c r="L125">
        <f ca="1">C112+L123</f>
        <v>200</v>
      </c>
      <c r="M125">
        <f ca="1">D111</f>
        <v>0</v>
      </c>
      <c r="N125">
        <f ca="1">E111+N123</f>
        <v>0</v>
      </c>
    </row>
    <row r="126" spans="11:14" x14ac:dyDescent="0.2">
      <c r="L126">
        <f ca="1">L125</f>
        <v>200</v>
      </c>
      <c r="M126">
        <f>M131</f>
        <v>0</v>
      </c>
      <c r="N126">
        <f ca="1">N125</f>
        <v>0</v>
      </c>
    </row>
    <row r="127" spans="11:14" x14ac:dyDescent="0.2">
      <c r="K127" t="str">
        <f>IF(B112="","",B112)</f>
        <v/>
      </c>
      <c r="L127">
        <f ca="1">C112+L125</f>
        <v>400</v>
      </c>
      <c r="M127">
        <f>D112</f>
        <v>0</v>
      </c>
      <c r="N127">
        <f ca="1">E112+N125</f>
        <v>0</v>
      </c>
    </row>
    <row r="128" spans="11:14" x14ac:dyDescent="0.2">
      <c r="L128">
        <f ca="1">L127</f>
        <v>400</v>
      </c>
      <c r="M128">
        <f>M129</f>
        <v>0</v>
      </c>
      <c r="N128">
        <f ca="1">N127+E118</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N111"/>
  <sheetViews>
    <sheetView topLeftCell="A4" zoomScale="55" zoomScaleNormal="55" workbookViewId="0">
      <selection activeCell="B56" sqref="B56"/>
    </sheetView>
  </sheetViews>
  <sheetFormatPr defaultRowHeight="12.75" x14ac:dyDescent="0.2"/>
  <cols>
    <col min="1" max="1" width="3.42578125" customWidth="1"/>
    <col min="2" max="2" width="31" customWidth="1"/>
    <col min="3" max="3" width="13.28515625" customWidth="1"/>
    <col min="4" max="4" width="15.28515625" bestFit="1" customWidth="1"/>
    <col min="5" max="5" width="12" bestFit="1" customWidth="1"/>
    <col min="11" max="11" width="15.7109375" customWidth="1"/>
    <col min="13" max="13" width="23.140625" customWidth="1"/>
    <col min="14" max="14" width="20.85546875" customWidth="1"/>
  </cols>
  <sheetData>
    <row r="3" spans="1:14" x14ac:dyDescent="0.2">
      <c r="B3" t="s">
        <v>96</v>
      </c>
    </row>
    <row r="4" spans="1:14" x14ac:dyDescent="0.2">
      <c r="M4" t="s">
        <v>74</v>
      </c>
      <c r="N4" t="s">
        <v>75</v>
      </c>
    </row>
    <row r="5" spans="1:14" x14ac:dyDescent="0.2">
      <c r="L5" t="str">
        <f>C9</f>
        <v>Time
[µs]</v>
      </c>
      <c r="M5" t="str">
        <f>D9</f>
        <v>Avg Current [mA]</v>
      </c>
      <c r="N5" t="str">
        <f>E9</f>
        <v>Energy [pAh]</v>
      </c>
    </row>
    <row r="6" spans="1:14" x14ac:dyDescent="0.2">
      <c r="L6">
        <v>-200</v>
      </c>
      <c r="M6">
        <v>0</v>
      </c>
      <c r="N6">
        <v>0</v>
      </c>
    </row>
    <row r="7" spans="1:14" x14ac:dyDescent="0.2">
      <c r="L7">
        <v>0</v>
      </c>
      <c r="M7">
        <v>0</v>
      </c>
      <c r="N7">
        <v>0</v>
      </c>
    </row>
    <row r="8" spans="1:14" x14ac:dyDescent="0.2">
      <c r="L8">
        <v>0</v>
      </c>
      <c r="M8">
        <f ca="1">M9</f>
        <v>3.1791999999999998</v>
      </c>
      <c r="N8">
        <v>0</v>
      </c>
    </row>
    <row r="9" spans="1:14" x14ac:dyDescent="0.2">
      <c r="C9" t="s">
        <v>24</v>
      </c>
      <c r="D9" t="s">
        <v>62</v>
      </c>
      <c r="E9" t="s">
        <v>73</v>
      </c>
      <c r="K9" t="str">
        <f ca="1">B10</f>
        <v>Wake Up &amp; Pre-processing</v>
      </c>
      <c r="L9">
        <f ca="1">C10</f>
        <v>1755.2</v>
      </c>
      <c r="M9">
        <f ca="1">D10</f>
        <v>3.1791999999999998</v>
      </c>
      <c r="N9">
        <f ca="1">E10</f>
        <v>5580.13184</v>
      </c>
    </row>
    <row r="10" spans="1:14" x14ac:dyDescent="0.2">
      <c r="A10">
        <f>'BLE - Central'!B19</f>
        <v>1</v>
      </c>
      <c r="B10" t="str">
        <f ca="1">'BLE - Central'!C19</f>
        <v>Wake Up &amp; Pre-processing</v>
      </c>
      <c r="C10" s="124">
        <f ca="1">'BLE - Central'!D19</f>
        <v>1755.2</v>
      </c>
      <c r="D10" s="124">
        <f ca="1">'BLE - Central'!E19</f>
        <v>3.1791999999999998</v>
      </c>
      <c r="E10" s="124">
        <f ca="1">'BLE - Central'!F19</f>
        <v>5580.13184</v>
      </c>
      <c r="L10">
        <f ca="1">L9</f>
        <v>1755.2</v>
      </c>
      <c r="M10">
        <f ca="1">M11</f>
        <v>6.4947999999999997</v>
      </c>
      <c r="N10">
        <f ca="1">N9</f>
        <v>5580.13184</v>
      </c>
    </row>
    <row r="11" spans="1:14" x14ac:dyDescent="0.2">
      <c r="A11">
        <f>'BLE - Central'!B20</f>
        <v>2</v>
      </c>
      <c r="B11" t="str">
        <f ca="1">'BLE - Central'!C20</f>
        <v>Receive (RX)</v>
      </c>
      <c r="C11" s="124">
        <f ca="1">'BLE - Central'!D20</f>
        <v>500000</v>
      </c>
      <c r="D11" s="124">
        <f ca="1">'BLE - Central'!E20</f>
        <v>6.4947999999999997</v>
      </c>
      <c r="E11" s="124">
        <f ca="1">'BLE - Central'!F20</f>
        <v>3247400</v>
      </c>
      <c r="K11" t="str">
        <f ca="1">B11</f>
        <v>Receive (RX)</v>
      </c>
      <c r="L11">
        <f ca="1">C11+L9</f>
        <v>501755.2</v>
      </c>
      <c r="M11">
        <f ca="1">D11</f>
        <v>6.4947999999999997</v>
      </c>
      <c r="N11">
        <f ca="1">E11+N9</f>
        <v>3252980.1318399999</v>
      </c>
    </row>
    <row r="12" spans="1:14" x14ac:dyDescent="0.2">
      <c r="A12">
        <f>'BLE - Central'!B21</f>
        <v>3</v>
      </c>
      <c r="B12" t="str">
        <f ca="1">'BLE - Central'!C21</f>
        <v>Post-processing</v>
      </c>
      <c r="C12" s="124">
        <f ca="1">'BLE - Central'!D21</f>
        <v>854</v>
      </c>
      <c r="D12" s="124">
        <f ca="1">'BLE - Central'!E21</f>
        <v>2.8071000000000002</v>
      </c>
      <c r="E12" s="124">
        <f ca="1">'BLE - Central'!F21</f>
        <v>2397.2634000000003</v>
      </c>
      <c r="L12">
        <f ca="1">L11</f>
        <v>501755.2</v>
      </c>
      <c r="M12">
        <f ca="1">M13</f>
        <v>2.8071000000000002</v>
      </c>
      <c r="N12">
        <f ca="1">N11</f>
        <v>3252980.1318399999</v>
      </c>
    </row>
    <row r="13" spans="1:14" x14ac:dyDescent="0.2">
      <c r="A13">
        <f>'BLE - Central'!B22</f>
        <v>4</v>
      </c>
      <c r="B13" t="str">
        <f ca="1">'BLE - Central'!C22</f>
        <v>Standby</v>
      </c>
      <c r="C13" s="124">
        <f ca="1">'BLE - Central'!D22</f>
        <v>777390.8</v>
      </c>
      <c r="D13" s="124">
        <f ca="1">'BLE - Central'!E22</f>
        <v>1.2999999999999999E-3</v>
      </c>
      <c r="E13" s="124">
        <f ca="1">'BLE - Central'!F22</f>
        <v>1010.60804</v>
      </c>
      <c r="K13" t="str">
        <f ca="1">B12</f>
        <v>Post-processing</v>
      </c>
      <c r="L13">
        <f ca="1">C12+L11</f>
        <v>502609.2</v>
      </c>
      <c r="M13">
        <f ca="1">D12</f>
        <v>2.8071000000000002</v>
      </c>
      <c r="N13">
        <f ca="1">E12+N11</f>
        <v>3255377.39524</v>
      </c>
    </row>
    <row r="14" spans="1:14" x14ac:dyDescent="0.2">
      <c r="A14">
        <f>'BLE - Central'!B23</f>
        <v>5</v>
      </c>
      <c r="B14" t="str">
        <f ca="1">'BLE - Central'!C23</f>
        <v/>
      </c>
      <c r="C14" s="124">
        <f ca="1">'BLE - Central'!D23</f>
        <v>0</v>
      </c>
      <c r="D14" s="124">
        <f ca="1">'BLE - Central'!E23</f>
        <v>0</v>
      </c>
      <c r="E14" s="124">
        <f ca="1">'BLE - Central'!F23</f>
        <v>0</v>
      </c>
      <c r="L14">
        <f ca="1">L13</f>
        <v>502609.2</v>
      </c>
      <c r="M14">
        <f ca="1">M15</f>
        <v>1.2999999999999999E-3</v>
      </c>
      <c r="N14">
        <f ca="1">N13</f>
        <v>3255377.39524</v>
      </c>
    </row>
    <row r="15" spans="1:14" x14ac:dyDescent="0.2">
      <c r="A15">
        <f>'BLE - Central'!B24</f>
        <v>6</v>
      </c>
      <c r="B15" t="str">
        <f ca="1">'BLE - Central'!C24</f>
        <v/>
      </c>
      <c r="C15" s="124">
        <f ca="1">'BLE - Central'!D24</f>
        <v>0</v>
      </c>
      <c r="D15" s="124">
        <f ca="1">'BLE - Central'!E24</f>
        <v>0</v>
      </c>
      <c r="E15" s="124">
        <f ca="1">'BLE - Central'!F24</f>
        <v>0</v>
      </c>
      <c r="K15" t="str">
        <f ca="1">B13</f>
        <v>Standby</v>
      </c>
      <c r="L15">
        <f ca="1">C13+L13</f>
        <v>1280000</v>
      </c>
      <c r="M15">
        <f ca="1">D13</f>
        <v>1.2999999999999999E-3</v>
      </c>
      <c r="N15">
        <f ca="1">E13+N13</f>
        <v>3256388.0032799998</v>
      </c>
    </row>
    <row r="16" spans="1:14" x14ac:dyDescent="0.2">
      <c r="A16">
        <f>'BLE - Central'!B25</f>
        <v>7</v>
      </c>
      <c r="B16" t="str">
        <f ca="1">'BLE - Central'!C25</f>
        <v/>
      </c>
      <c r="C16" s="124">
        <f ca="1">'BLE - Central'!D25</f>
        <v>0</v>
      </c>
      <c r="D16" s="124">
        <f ca="1">'BLE - Central'!E25</f>
        <v>0</v>
      </c>
      <c r="E16" s="124">
        <f ca="1">'BLE - Central'!F25</f>
        <v>0</v>
      </c>
      <c r="L16">
        <f ca="1">L15</f>
        <v>1280000</v>
      </c>
      <c r="M16">
        <f ca="1">M17</f>
        <v>0</v>
      </c>
      <c r="N16">
        <f ca="1">N15</f>
        <v>3256388.0032799998</v>
      </c>
    </row>
    <row r="17" spans="1:14" x14ac:dyDescent="0.2">
      <c r="A17">
        <f>'BLE - Central'!B26</f>
        <v>8</v>
      </c>
      <c r="B17" t="str">
        <f ca="1">'BLE - Central'!C26</f>
        <v/>
      </c>
      <c r="C17" s="124">
        <f ca="1">'BLE - Central'!D26</f>
        <v>0</v>
      </c>
      <c r="D17" s="124">
        <f ca="1">'BLE - Central'!E26</f>
        <v>0</v>
      </c>
      <c r="E17" s="124">
        <f ca="1">'BLE - Central'!F26</f>
        <v>0</v>
      </c>
      <c r="K17" t="str">
        <f ca="1">B14</f>
        <v/>
      </c>
      <c r="L17">
        <f ca="1">C14+L15</f>
        <v>1280000</v>
      </c>
      <c r="M17">
        <f ca="1">D14</f>
        <v>0</v>
      </c>
      <c r="N17">
        <f ca="1">E14+N15</f>
        <v>3256388.0032799998</v>
      </c>
    </row>
    <row r="18" spans="1:14" x14ac:dyDescent="0.2">
      <c r="A18">
        <f>'BLE - Central'!B27</f>
        <v>9</v>
      </c>
      <c r="B18" t="str">
        <f ca="1">'BLE - Central'!C27</f>
        <v/>
      </c>
      <c r="C18" s="124">
        <f ca="1">'BLE - Central'!D27</f>
        <v>0</v>
      </c>
      <c r="D18" s="124">
        <f ca="1">'BLE - Central'!E27</f>
        <v>0</v>
      </c>
      <c r="E18" s="124">
        <f ca="1">'BLE - Central'!F27</f>
        <v>0</v>
      </c>
      <c r="L18">
        <f ca="1">L17</f>
        <v>1280000</v>
      </c>
      <c r="M18">
        <f ca="1">M19</f>
        <v>0</v>
      </c>
      <c r="N18">
        <f ca="1">N17</f>
        <v>3256388.0032799998</v>
      </c>
    </row>
    <row r="19" spans="1:14" x14ac:dyDescent="0.2">
      <c r="A19">
        <f>'BLE - Central'!B28</f>
        <v>10</v>
      </c>
      <c r="B19" t="str">
        <f ca="1">'BLE - Central'!C28</f>
        <v/>
      </c>
      <c r="C19" s="124">
        <f ca="1">'BLE - Central'!D28</f>
        <v>0</v>
      </c>
      <c r="D19" s="124">
        <f ca="1">'BLE - Central'!E28</f>
        <v>0</v>
      </c>
      <c r="E19" s="124">
        <f ca="1">'BLE - Central'!F28</f>
        <v>0</v>
      </c>
      <c r="K19" t="str">
        <f ca="1">B15</f>
        <v/>
      </c>
      <c r="L19">
        <f ca="1">C15+L17</f>
        <v>1280000</v>
      </c>
      <c r="M19">
        <f ca="1">D15</f>
        <v>0</v>
      </c>
      <c r="N19">
        <f ca="1">E15+N17</f>
        <v>3256388.0032799998</v>
      </c>
    </row>
    <row r="20" spans="1:14" x14ac:dyDescent="0.2">
      <c r="A20">
        <f>'BLE - Central'!B29</f>
        <v>11</v>
      </c>
      <c r="B20" t="str">
        <f ca="1">'BLE - Central'!C29</f>
        <v/>
      </c>
      <c r="C20" s="124">
        <f ca="1">'BLE - Central'!D29</f>
        <v>0</v>
      </c>
      <c r="D20" s="124">
        <f ca="1">'BLE - Central'!E29</f>
        <v>0</v>
      </c>
      <c r="E20" s="124">
        <f ca="1">'BLE - Central'!F29</f>
        <v>0</v>
      </c>
      <c r="L20">
        <f ca="1">L19</f>
        <v>1280000</v>
      </c>
      <c r="M20">
        <f ca="1">M21</f>
        <v>0</v>
      </c>
      <c r="N20">
        <f ca="1">N19</f>
        <v>3256388.0032799998</v>
      </c>
    </row>
    <row r="21" spans="1:14" x14ac:dyDescent="0.2">
      <c r="A21">
        <f>'BLE - Central'!B30</f>
        <v>12</v>
      </c>
      <c r="B21" t="str">
        <f ca="1">'BLE - Central'!C30</f>
        <v/>
      </c>
      <c r="C21" s="124">
        <f ca="1">'BLE - Central'!D30</f>
        <v>0</v>
      </c>
      <c r="D21" s="124">
        <f ca="1">'BLE - Central'!E30</f>
        <v>0</v>
      </c>
      <c r="E21" s="124">
        <f ca="1">'BLE - Central'!F30</f>
        <v>0</v>
      </c>
      <c r="K21" t="str">
        <f ca="1">B16</f>
        <v/>
      </c>
      <c r="L21">
        <f ca="1">C16+L19</f>
        <v>1280000</v>
      </c>
      <c r="M21">
        <f ca="1">D16</f>
        <v>0</v>
      </c>
      <c r="N21">
        <f ca="1">E16+N19</f>
        <v>3256388.0032799998</v>
      </c>
    </row>
    <row r="22" spans="1:14" x14ac:dyDescent="0.2">
      <c r="A22">
        <f>'BLE - Central'!B31</f>
        <v>13</v>
      </c>
      <c r="B22" t="str">
        <f ca="1">'BLE - Central'!C31</f>
        <v/>
      </c>
      <c r="C22" s="124">
        <f ca="1">'BLE - Central'!D31</f>
        <v>0</v>
      </c>
      <c r="D22" s="124">
        <f ca="1">'BLE - Central'!E31</f>
        <v>0</v>
      </c>
      <c r="E22" s="124">
        <f ca="1">'BLE - Central'!F31</f>
        <v>0</v>
      </c>
      <c r="L22">
        <f ca="1">L21</f>
        <v>1280000</v>
      </c>
      <c r="M22">
        <f ca="1">M23</f>
        <v>0</v>
      </c>
      <c r="N22">
        <f ca="1">N21</f>
        <v>3256388.0032799998</v>
      </c>
    </row>
    <row r="23" spans="1:14" x14ac:dyDescent="0.2">
      <c r="A23">
        <f>'BLE - Central'!B32</f>
        <v>14</v>
      </c>
      <c r="B23" t="str">
        <f ca="1">'BLE - Central'!C32</f>
        <v/>
      </c>
      <c r="C23" s="124">
        <f ca="1">'BLE - Central'!D32</f>
        <v>0</v>
      </c>
      <c r="D23" s="124">
        <f ca="1">'BLE - Central'!E32</f>
        <v>0</v>
      </c>
      <c r="E23" s="124">
        <f ca="1">'BLE - Central'!F32</f>
        <v>0</v>
      </c>
      <c r="K23" t="str">
        <f ca="1">B17</f>
        <v/>
      </c>
      <c r="L23">
        <f ca="1">C17+L21</f>
        <v>1280000</v>
      </c>
      <c r="M23">
        <f ca="1">D17</f>
        <v>0</v>
      </c>
      <c r="N23">
        <f ca="1">E17+N21</f>
        <v>3256388.0032799998</v>
      </c>
    </row>
    <row r="24" spans="1:14" x14ac:dyDescent="0.2">
      <c r="A24">
        <v>15</v>
      </c>
      <c r="B24" t="s">
        <v>99</v>
      </c>
      <c r="C24">
        <v>200</v>
      </c>
      <c r="D24">
        <v>0</v>
      </c>
      <c r="E24">
        <v>0</v>
      </c>
      <c r="L24">
        <f ca="1">L23</f>
        <v>1280000</v>
      </c>
      <c r="M24">
        <f ca="1">M25</f>
        <v>0</v>
      </c>
      <c r="N24">
        <f ca="1">N23</f>
        <v>3256388.0032799998</v>
      </c>
    </row>
    <row r="25" spans="1:14" x14ac:dyDescent="0.2">
      <c r="K25" t="str">
        <f ca="1">B18</f>
        <v/>
      </c>
      <c r="L25">
        <f ca="1">C18+L23</f>
        <v>1280000</v>
      </c>
      <c r="M25">
        <f ca="1">D18</f>
        <v>0</v>
      </c>
      <c r="N25">
        <f ca="1">E18+N23</f>
        <v>3256388.0032799998</v>
      </c>
    </row>
    <row r="26" spans="1:14" x14ac:dyDescent="0.2">
      <c r="L26">
        <f ca="1">L25</f>
        <v>1280000</v>
      </c>
      <c r="M26">
        <f ca="1">M27</f>
        <v>0</v>
      </c>
      <c r="N26">
        <f ca="1">N25</f>
        <v>3256388.0032799998</v>
      </c>
    </row>
    <row r="27" spans="1:14" x14ac:dyDescent="0.2">
      <c r="K27" t="str">
        <f ca="1">B19</f>
        <v/>
      </c>
      <c r="L27">
        <f ca="1">C19+L25</f>
        <v>1280000</v>
      </c>
      <c r="M27">
        <f ca="1">D19</f>
        <v>0</v>
      </c>
      <c r="N27">
        <f ca="1">E19+N25</f>
        <v>3256388.0032799998</v>
      </c>
    </row>
    <row r="28" spans="1:14" x14ac:dyDescent="0.2">
      <c r="L28">
        <f ca="1">L27</f>
        <v>1280000</v>
      </c>
      <c r="M28">
        <f ca="1">M29</f>
        <v>0</v>
      </c>
      <c r="N28">
        <f ca="1">N27</f>
        <v>3256388.0032799998</v>
      </c>
    </row>
    <row r="29" spans="1:14" x14ac:dyDescent="0.2">
      <c r="K29" t="str">
        <f ca="1">B20</f>
        <v/>
      </c>
      <c r="L29">
        <f ca="1">C20+L27</f>
        <v>1280000</v>
      </c>
      <c r="M29">
        <f ca="1">D20</f>
        <v>0</v>
      </c>
      <c r="N29">
        <f ca="1">E20+N27</f>
        <v>3256388.0032799998</v>
      </c>
    </row>
    <row r="30" spans="1:14" x14ac:dyDescent="0.2">
      <c r="L30">
        <f ca="1">L29</f>
        <v>1280000</v>
      </c>
      <c r="M30">
        <f ca="1">M31</f>
        <v>0</v>
      </c>
      <c r="N30">
        <f ca="1">N29</f>
        <v>3256388.0032799998</v>
      </c>
    </row>
    <row r="31" spans="1:14" x14ac:dyDescent="0.2">
      <c r="K31" t="str">
        <f ca="1">B21</f>
        <v/>
      </c>
      <c r="L31">
        <f ca="1">C21+L29</f>
        <v>1280000</v>
      </c>
      <c r="M31">
        <f ca="1">D21</f>
        <v>0</v>
      </c>
      <c r="N31">
        <f ca="1">E21+N29</f>
        <v>3256388.0032799998</v>
      </c>
    </row>
    <row r="32" spans="1:14" x14ac:dyDescent="0.2">
      <c r="L32">
        <f ca="1">L31</f>
        <v>1280000</v>
      </c>
      <c r="M32">
        <f ca="1">M33</f>
        <v>0</v>
      </c>
      <c r="N32">
        <f ca="1">N31</f>
        <v>3256388.0032799998</v>
      </c>
    </row>
    <row r="33" spans="1:14" x14ac:dyDescent="0.2">
      <c r="K33" t="str">
        <f ca="1">B22</f>
        <v/>
      </c>
      <c r="L33">
        <f ca="1">C22+L31</f>
        <v>1280000</v>
      </c>
      <c r="M33">
        <f ca="1">D22</f>
        <v>0</v>
      </c>
      <c r="N33">
        <f ca="1">E22+N31</f>
        <v>3256388.0032799998</v>
      </c>
    </row>
    <row r="34" spans="1:14" x14ac:dyDescent="0.2">
      <c r="L34">
        <f ca="1">L33</f>
        <v>1280000</v>
      </c>
      <c r="M34">
        <f ca="1">M35</f>
        <v>0</v>
      </c>
      <c r="N34">
        <f ca="1">N33</f>
        <v>3256388.0032799998</v>
      </c>
    </row>
    <row r="35" spans="1:14" x14ac:dyDescent="0.2">
      <c r="K35" t="str">
        <f ca="1">B23</f>
        <v/>
      </c>
      <c r="L35">
        <f ca="1">C23+L33</f>
        <v>1280000</v>
      </c>
      <c r="M35">
        <f ca="1">D23</f>
        <v>0</v>
      </c>
      <c r="N35">
        <f ca="1">E23+N33</f>
        <v>3256388.0032799998</v>
      </c>
    </row>
    <row r="36" spans="1:14" x14ac:dyDescent="0.2">
      <c r="L36">
        <f ca="1">L35</f>
        <v>1280000</v>
      </c>
      <c r="M36">
        <f>M37</f>
        <v>0</v>
      </c>
      <c r="N36">
        <f ca="1">N35+E24</f>
        <v>3256388.0032799998</v>
      </c>
    </row>
    <row r="37" spans="1:14" x14ac:dyDescent="0.2">
      <c r="L37">
        <f ca="1">C24+L35</f>
        <v>1280200</v>
      </c>
      <c r="M37">
        <f>D24</f>
        <v>0</v>
      </c>
      <c r="N37">
        <f ca="1">N36</f>
        <v>3256388.0032799998</v>
      </c>
    </row>
    <row r="40" spans="1:14" x14ac:dyDescent="0.2">
      <c r="B40" t="s">
        <v>97</v>
      </c>
    </row>
    <row r="41" spans="1:14" x14ac:dyDescent="0.2">
      <c r="M41" t="s">
        <v>74</v>
      </c>
      <c r="N41" t="s">
        <v>75</v>
      </c>
    </row>
    <row r="42" spans="1:14" x14ac:dyDescent="0.2">
      <c r="L42" t="str">
        <f>C46</f>
        <v>Time
[µs]</v>
      </c>
      <c r="M42" t="str">
        <f>D46</f>
        <v>Avg Current [mA]</v>
      </c>
      <c r="N42" t="str">
        <f>E46</f>
        <v>Energy [pAh]</v>
      </c>
    </row>
    <row r="43" spans="1:14" x14ac:dyDescent="0.2">
      <c r="L43">
        <v>-200</v>
      </c>
      <c r="M43">
        <v>0</v>
      </c>
      <c r="N43">
        <v>0</v>
      </c>
    </row>
    <row r="44" spans="1:14" x14ac:dyDescent="0.2">
      <c r="L44">
        <v>0</v>
      </c>
      <c r="M44">
        <v>0</v>
      </c>
      <c r="N44">
        <v>0</v>
      </c>
    </row>
    <row r="45" spans="1:14" x14ac:dyDescent="0.2">
      <c r="L45">
        <v>0</v>
      </c>
      <c r="M45">
        <f ca="1">M46</f>
        <v>3.1012666666666662</v>
      </c>
      <c r="N45">
        <v>0</v>
      </c>
    </row>
    <row r="46" spans="1:14" x14ac:dyDescent="0.2">
      <c r="C46" t="s">
        <v>24</v>
      </c>
      <c r="D46" t="s">
        <v>62</v>
      </c>
      <c r="E46" t="s">
        <v>73</v>
      </c>
      <c r="K46" t="str">
        <f ca="1">B47</f>
        <v>Wake Up &amp; Pre-processing</v>
      </c>
      <c r="L46">
        <f ca="1">C47</f>
        <v>1283.8888888888889</v>
      </c>
      <c r="M46">
        <f ca="1">D47</f>
        <v>3.1012666666666662</v>
      </c>
      <c r="N46">
        <f ca="1">E47</f>
        <v>3981.6818148148141</v>
      </c>
    </row>
    <row r="47" spans="1:14" x14ac:dyDescent="0.2">
      <c r="A47">
        <f>'BLE - Central'!I19</f>
        <v>1</v>
      </c>
      <c r="B47" t="str">
        <f ca="1">'BLE - Central'!J19</f>
        <v>Wake Up &amp; Pre-processing</v>
      </c>
      <c r="C47" s="124">
        <f ca="1">'BLE - Central'!K19</f>
        <v>1283.8888888888889</v>
      </c>
      <c r="D47" s="124">
        <f ca="1">'BLE - Central'!L19</f>
        <v>3.1012666666666662</v>
      </c>
      <c r="E47" s="124">
        <f ca="1">'BLE - Central'!M19</f>
        <v>3981.6818148148141</v>
      </c>
      <c r="L47">
        <f ca="1">L46</f>
        <v>1283.8888888888889</v>
      </c>
      <c r="M47">
        <f ca="1">M48</f>
        <v>3.5755222222222218</v>
      </c>
      <c r="N47">
        <f ca="1">N46</f>
        <v>3981.6818148148141</v>
      </c>
    </row>
    <row r="48" spans="1:14" x14ac:dyDescent="0.2">
      <c r="A48">
        <f>'BLE - Central'!I20</f>
        <v>2</v>
      </c>
      <c r="B48" t="str">
        <f ca="1">'BLE - Central'!J20</f>
        <v xml:space="preserve">Preparation for Tx </v>
      </c>
      <c r="C48" s="124">
        <f ca="1">'BLE - Central'!K20</f>
        <v>394.22222222222223</v>
      </c>
      <c r="D48" s="124">
        <f ca="1">'BLE - Central'!L20</f>
        <v>3.5755222222222218</v>
      </c>
      <c r="E48" s="124">
        <f ca="1">'BLE - Central'!M20</f>
        <v>1409.5503160493827</v>
      </c>
      <c r="K48" t="str">
        <f ca="1">B48</f>
        <v xml:space="preserve">Preparation for Tx </v>
      </c>
      <c r="L48">
        <f ca="1">C48+L46</f>
        <v>1678.1111111111111</v>
      </c>
      <c r="M48">
        <f ca="1">D48</f>
        <v>3.5755222222222218</v>
      </c>
      <c r="N48">
        <f ca="1">E48+N46</f>
        <v>5391.2321308641967</v>
      </c>
    </row>
    <row r="49" spans="1:14" x14ac:dyDescent="0.2">
      <c r="A49">
        <f>'BLE - Central'!I21</f>
        <v>3</v>
      </c>
      <c r="B49" t="str">
        <f ca="1">'BLE - Central'!J21</f>
        <v>Transmit (TX)</v>
      </c>
      <c r="C49" s="124">
        <f ca="1">'BLE - Central'!K21</f>
        <v>84.39</v>
      </c>
      <c r="D49" s="124">
        <f ca="1">'BLE - Central'!L21</f>
        <v>7.3402000000000003</v>
      </c>
      <c r="E49" s="124">
        <f ca="1">'BLE - Central'!M21</f>
        <v>619.43947800000001</v>
      </c>
      <c r="L49">
        <f ca="1">L48</f>
        <v>1678.1111111111111</v>
      </c>
      <c r="M49">
        <f ca="1">M50</f>
        <v>7.3402000000000003</v>
      </c>
      <c r="N49">
        <f ca="1">N48</f>
        <v>5391.2321308641967</v>
      </c>
    </row>
    <row r="50" spans="1:14" x14ac:dyDescent="0.2">
      <c r="A50">
        <f>'BLE - Central'!I22</f>
        <v>4</v>
      </c>
      <c r="B50" t="str">
        <f ca="1">'BLE - Central'!J22</f>
        <v>TX to RX transition</v>
      </c>
      <c r="C50" s="124">
        <f ca="1">'BLE - Central'!K22</f>
        <v>109.22222222222223</v>
      </c>
      <c r="D50" s="124">
        <f ca="1">'BLE - Central'!L22</f>
        <v>5.2093222222222222</v>
      </c>
      <c r="E50" s="124">
        <f ca="1">'BLE - Central'!M22</f>
        <v>568.97374938271605</v>
      </c>
      <c r="K50" t="str">
        <f ca="1">B49</f>
        <v>Transmit (TX)</v>
      </c>
      <c r="L50">
        <f ca="1">C49+L48</f>
        <v>1762.5011111111112</v>
      </c>
      <c r="M50">
        <f ca="1">D49</f>
        <v>7.3402000000000003</v>
      </c>
      <c r="N50">
        <f ca="1">E49+N48</f>
        <v>6010.671608864197</v>
      </c>
    </row>
    <row r="51" spans="1:14" x14ac:dyDescent="0.2">
      <c r="A51">
        <f>'BLE - Central'!I23</f>
        <v>5</v>
      </c>
      <c r="B51" t="str">
        <f ca="1">'BLE - Central'!J23</f>
        <v>Receive (RX)</v>
      </c>
      <c r="C51" s="124">
        <f ca="1">'BLE - Central'!K23</f>
        <v>461.33333333333331</v>
      </c>
      <c r="D51" s="124">
        <f ca="1">'BLE - Central'!L23</f>
        <v>6.6890999999999998</v>
      </c>
      <c r="E51" s="124">
        <f ca="1">'BLE - Central'!M23</f>
        <v>3085.9047999999998</v>
      </c>
      <c r="L51">
        <f ca="1">L50</f>
        <v>1762.5011111111112</v>
      </c>
      <c r="M51">
        <f ca="1">M52</f>
        <v>5.2093222222222222</v>
      </c>
      <c r="N51">
        <f ca="1">N50</f>
        <v>6010.671608864197</v>
      </c>
    </row>
    <row r="52" spans="1:14" x14ac:dyDescent="0.2">
      <c r="A52">
        <f>'BLE - Central'!I24</f>
        <v>6</v>
      </c>
      <c r="B52" t="str">
        <f ca="1">'BLE - Central'!J24</f>
        <v>Post-Processing</v>
      </c>
      <c r="C52" s="124">
        <f ca="1">'BLE - Central'!K24</f>
        <v>853.44444444444446</v>
      </c>
      <c r="D52" s="124">
        <f ca="1">'BLE - Central'!L24</f>
        <v>2.6242222222222225</v>
      </c>
      <c r="E52" s="124">
        <f ca="1">'BLE - Central'!M24</f>
        <v>2239.6278765432103</v>
      </c>
      <c r="K52" t="str">
        <f ca="1">B50</f>
        <v>TX to RX transition</v>
      </c>
      <c r="L52">
        <f ca="1">C50+L50</f>
        <v>1871.7233333333334</v>
      </c>
      <c r="M52">
        <f ca="1">D50</f>
        <v>5.2093222222222222</v>
      </c>
      <c r="N52">
        <f ca="1">E50+N50</f>
        <v>6579.645358246913</v>
      </c>
    </row>
    <row r="53" spans="1:14" x14ac:dyDescent="0.2">
      <c r="A53">
        <f>'BLE - Central'!I25</f>
        <v>7</v>
      </c>
      <c r="B53" t="str">
        <f ca="1">'BLE - Central'!J25</f>
        <v/>
      </c>
      <c r="C53" s="124">
        <f ca="1">'BLE - Central'!K25</f>
        <v>0</v>
      </c>
      <c r="D53" s="124">
        <f ca="1">'BLE - Central'!L25</f>
        <v>0</v>
      </c>
      <c r="E53" s="124">
        <f ca="1">'BLE - Central'!M25</f>
        <v>0</v>
      </c>
      <c r="L53">
        <f ca="1">L52</f>
        <v>1871.7233333333334</v>
      </c>
      <c r="M53">
        <f ca="1">M54</f>
        <v>6.6890999999999998</v>
      </c>
      <c r="N53">
        <f ca="1">N52</f>
        <v>6579.645358246913</v>
      </c>
    </row>
    <row r="54" spans="1:14" x14ac:dyDescent="0.2">
      <c r="A54">
        <f>'BLE - Central'!I26</f>
        <v>8</v>
      </c>
      <c r="B54" t="str">
        <f ca="1">'BLE - Central'!J26</f>
        <v/>
      </c>
      <c r="C54" s="124">
        <f ca="1">'BLE - Central'!K26</f>
        <v>0</v>
      </c>
      <c r="D54" s="124">
        <f ca="1">'BLE - Central'!L26</f>
        <v>0</v>
      </c>
      <c r="E54" s="124">
        <f ca="1">'BLE - Central'!M26</f>
        <v>0</v>
      </c>
      <c r="K54" t="str">
        <f ca="1">B51</f>
        <v>Receive (RX)</v>
      </c>
      <c r="L54">
        <f ca="1">C51+L52</f>
        <v>2333.0566666666668</v>
      </c>
      <c r="M54">
        <f ca="1">D51</f>
        <v>6.6890999999999998</v>
      </c>
      <c r="N54">
        <f ca="1">E51+N52</f>
        <v>9665.5501582469133</v>
      </c>
    </row>
    <row r="55" spans="1:14" x14ac:dyDescent="0.2">
      <c r="A55">
        <f>'BLE - Central'!I27</f>
        <v>9</v>
      </c>
      <c r="B55" t="str">
        <f ca="1">'BLE - Central'!J27</f>
        <v/>
      </c>
      <c r="C55" s="124">
        <f ca="1">'BLE - Central'!K27</f>
        <v>0</v>
      </c>
      <c r="D55" s="124">
        <f ca="1">'BLE - Central'!L27</f>
        <v>0</v>
      </c>
      <c r="E55" s="124">
        <f ca="1">'BLE - Central'!M27</f>
        <v>0</v>
      </c>
      <c r="L55">
        <f ca="1">L54</f>
        <v>2333.0566666666668</v>
      </c>
      <c r="M55">
        <f ca="1">M56</f>
        <v>2.6242222222222225</v>
      </c>
      <c r="N55">
        <f ca="1">N54</f>
        <v>9665.5501582469133</v>
      </c>
    </row>
    <row r="56" spans="1:14" x14ac:dyDescent="0.2">
      <c r="A56">
        <f>'BLE - Central'!I28</f>
        <v>10</v>
      </c>
      <c r="B56" t="str">
        <f ca="1">'BLE - Central'!J28</f>
        <v/>
      </c>
      <c r="C56" s="124">
        <f ca="1">'BLE - Central'!K28</f>
        <v>0</v>
      </c>
      <c r="D56" s="124">
        <f ca="1">'BLE - Central'!L28</f>
        <v>0</v>
      </c>
      <c r="E56" s="124">
        <f ca="1">'BLE - Central'!M28</f>
        <v>0</v>
      </c>
      <c r="K56" t="str">
        <f ca="1">B52</f>
        <v>Post-Processing</v>
      </c>
      <c r="L56">
        <f ca="1">C52+L54</f>
        <v>3186.5011111111112</v>
      </c>
      <c r="M56">
        <f ca="1">D52</f>
        <v>2.6242222222222225</v>
      </c>
      <c r="N56">
        <f ca="1">E52+N54</f>
        <v>11905.178034790124</v>
      </c>
    </row>
    <row r="57" spans="1:14" x14ac:dyDescent="0.2">
      <c r="A57">
        <f>'BLE - Central'!I29</f>
        <v>11</v>
      </c>
      <c r="B57" t="str">
        <f ca="1">'BLE - Central'!J29</f>
        <v/>
      </c>
      <c r="C57" s="124">
        <f ca="1">'BLE - Central'!K29</f>
        <v>0</v>
      </c>
      <c r="D57" s="124">
        <f ca="1">'BLE - Central'!L29</f>
        <v>0</v>
      </c>
      <c r="E57" s="124">
        <f ca="1">'BLE - Central'!M29</f>
        <v>0</v>
      </c>
      <c r="L57">
        <f ca="1">L56</f>
        <v>3186.5011111111112</v>
      </c>
      <c r="M57">
        <f ca="1">M58</f>
        <v>0</v>
      </c>
      <c r="N57">
        <f ca="1">N56</f>
        <v>11905.178034790124</v>
      </c>
    </row>
    <row r="58" spans="1:14" x14ac:dyDescent="0.2">
      <c r="A58">
        <f>'BLE - Central'!I30</f>
        <v>12</v>
      </c>
      <c r="B58" t="str">
        <f ca="1">'BLE - Central'!J30</f>
        <v/>
      </c>
      <c r="C58" s="124">
        <f ca="1">'BLE - Central'!K30</f>
        <v>0</v>
      </c>
      <c r="D58" s="124">
        <f ca="1">'BLE - Central'!L30</f>
        <v>0</v>
      </c>
      <c r="E58" s="124">
        <f ca="1">'BLE - Central'!M30</f>
        <v>0</v>
      </c>
      <c r="K58" t="str">
        <f ca="1">B53</f>
        <v/>
      </c>
      <c r="L58">
        <f ca="1">C53+L56</f>
        <v>3186.5011111111112</v>
      </c>
      <c r="M58">
        <f ca="1">D53</f>
        <v>0</v>
      </c>
      <c r="N58">
        <f ca="1">E53+N56</f>
        <v>11905.178034790124</v>
      </c>
    </row>
    <row r="59" spans="1:14" x14ac:dyDescent="0.2">
      <c r="A59">
        <f>'BLE - Central'!I31</f>
        <v>13</v>
      </c>
      <c r="B59" t="str">
        <f ca="1">'BLE - Central'!J31</f>
        <v/>
      </c>
      <c r="C59" s="124">
        <f ca="1">'BLE - Central'!K31</f>
        <v>0</v>
      </c>
      <c r="D59" s="124">
        <f ca="1">'BLE - Central'!L31</f>
        <v>0</v>
      </c>
      <c r="E59" s="124">
        <f ca="1">'BLE - Central'!M31</f>
        <v>0</v>
      </c>
      <c r="L59">
        <f ca="1">L58</f>
        <v>3186.5011111111112</v>
      </c>
      <c r="M59">
        <f ca="1">M60</f>
        <v>0</v>
      </c>
      <c r="N59">
        <f ca="1">N58</f>
        <v>11905.178034790124</v>
      </c>
    </row>
    <row r="60" spans="1:14" x14ac:dyDescent="0.2">
      <c r="A60">
        <f>'BLE - Central'!I32</f>
        <v>14</v>
      </c>
      <c r="B60" t="str">
        <f ca="1">'BLE - Central'!J32</f>
        <v/>
      </c>
      <c r="C60" s="124">
        <f ca="1">'BLE - Central'!K32</f>
        <v>0</v>
      </c>
      <c r="D60" s="124">
        <f ca="1">'BLE - Central'!L32</f>
        <v>0</v>
      </c>
      <c r="E60" s="124">
        <f ca="1">'BLE - Central'!M32</f>
        <v>0</v>
      </c>
      <c r="K60" t="str">
        <f ca="1">B54</f>
        <v/>
      </c>
      <c r="L60">
        <f ca="1">C54+L58</f>
        <v>3186.5011111111112</v>
      </c>
      <c r="M60">
        <f ca="1">D54</f>
        <v>0</v>
      </c>
      <c r="N60">
        <f ca="1">E54+N58</f>
        <v>11905.178034790124</v>
      </c>
    </row>
    <row r="61" spans="1:14" x14ac:dyDescent="0.2">
      <c r="A61">
        <v>15</v>
      </c>
      <c r="B61" t="s">
        <v>99</v>
      </c>
      <c r="C61">
        <v>200</v>
      </c>
      <c r="D61">
        <v>0</v>
      </c>
      <c r="E61">
        <v>0</v>
      </c>
      <c r="L61">
        <f ca="1">L60</f>
        <v>3186.5011111111112</v>
      </c>
      <c r="M61">
        <f ca="1">M62</f>
        <v>0</v>
      </c>
      <c r="N61">
        <f ca="1">N60</f>
        <v>11905.178034790124</v>
      </c>
    </row>
    <row r="62" spans="1:14" x14ac:dyDescent="0.2">
      <c r="K62" t="str">
        <f ca="1">B55</f>
        <v/>
      </c>
      <c r="L62">
        <f ca="1">C55+L60</f>
        <v>3186.5011111111112</v>
      </c>
      <c r="M62">
        <f ca="1">D55</f>
        <v>0</v>
      </c>
      <c r="N62">
        <f ca="1">E55+N60</f>
        <v>11905.178034790124</v>
      </c>
    </row>
    <row r="63" spans="1:14" x14ac:dyDescent="0.2">
      <c r="L63">
        <f ca="1">L62</f>
        <v>3186.5011111111112</v>
      </c>
      <c r="M63">
        <f ca="1">M64</f>
        <v>0</v>
      </c>
      <c r="N63">
        <f ca="1">N62</f>
        <v>11905.178034790124</v>
      </c>
    </row>
    <row r="64" spans="1:14" x14ac:dyDescent="0.2">
      <c r="K64" t="str">
        <f ca="1">B56</f>
        <v/>
      </c>
      <c r="L64">
        <f ca="1">C56+L62</f>
        <v>3186.5011111111112</v>
      </c>
      <c r="M64">
        <f ca="1">D56</f>
        <v>0</v>
      </c>
      <c r="N64">
        <f ca="1">E56+N62</f>
        <v>11905.178034790124</v>
      </c>
    </row>
    <row r="65" spans="2:14" x14ac:dyDescent="0.2">
      <c r="L65">
        <f ca="1">L64</f>
        <v>3186.5011111111112</v>
      </c>
      <c r="M65">
        <f ca="1">M66</f>
        <v>0</v>
      </c>
      <c r="N65">
        <f ca="1">N64</f>
        <v>11905.178034790124</v>
      </c>
    </row>
    <row r="66" spans="2:14" x14ac:dyDescent="0.2">
      <c r="K66" t="str">
        <f ca="1">B57</f>
        <v/>
      </c>
      <c r="L66">
        <f ca="1">C57+L64</f>
        <v>3186.5011111111112</v>
      </c>
      <c r="M66">
        <f ca="1">D57</f>
        <v>0</v>
      </c>
      <c r="N66">
        <f ca="1">E57+N64</f>
        <v>11905.178034790124</v>
      </c>
    </row>
    <row r="67" spans="2:14" x14ac:dyDescent="0.2">
      <c r="L67">
        <f ca="1">L66</f>
        <v>3186.5011111111112</v>
      </c>
      <c r="M67">
        <f ca="1">M68</f>
        <v>0</v>
      </c>
      <c r="N67">
        <f ca="1">N66</f>
        <v>11905.178034790124</v>
      </c>
    </row>
    <row r="68" spans="2:14" x14ac:dyDescent="0.2">
      <c r="K68" t="str">
        <f ca="1">B58</f>
        <v/>
      </c>
      <c r="L68">
        <f ca="1">C58+L66</f>
        <v>3186.5011111111112</v>
      </c>
      <c r="M68">
        <f ca="1">D58</f>
        <v>0</v>
      </c>
      <c r="N68">
        <f ca="1">E58+N66</f>
        <v>11905.178034790124</v>
      </c>
    </row>
    <row r="69" spans="2:14" x14ac:dyDescent="0.2">
      <c r="L69">
        <f ca="1">L68</f>
        <v>3186.5011111111112</v>
      </c>
      <c r="M69">
        <f ca="1">M70</f>
        <v>0</v>
      </c>
      <c r="N69">
        <f ca="1">N68</f>
        <v>11905.178034790124</v>
      </c>
    </row>
    <row r="70" spans="2:14" x14ac:dyDescent="0.2">
      <c r="K70" t="str">
        <f ca="1">B59</f>
        <v/>
      </c>
      <c r="L70">
        <f ca="1">C59+L68</f>
        <v>3186.5011111111112</v>
      </c>
      <c r="M70">
        <f ca="1">D59</f>
        <v>0</v>
      </c>
      <c r="N70">
        <f ca="1">E59+N68</f>
        <v>11905.178034790124</v>
      </c>
    </row>
    <row r="71" spans="2:14" x14ac:dyDescent="0.2">
      <c r="L71">
        <f ca="1">L70</f>
        <v>3186.5011111111112</v>
      </c>
      <c r="M71">
        <f ca="1">M72</f>
        <v>0</v>
      </c>
      <c r="N71">
        <f ca="1">N70</f>
        <v>11905.178034790124</v>
      </c>
    </row>
    <row r="72" spans="2:14" x14ac:dyDescent="0.2">
      <c r="K72" t="str">
        <f ca="1">B60</f>
        <v/>
      </c>
      <c r="L72">
        <f ca="1">C60+L70</f>
        <v>3186.5011111111112</v>
      </c>
      <c r="M72">
        <f ca="1">D60</f>
        <v>0</v>
      </c>
      <c r="N72">
        <f ca="1">E60+N70</f>
        <v>11905.178034790124</v>
      </c>
    </row>
    <row r="73" spans="2:14" x14ac:dyDescent="0.2">
      <c r="L73">
        <f ca="1">L72</f>
        <v>3186.5011111111112</v>
      </c>
      <c r="M73">
        <f>M74</f>
        <v>0</v>
      </c>
      <c r="N73">
        <f ca="1">N72+E61</f>
        <v>11905.178034790124</v>
      </c>
    </row>
    <row r="74" spans="2:14" x14ac:dyDescent="0.2">
      <c r="L74">
        <f ca="1">C61+L72</f>
        <v>3386.5011111111112</v>
      </c>
      <c r="M74">
        <f>D61</f>
        <v>0</v>
      </c>
      <c r="N74">
        <f ca="1">N73</f>
        <v>11905.178034790124</v>
      </c>
    </row>
    <row r="77" spans="2:14" x14ac:dyDescent="0.2">
      <c r="B77" t="s">
        <v>98</v>
      </c>
    </row>
    <row r="78" spans="2:14" x14ac:dyDescent="0.2">
      <c r="M78" t="s">
        <v>74</v>
      </c>
      <c r="N78" t="s">
        <v>75</v>
      </c>
    </row>
    <row r="79" spans="2:14" x14ac:dyDescent="0.2">
      <c r="L79" t="str">
        <f>C83</f>
        <v>Time
[µs]</v>
      </c>
      <c r="M79" t="str">
        <f>D83</f>
        <v>Avg Current [mA]</v>
      </c>
      <c r="N79" t="str">
        <f>E83</f>
        <v>Energy [pAh]</v>
      </c>
    </row>
    <row r="80" spans="2:14" x14ac:dyDescent="0.2">
      <c r="L80">
        <v>-200</v>
      </c>
      <c r="M80">
        <v>0</v>
      </c>
      <c r="N80">
        <v>0</v>
      </c>
    </row>
    <row r="81" spans="1:14" x14ac:dyDescent="0.2">
      <c r="L81">
        <v>0</v>
      </c>
      <c r="M81">
        <v>0</v>
      </c>
      <c r="N81">
        <v>0</v>
      </c>
    </row>
    <row r="82" spans="1:14" x14ac:dyDescent="0.2">
      <c r="L82">
        <v>0</v>
      </c>
      <c r="M82">
        <f ca="1">M83</f>
        <v>0</v>
      </c>
      <c r="N82">
        <v>0</v>
      </c>
    </row>
    <row r="83" spans="1:14" x14ac:dyDescent="0.2">
      <c r="C83" t="s">
        <v>24</v>
      </c>
      <c r="D83" t="s">
        <v>62</v>
      </c>
      <c r="E83" t="s">
        <v>73</v>
      </c>
      <c r="K83" t="str">
        <f ca="1">B84</f>
        <v/>
      </c>
      <c r="L83">
        <f ca="1">C84</f>
        <v>0</v>
      </c>
      <c r="M83">
        <f ca="1">D84</f>
        <v>0</v>
      </c>
      <c r="N83">
        <f ca="1">E84</f>
        <v>0</v>
      </c>
    </row>
    <row r="84" spans="1:14" x14ac:dyDescent="0.2">
      <c r="A84">
        <f>'BLE - Central'!P19</f>
        <v>1</v>
      </c>
      <c r="B84" t="str">
        <f ca="1">'BLE - Central'!Q19</f>
        <v/>
      </c>
      <c r="C84" s="124">
        <f ca="1">'BLE - Central'!R19</f>
        <v>0</v>
      </c>
      <c r="D84" s="124">
        <f ca="1">'BLE - Central'!S19</f>
        <v>0</v>
      </c>
      <c r="E84" s="124">
        <f ca="1">'BLE - Central'!T19</f>
        <v>0</v>
      </c>
      <c r="L84">
        <f ca="1">L83</f>
        <v>0</v>
      </c>
      <c r="M84">
        <f ca="1">M85</f>
        <v>0</v>
      </c>
      <c r="N84">
        <f ca="1">N83</f>
        <v>0</v>
      </c>
    </row>
    <row r="85" spans="1:14" x14ac:dyDescent="0.2">
      <c r="A85">
        <f>'BLE - Central'!P20</f>
        <v>2</v>
      </c>
      <c r="B85" t="str">
        <f ca="1">'BLE - Central'!Q20</f>
        <v/>
      </c>
      <c r="C85" s="124">
        <f ca="1">'BLE - Central'!R20</f>
        <v>0</v>
      </c>
      <c r="D85" s="124">
        <f ca="1">'BLE - Central'!S20</f>
        <v>0</v>
      </c>
      <c r="E85" s="124">
        <f ca="1">'BLE - Central'!T20</f>
        <v>0</v>
      </c>
      <c r="K85" t="str">
        <f ca="1">B85</f>
        <v/>
      </c>
      <c r="L85">
        <f ca="1">C85+L83</f>
        <v>0</v>
      </c>
      <c r="M85">
        <f ca="1">D85</f>
        <v>0</v>
      </c>
      <c r="N85">
        <f ca="1">E85+N83</f>
        <v>0</v>
      </c>
    </row>
    <row r="86" spans="1:14" x14ac:dyDescent="0.2">
      <c r="A86">
        <f>'BLE - Central'!P21</f>
        <v>3</v>
      </c>
      <c r="B86" t="str">
        <f ca="1">'BLE - Central'!Q21</f>
        <v/>
      </c>
      <c r="C86" s="124">
        <f ca="1">'BLE - Central'!R21</f>
        <v>0</v>
      </c>
      <c r="D86" s="124">
        <f ca="1">'BLE - Central'!S21</f>
        <v>0</v>
      </c>
      <c r="E86" s="124">
        <f ca="1">'BLE - Central'!T21</f>
        <v>0</v>
      </c>
      <c r="L86">
        <f ca="1">L85</f>
        <v>0</v>
      </c>
      <c r="M86">
        <f ca="1">M87</f>
        <v>0</v>
      </c>
      <c r="N86">
        <f ca="1">N85</f>
        <v>0</v>
      </c>
    </row>
    <row r="87" spans="1:14" x14ac:dyDescent="0.2">
      <c r="A87">
        <f>'BLE - Central'!P22</f>
        <v>4</v>
      </c>
      <c r="B87" t="str">
        <f ca="1">'BLE - Central'!Q22</f>
        <v/>
      </c>
      <c r="C87" s="124">
        <f ca="1">'BLE - Central'!R22</f>
        <v>0</v>
      </c>
      <c r="D87" s="124">
        <f ca="1">'BLE - Central'!S22</f>
        <v>0</v>
      </c>
      <c r="E87" s="124">
        <f ca="1">'BLE - Central'!T22</f>
        <v>0</v>
      </c>
      <c r="K87" t="str">
        <f ca="1">B86</f>
        <v/>
      </c>
      <c r="L87">
        <f ca="1">C86+L85</f>
        <v>0</v>
      </c>
      <c r="M87">
        <f ca="1">D86</f>
        <v>0</v>
      </c>
      <c r="N87">
        <f ca="1">E86+N85</f>
        <v>0</v>
      </c>
    </row>
    <row r="88" spans="1:14" x14ac:dyDescent="0.2">
      <c r="A88">
        <f>'BLE - Central'!P23</f>
        <v>5</v>
      </c>
      <c r="B88" t="str">
        <f ca="1">'BLE - Central'!Q23</f>
        <v/>
      </c>
      <c r="C88" s="124">
        <f ca="1">'BLE - Central'!R23</f>
        <v>0</v>
      </c>
      <c r="D88" s="124">
        <f ca="1">'BLE - Central'!S23</f>
        <v>0</v>
      </c>
      <c r="E88" s="124">
        <f ca="1">'BLE - Central'!T23</f>
        <v>0</v>
      </c>
      <c r="L88">
        <f ca="1">L87</f>
        <v>0</v>
      </c>
      <c r="M88">
        <f ca="1">M89</f>
        <v>0</v>
      </c>
      <c r="N88">
        <f ca="1">N87</f>
        <v>0</v>
      </c>
    </row>
    <row r="89" spans="1:14" x14ac:dyDescent="0.2">
      <c r="A89">
        <f>'BLE - Central'!P24</f>
        <v>6</v>
      </c>
      <c r="B89" t="str">
        <f ca="1">'BLE - Central'!Q24</f>
        <v/>
      </c>
      <c r="C89" s="124">
        <f ca="1">'BLE - Central'!R24</f>
        <v>0</v>
      </c>
      <c r="D89" s="124">
        <f ca="1">'BLE - Central'!S24</f>
        <v>0</v>
      </c>
      <c r="E89" s="124">
        <f ca="1">'BLE - Central'!T24</f>
        <v>0</v>
      </c>
      <c r="K89" t="str">
        <f ca="1">B87</f>
        <v/>
      </c>
      <c r="L89">
        <f ca="1">C87+L87</f>
        <v>0</v>
      </c>
      <c r="M89">
        <f ca="1">D87</f>
        <v>0</v>
      </c>
      <c r="N89">
        <f ca="1">E87+N87</f>
        <v>0</v>
      </c>
    </row>
    <row r="90" spans="1:14" x14ac:dyDescent="0.2">
      <c r="A90">
        <f>'BLE - Central'!P25</f>
        <v>7</v>
      </c>
      <c r="B90" t="str">
        <f ca="1">'BLE - Central'!Q25</f>
        <v/>
      </c>
      <c r="C90" s="124">
        <f ca="1">'BLE - Central'!R25</f>
        <v>0</v>
      </c>
      <c r="D90" s="124">
        <f ca="1">'BLE - Central'!S25</f>
        <v>0</v>
      </c>
      <c r="E90" s="124">
        <f ca="1">'BLE - Central'!T25</f>
        <v>0</v>
      </c>
      <c r="L90">
        <f ca="1">L89</f>
        <v>0</v>
      </c>
      <c r="M90">
        <f ca="1">M91</f>
        <v>0</v>
      </c>
      <c r="N90">
        <f ca="1">N89</f>
        <v>0</v>
      </c>
    </row>
    <row r="91" spans="1:14" x14ac:dyDescent="0.2">
      <c r="A91">
        <f>'BLE - Central'!P26</f>
        <v>8</v>
      </c>
      <c r="B91" t="str">
        <f ca="1">'BLE - Central'!Q26</f>
        <v/>
      </c>
      <c r="C91" s="124">
        <f ca="1">'BLE - Central'!R26</f>
        <v>0</v>
      </c>
      <c r="D91" s="124">
        <f ca="1">'BLE - Central'!S26</f>
        <v>0</v>
      </c>
      <c r="E91" s="124">
        <f ca="1">'BLE - Central'!T26</f>
        <v>0</v>
      </c>
      <c r="K91" t="str">
        <f ca="1">B88</f>
        <v/>
      </c>
      <c r="L91">
        <f ca="1">C88+L89</f>
        <v>0</v>
      </c>
      <c r="M91">
        <f ca="1">D88</f>
        <v>0</v>
      </c>
      <c r="N91">
        <f ca="1">E88+N89</f>
        <v>0</v>
      </c>
    </row>
    <row r="92" spans="1:14" x14ac:dyDescent="0.2">
      <c r="A92">
        <f>'BLE - Central'!P27</f>
        <v>9</v>
      </c>
      <c r="B92" t="str">
        <f ca="1">'BLE - Central'!Q27</f>
        <v/>
      </c>
      <c r="C92" s="124">
        <f ca="1">'BLE - Central'!R27</f>
        <v>0</v>
      </c>
      <c r="D92" s="124">
        <f ca="1">'BLE - Central'!S27</f>
        <v>0</v>
      </c>
      <c r="E92" s="124">
        <f ca="1">'BLE - Central'!T27</f>
        <v>0</v>
      </c>
      <c r="L92">
        <f ca="1">L91</f>
        <v>0</v>
      </c>
      <c r="M92">
        <f ca="1">M93</f>
        <v>0</v>
      </c>
      <c r="N92">
        <f ca="1">N91</f>
        <v>0</v>
      </c>
    </row>
    <row r="93" spans="1:14" x14ac:dyDescent="0.2">
      <c r="A93">
        <f>'BLE - Central'!P28</f>
        <v>10</v>
      </c>
      <c r="B93" t="str">
        <f ca="1">'BLE - Central'!Q28</f>
        <v/>
      </c>
      <c r="C93" s="124">
        <f ca="1">'BLE - Central'!R28</f>
        <v>0</v>
      </c>
      <c r="D93" s="124">
        <f ca="1">'BLE - Central'!S28</f>
        <v>0</v>
      </c>
      <c r="E93" s="124">
        <f ca="1">'BLE - Central'!T28</f>
        <v>0</v>
      </c>
      <c r="K93" t="str">
        <f ca="1">B89</f>
        <v/>
      </c>
      <c r="L93">
        <f ca="1">C89+L91</f>
        <v>0</v>
      </c>
      <c r="M93">
        <f ca="1">D89</f>
        <v>0</v>
      </c>
      <c r="N93">
        <f ca="1">E89+N91</f>
        <v>0</v>
      </c>
    </row>
    <row r="94" spans="1:14" x14ac:dyDescent="0.2">
      <c r="A94">
        <f>'BLE - Central'!P29</f>
        <v>11</v>
      </c>
      <c r="B94" t="str">
        <f ca="1">'BLE - Central'!Q29</f>
        <v/>
      </c>
      <c r="C94" s="124">
        <f ca="1">'BLE - Central'!R29</f>
        <v>0</v>
      </c>
      <c r="D94" s="124">
        <f ca="1">'BLE - Central'!S29</f>
        <v>0</v>
      </c>
      <c r="E94" s="124">
        <f ca="1">'BLE - Central'!T29</f>
        <v>0</v>
      </c>
      <c r="L94">
        <f ca="1">L93</f>
        <v>0</v>
      </c>
      <c r="M94">
        <f ca="1">M95</f>
        <v>0</v>
      </c>
      <c r="N94">
        <f ca="1">N93</f>
        <v>0</v>
      </c>
    </row>
    <row r="95" spans="1:14" x14ac:dyDescent="0.2">
      <c r="A95">
        <f>'BLE - Central'!P30</f>
        <v>12</v>
      </c>
      <c r="B95" t="str">
        <f ca="1">'BLE - Central'!Q30</f>
        <v/>
      </c>
      <c r="C95" s="124">
        <f ca="1">'BLE - Central'!R30</f>
        <v>0</v>
      </c>
      <c r="D95" s="124">
        <f ca="1">'BLE - Central'!S30</f>
        <v>0</v>
      </c>
      <c r="E95" s="124">
        <f ca="1">'BLE - Central'!T30</f>
        <v>0</v>
      </c>
      <c r="K95" t="str">
        <f ca="1">B90</f>
        <v/>
      </c>
      <c r="L95">
        <f ca="1">C90+L93</f>
        <v>0</v>
      </c>
      <c r="M95">
        <f ca="1">D90</f>
        <v>0</v>
      </c>
      <c r="N95">
        <f ca="1">E90+N93</f>
        <v>0</v>
      </c>
    </row>
    <row r="96" spans="1:14" x14ac:dyDescent="0.2">
      <c r="A96">
        <f>'BLE - Central'!P31</f>
        <v>13</v>
      </c>
      <c r="B96" t="str">
        <f ca="1">'BLE - Central'!Q31</f>
        <v/>
      </c>
      <c r="C96" s="124">
        <f ca="1">'BLE - Central'!R31</f>
        <v>0</v>
      </c>
      <c r="D96" s="124">
        <f ca="1">'BLE - Central'!S31</f>
        <v>0</v>
      </c>
      <c r="E96" s="124">
        <f ca="1">'BLE - Central'!T31</f>
        <v>0</v>
      </c>
      <c r="L96">
        <f ca="1">L95</f>
        <v>0</v>
      </c>
      <c r="M96">
        <f ca="1">M97</f>
        <v>0</v>
      </c>
      <c r="N96">
        <f ca="1">N95</f>
        <v>0</v>
      </c>
    </row>
    <row r="97" spans="1:14" x14ac:dyDescent="0.2">
      <c r="A97">
        <f>'BLE - Central'!P32</f>
        <v>14</v>
      </c>
      <c r="B97" t="str">
        <f ca="1">'BLE - Central'!Q32</f>
        <v/>
      </c>
      <c r="C97" s="124">
        <f ca="1">'BLE - Central'!R32</f>
        <v>0</v>
      </c>
      <c r="D97" s="124">
        <f ca="1">'BLE - Central'!S32</f>
        <v>0</v>
      </c>
      <c r="E97" s="124">
        <f ca="1">'BLE - Central'!T32</f>
        <v>0</v>
      </c>
      <c r="K97" t="str">
        <f ca="1">B91</f>
        <v/>
      </c>
      <c r="L97">
        <f ca="1">C91+L95</f>
        <v>0</v>
      </c>
      <c r="M97">
        <f ca="1">D91</f>
        <v>0</v>
      </c>
      <c r="N97">
        <f ca="1">E91+N95</f>
        <v>0</v>
      </c>
    </row>
    <row r="98" spans="1:14" x14ac:dyDescent="0.2">
      <c r="A98">
        <v>15</v>
      </c>
      <c r="B98" t="s">
        <v>99</v>
      </c>
      <c r="C98">
        <v>200</v>
      </c>
      <c r="D98">
        <v>0</v>
      </c>
      <c r="E98">
        <v>0</v>
      </c>
      <c r="L98">
        <f ca="1">L97</f>
        <v>0</v>
      </c>
      <c r="M98">
        <f ca="1">M99</f>
        <v>0</v>
      </c>
      <c r="N98">
        <f ca="1">N97</f>
        <v>0</v>
      </c>
    </row>
    <row r="99" spans="1:14" x14ac:dyDescent="0.2">
      <c r="K99" t="str">
        <f ca="1">B92</f>
        <v/>
      </c>
      <c r="L99">
        <f ca="1">C92+L97</f>
        <v>0</v>
      </c>
      <c r="M99">
        <f ca="1">D92</f>
        <v>0</v>
      </c>
      <c r="N99">
        <f ca="1">E92+N97</f>
        <v>0</v>
      </c>
    </row>
    <row r="100" spans="1:14" x14ac:dyDescent="0.2">
      <c r="L100">
        <f ca="1">L99</f>
        <v>0</v>
      </c>
      <c r="M100">
        <f ca="1">M101</f>
        <v>0</v>
      </c>
      <c r="N100">
        <f ca="1">N99</f>
        <v>0</v>
      </c>
    </row>
    <row r="101" spans="1:14" x14ac:dyDescent="0.2">
      <c r="K101" t="str">
        <f ca="1">B93</f>
        <v/>
      </c>
      <c r="L101">
        <f ca="1">C93+L99</f>
        <v>0</v>
      </c>
      <c r="M101">
        <f ca="1">D93</f>
        <v>0</v>
      </c>
      <c r="N101">
        <f ca="1">E93+N99</f>
        <v>0</v>
      </c>
    </row>
    <row r="102" spans="1:14" x14ac:dyDescent="0.2">
      <c r="L102">
        <f ca="1">L101</f>
        <v>0</v>
      </c>
      <c r="M102">
        <f ca="1">M103</f>
        <v>0</v>
      </c>
      <c r="N102">
        <f ca="1">N101</f>
        <v>0</v>
      </c>
    </row>
    <row r="103" spans="1:14" x14ac:dyDescent="0.2">
      <c r="K103" t="str">
        <f ca="1">B94</f>
        <v/>
      </c>
      <c r="L103">
        <f ca="1">C94+L101</f>
        <v>0</v>
      </c>
      <c r="M103">
        <f ca="1">D94</f>
        <v>0</v>
      </c>
      <c r="N103">
        <f ca="1">E94+N101</f>
        <v>0</v>
      </c>
    </row>
    <row r="104" spans="1:14" x14ac:dyDescent="0.2">
      <c r="L104">
        <f ca="1">L103</f>
        <v>0</v>
      </c>
      <c r="M104">
        <f ca="1">M105</f>
        <v>0</v>
      </c>
      <c r="N104">
        <f ca="1">N103</f>
        <v>0</v>
      </c>
    </row>
    <row r="105" spans="1:14" x14ac:dyDescent="0.2">
      <c r="K105" t="str">
        <f ca="1">B95</f>
        <v/>
      </c>
      <c r="L105">
        <f ca="1">C95+L103</f>
        <v>0</v>
      </c>
      <c r="M105">
        <f ca="1">D95</f>
        <v>0</v>
      </c>
      <c r="N105">
        <f ca="1">E95+N103</f>
        <v>0</v>
      </c>
    </row>
    <row r="106" spans="1:14" x14ac:dyDescent="0.2">
      <c r="L106">
        <f ca="1">L105</f>
        <v>0</v>
      </c>
      <c r="M106">
        <f ca="1">M107</f>
        <v>0</v>
      </c>
      <c r="N106">
        <f ca="1">N105</f>
        <v>0</v>
      </c>
    </row>
    <row r="107" spans="1:14" x14ac:dyDescent="0.2">
      <c r="K107" t="str">
        <f ca="1">B96</f>
        <v/>
      </c>
      <c r="L107">
        <f ca="1">C96+L105</f>
        <v>0</v>
      </c>
      <c r="M107">
        <f ca="1">D96</f>
        <v>0</v>
      </c>
      <c r="N107">
        <f ca="1">E96+N105</f>
        <v>0</v>
      </c>
    </row>
    <row r="108" spans="1:14" x14ac:dyDescent="0.2">
      <c r="L108">
        <f ca="1">L107</f>
        <v>0</v>
      </c>
      <c r="M108">
        <f ca="1">M109</f>
        <v>0</v>
      </c>
      <c r="N108">
        <f ca="1">N107</f>
        <v>0</v>
      </c>
    </row>
    <row r="109" spans="1:14" x14ac:dyDescent="0.2">
      <c r="K109" t="str">
        <f ca="1">B97</f>
        <v/>
      </c>
      <c r="L109">
        <f ca="1">C97+L107</f>
        <v>0</v>
      </c>
      <c r="M109">
        <f ca="1">D97</f>
        <v>0</v>
      </c>
      <c r="N109">
        <f ca="1">E97+N107</f>
        <v>0</v>
      </c>
    </row>
    <row r="110" spans="1:14" x14ac:dyDescent="0.2">
      <c r="L110">
        <f ca="1">L109</f>
        <v>0</v>
      </c>
      <c r="M110">
        <f>M111</f>
        <v>0</v>
      </c>
      <c r="N110">
        <f ca="1">N109+E98</f>
        <v>0</v>
      </c>
    </row>
    <row r="111" spans="1:14" x14ac:dyDescent="0.2">
      <c r="L111">
        <f ca="1">C98+L109</f>
        <v>200</v>
      </c>
      <c r="M111">
        <f>D98</f>
        <v>0</v>
      </c>
      <c r="N111">
        <f ca="1">N110</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29"/>
  <sheetViews>
    <sheetView workbookViewId="0">
      <selection activeCell="C25" sqref="C25"/>
    </sheetView>
  </sheetViews>
  <sheetFormatPr defaultRowHeight="12.75" x14ac:dyDescent="0.2"/>
  <cols>
    <col min="1" max="1" width="19.7109375" customWidth="1"/>
    <col min="2" max="2" width="24.85546875" customWidth="1"/>
    <col min="3" max="3" width="31.7109375" customWidth="1"/>
    <col min="4" max="4" width="30.7109375" customWidth="1"/>
    <col min="5" max="5" width="30.5703125" customWidth="1"/>
    <col min="6" max="6" width="21.42578125" bestFit="1" customWidth="1"/>
  </cols>
  <sheetData>
    <row r="1" spans="1:6" x14ac:dyDescent="0.2">
      <c r="A1" t="s">
        <v>85</v>
      </c>
    </row>
    <row r="3" spans="1:6" x14ac:dyDescent="0.2">
      <c r="C3" s="209" t="s">
        <v>0</v>
      </c>
      <c r="D3" s="209"/>
      <c r="E3" s="209"/>
    </row>
    <row r="4" spans="1:6" x14ac:dyDescent="0.2">
      <c r="C4" s="5">
        <v>0</v>
      </c>
      <c r="D4" s="5">
        <f>'Input arguments'!$A$2</f>
        <v>3.6</v>
      </c>
      <c r="E4" s="5">
        <f>'Input arguments'!$A$3</f>
        <v>3</v>
      </c>
      <c r="F4" s="5">
        <f>'Input arguments'!$A$4</f>
        <v>1.8</v>
      </c>
    </row>
    <row r="5" spans="1:6" x14ac:dyDescent="0.2">
      <c r="A5" s="208" t="s">
        <v>84</v>
      </c>
      <c r="B5" t="str">
        <f>'Input arguments'!I2</f>
        <v>None</v>
      </c>
      <c r="C5" t="s">
        <v>86</v>
      </c>
      <c r="D5" t="s">
        <v>86</v>
      </c>
      <c r="E5" t="s">
        <v>86</v>
      </c>
      <c r="F5" t="s">
        <v>86</v>
      </c>
    </row>
    <row r="6" spans="1:6" x14ac:dyDescent="0.2">
      <c r="A6" s="208"/>
      <c r="B6" t="str">
        <f>'Input arguments'!I3</f>
        <v>Scanning</v>
      </c>
      <c r="C6" t="s">
        <v>86</v>
      </c>
      <c r="D6" s="1" t="s">
        <v>126</v>
      </c>
      <c r="E6" t="s">
        <v>119</v>
      </c>
      <c r="F6" s="1" t="s">
        <v>127</v>
      </c>
    </row>
    <row r="7" spans="1:6" x14ac:dyDescent="0.2">
      <c r="A7" s="208"/>
      <c r="B7" t="str">
        <f>'Input arguments'!I4</f>
        <v>Connected as Central</v>
      </c>
      <c r="C7" t="s">
        <v>86</v>
      </c>
      <c r="D7" s="1" t="s">
        <v>131</v>
      </c>
      <c r="E7" s="1" t="s">
        <v>130</v>
      </c>
      <c r="F7" s="1" t="s">
        <v>132</v>
      </c>
    </row>
    <row r="8" spans="1:6" x14ac:dyDescent="0.2">
      <c r="A8" s="208"/>
      <c r="B8">
        <f>'Input arguments'!I5</f>
        <v>0</v>
      </c>
      <c r="C8" t="s">
        <v>86</v>
      </c>
    </row>
    <row r="9" spans="1:6" x14ac:dyDescent="0.2">
      <c r="A9" s="208"/>
      <c r="B9">
        <f>'Input arguments'!I6</f>
        <v>0</v>
      </c>
      <c r="C9" t="s">
        <v>86</v>
      </c>
    </row>
    <row r="10" spans="1:6" x14ac:dyDescent="0.2">
      <c r="A10" s="208"/>
      <c r="B10">
        <f>'Input arguments'!I7</f>
        <v>0</v>
      </c>
      <c r="C10" t="s">
        <v>86</v>
      </c>
    </row>
    <row r="11" spans="1:6" x14ac:dyDescent="0.2">
      <c r="A11" s="208"/>
      <c r="B11">
        <f>'Input arguments'!I8</f>
        <v>0</v>
      </c>
      <c r="C11" t="s">
        <v>86</v>
      </c>
    </row>
    <row r="16" spans="1:6" ht="15" x14ac:dyDescent="0.25">
      <c r="B16" s="109" t="s">
        <v>96</v>
      </c>
      <c r="C16" s="109" t="str">
        <f>'BLE - Central'!C16</f>
        <v>Scanning</v>
      </c>
    </row>
    <row r="17" spans="2:3" ht="15" x14ac:dyDescent="0.25">
      <c r="B17" s="109" t="s">
        <v>90</v>
      </c>
      <c r="C17" s="109">
        <f>IF('BLE - Central'!$D$3=$D$4,COLUMN($D$4), IF('BLE - Central'!$D$3=$E$4, COLUMN($E$4), IF('BLE - Central'!$D$3=$F$4, COLUMN($F$4), COLUMN($C$4))))</f>
        <v>5</v>
      </c>
    </row>
    <row r="18" spans="2:3" ht="15" x14ac:dyDescent="0.25">
      <c r="B18" s="109" t="s">
        <v>91</v>
      </c>
      <c r="C18" s="109">
        <f>IF(C16=$B$6,ROW($B$6),IF(C16=$B$7,ROW($B$7),IF(C16=$B$8,ROW($B$8),IF(C16=$B$9,ROW($B$9),IF(C16=$B$10,ROW($B$10),IF(C16=$B$11,ROW($B$11),ROW($B$5)))))))</f>
        <v>6</v>
      </c>
    </row>
    <row r="19" spans="2:3" ht="15" x14ac:dyDescent="0.25">
      <c r="B19" t="s">
        <v>87</v>
      </c>
      <c r="C19" s="108" t="str">
        <f ca="1">INDIRECT(ADDRESS(C18,C17))</f>
        <v>3V_Scanning</v>
      </c>
    </row>
    <row r="21" spans="2:3" ht="15" x14ac:dyDescent="0.25">
      <c r="B21" s="109" t="s">
        <v>97</v>
      </c>
      <c r="C21" s="109" t="str">
        <f>'BLE - Central'!J16</f>
        <v>Connected as Central</v>
      </c>
    </row>
    <row r="22" spans="2:3" ht="15" x14ac:dyDescent="0.25">
      <c r="B22" s="109" t="s">
        <v>92</v>
      </c>
      <c r="C22" s="109">
        <f>IF('BLE - Central'!$D$3=$D$4,COLUMN($D$4), IF('BLE - Central'!$D$3=$E$4, COLUMN($E$4), IF('BLE - Central'!$D$3=$F$4, COLUMN($F$4), COLUMN($C$4))))</f>
        <v>5</v>
      </c>
    </row>
    <row r="23" spans="2:3" ht="15" x14ac:dyDescent="0.25">
      <c r="B23" s="109" t="s">
        <v>93</v>
      </c>
      <c r="C23" s="109">
        <f>IF(C21=$B$6,ROW($B$6),IF(C21=$B$7,ROW($B$7),IF(C21=$B$8,ROW($B$8),IF(C21=$B$9,ROW($B$9),IF(C21=$B$10,ROW($B$10),IF(C21=$B$11,ROW($B$11),ROW($B$5)))))))</f>
        <v>7</v>
      </c>
    </row>
    <row r="24" spans="2:3" ht="15" x14ac:dyDescent="0.25">
      <c r="B24" t="s">
        <v>88</v>
      </c>
      <c r="C24" s="108" t="str">
        <f ca="1">INDIRECT(ADDRESS(C23,C22))</f>
        <v>3V_ConnectedCentral</v>
      </c>
    </row>
    <row r="26" spans="2:3" ht="15" x14ac:dyDescent="0.25">
      <c r="B26" s="109" t="s">
        <v>98</v>
      </c>
      <c r="C26" s="109" t="str">
        <f>'BLE - Central'!Q16</f>
        <v>None</v>
      </c>
    </row>
    <row r="27" spans="2:3" ht="15" x14ac:dyDescent="0.25">
      <c r="B27" s="109" t="s">
        <v>94</v>
      </c>
      <c r="C27" s="109">
        <f>IF('BLE - Central'!$D$3=$D$4,COLUMN($D$4), IF('BLE - Central'!$D$3=$E$4, COLUMN($E$4), IF('BLE - Central'!$D$3=$F$4, COLUMN($F$4), COLUMN($C$4))))</f>
        <v>5</v>
      </c>
    </row>
    <row r="28" spans="2:3" ht="15" x14ac:dyDescent="0.25">
      <c r="B28" s="109" t="s">
        <v>95</v>
      </c>
      <c r="C28" s="109">
        <f>IF(C26=$B$6,ROW($B$6),IF(C26=$B$7,ROW($B$7),IF(C26=$B$8,ROW($B$8),IF(C26=$B$9,ROW($B$9),IF(C26=$B$10,ROW($B$10),IF(C26=$B$11,ROW($B$11),ROW($B$5)))))))</f>
        <v>5</v>
      </c>
    </row>
    <row r="29" spans="2:3" ht="15" x14ac:dyDescent="0.25">
      <c r="B29" t="s">
        <v>89</v>
      </c>
      <c r="C29" s="108" t="str">
        <f ca="1">INDIRECT(ADDRESS(C28,C27))</f>
        <v>0V_None</v>
      </c>
    </row>
  </sheetData>
  <mergeCells count="2">
    <mergeCell ref="C3:E3"/>
    <mergeCell ref="A5:A1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2:P5"/>
  <sheetViews>
    <sheetView showGridLines="0" showRowColHeaders="0" zoomScale="115" zoomScaleNormal="115" workbookViewId="0"/>
  </sheetViews>
  <sheetFormatPr defaultRowHeight="12.75" x14ac:dyDescent="0.2"/>
  <cols>
    <col min="1" max="1" width="5.42578125" customWidth="1"/>
    <col min="2" max="2" width="7.140625" customWidth="1"/>
    <col min="3" max="3" width="19" customWidth="1"/>
  </cols>
  <sheetData>
    <row r="2" spans="1:16" ht="15.75" customHeight="1" x14ac:dyDescent="0.2">
      <c r="A2" s="210" t="s">
        <v>159</v>
      </c>
      <c r="B2" s="210"/>
      <c r="C2" s="210"/>
      <c r="D2" s="210"/>
      <c r="E2" s="210"/>
      <c r="F2" s="210"/>
      <c r="G2" s="210"/>
      <c r="H2" s="210"/>
      <c r="I2" s="210"/>
      <c r="J2" s="210"/>
      <c r="K2" s="210"/>
      <c r="L2" s="210"/>
      <c r="M2" s="210"/>
      <c r="N2" s="210"/>
      <c r="O2" s="210"/>
      <c r="P2" s="210"/>
    </row>
    <row r="3" spans="1:16" ht="174.75" customHeight="1" x14ac:dyDescent="0.2">
      <c r="B3" s="204" t="s">
        <v>160</v>
      </c>
      <c r="C3" s="204"/>
      <c r="D3" s="204"/>
      <c r="E3" s="204"/>
      <c r="F3" s="204"/>
      <c r="G3" s="204"/>
      <c r="H3" s="204"/>
      <c r="I3" s="204"/>
      <c r="J3" s="204"/>
      <c r="K3" s="204"/>
      <c r="L3" s="204"/>
      <c r="M3" s="204"/>
      <c r="N3" s="204"/>
      <c r="O3" s="204"/>
      <c r="P3" s="204"/>
    </row>
    <row r="4" spans="1:16" ht="18.75" customHeight="1" x14ac:dyDescent="0.2">
      <c r="A4" s="210" t="s">
        <v>161</v>
      </c>
      <c r="B4" s="210"/>
      <c r="C4" s="210"/>
      <c r="D4" s="210"/>
      <c r="E4" s="210"/>
      <c r="F4" s="210"/>
      <c r="G4" s="210"/>
      <c r="H4" s="210"/>
      <c r="I4" s="210"/>
      <c r="J4" s="210"/>
      <c r="K4" s="210"/>
      <c r="L4" s="210"/>
      <c r="M4" s="210"/>
      <c r="N4" s="210"/>
      <c r="O4" s="210"/>
      <c r="P4" s="210"/>
    </row>
    <row r="5" spans="1:16" ht="272.25" customHeight="1" x14ac:dyDescent="0.2">
      <c r="B5" s="204" t="s">
        <v>162</v>
      </c>
      <c r="C5" s="204"/>
      <c r="D5" s="204"/>
      <c r="E5" s="204"/>
      <c r="F5" s="204"/>
      <c r="G5" s="204"/>
      <c r="H5" s="204"/>
      <c r="I5" s="204"/>
      <c r="J5" s="204"/>
      <c r="K5" s="204"/>
      <c r="L5" s="204"/>
      <c r="M5" s="204"/>
      <c r="N5" s="204"/>
      <c r="O5" s="204"/>
      <c r="P5" s="204"/>
    </row>
  </sheetData>
  <mergeCells count="4">
    <mergeCell ref="B5:P5"/>
    <mergeCell ref="B3:P3"/>
    <mergeCell ref="A2:P2"/>
    <mergeCell ref="A4:P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FA8F31-FA9D-4CEF-9B9C-B24607AD2334}">
  <ds:schemaRefs>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7DC16A9-8B2D-4DC6-A7D6-A11830016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7848DF3-7BC9-4969-83A3-F10F3650AC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README</vt:lpstr>
      <vt:lpstr>BLE - Peripheral</vt:lpstr>
      <vt:lpstr>BLE - Central</vt:lpstr>
      <vt:lpstr>Input arguments</vt:lpstr>
      <vt:lpstr>0V_None</vt:lpstr>
      <vt:lpstr>LegacyAdvertisement</vt:lpstr>
      <vt:lpstr>ConnectedPeriph</vt:lpstr>
      <vt:lpstr>legadv_evk_data</vt:lpstr>
      <vt:lpstr>connec_evk_data</vt:lpstr>
      <vt:lpstr>legadv_wlp_data</vt:lpstr>
      <vt:lpstr>connec_wlp_data</vt:lpstr>
      <vt:lpstr>3V_Scanning</vt:lpstr>
      <vt:lpstr>3p6V_Scanning</vt:lpstr>
      <vt:lpstr>1p8V_Scanning</vt:lpstr>
      <vt:lpstr>3V_ConnectedCentral</vt:lpstr>
      <vt:lpstr>1p8V_ConnectedCentral</vt:lpstr>
      <vt:lpstr>3p6V_ConnectedCentral</vt:lpstr>
      <vt:lpstr>Notes</vt:lpstr>
      <vt:lpstr>DataSourceSelection - Periph</vt:lpstr>
      <vt:lpstr>DataForDisplay - Peripheral</vt:lpstr>
      <vt:lpstr>DataForDisplay - Central</vt:lpstr>
      <vt:lpstr>DataSourceSelection - Central</vt:lpstr>
      <vt:lpstr>Guide lines to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Kamath, Sandeep</dc:creator>
  <cp:lastModifiedBy>Victor Levi</cp:lastModifiedBy>
  <cp:lastPrinted>2019-04-16T07:54:21Z</cp:lastPrinted>
  <dcterms:created xsi:type="dcterms:W3CDTF">1996-10-14T23:33:28Z</dcterms:created>
  <dcterms:modified xsi:type="dcterms:W3CDTF">2023-03-15T13:13:37Z</dcterms:modified>
</cp:coreProperties>
</file>