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  <sheet state="visible" name="prctice duplicate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<sst xmlns="http://schemas.openxmlformats.org/spreadsheetml/2006/main" count="4004" uniqueCount="2217">
  <si>
    <t>id</t>
  </si>
  <si>
    <t>name</t>
  </si>
  <si>
    <t>rating</t>
  </si>
  <si>
    <t>address</t>
  </si>
  <si>
    <t>city</t>
  </si>
  <si>
    <t>latitude</t>
  </si>
  <si>
    <t>longitude</t>
  </si>
  <si>
    <t>99 Tea House Fremont 2</t>
  </si>
  <si>
    <t>3623 Thornton Ave</t>
  </si>
  <si>
    <t>Fremont</t>
  </si>
  <si>
    <t>One Tea Fremont 2 One</t>
  </si>
  <si>
    <t>46809 Warm Springs Blvd</t>
  </si>
  <si>
    <t>Royaltea Usa Fremont</t>
  </si>
  <si>
    <t>38509 Fremont Blvd</t>
  </si>
  <si>
    <t>Teco Tea And Coffee Bar Fremont</t>
  </si>
  <si>
    <t>39030 Paseo Padre Pkwy</t>
  </si>
  <si>
    <t>T Lab Fremont 3</t>
  </si>
  <si>
    <t>34133 Fremont Blvd</t>
  </si>
  <si>
    <t>Q Tea Monster Newark</t>
  </si>
  <si>
    <t>39181 Cedar Blvd</t>
  </si>
  <si>
    <t>Newark</t>
  </si>
  <si>
    <t>Gong Cha Fremont</t>
  </si>
  <si>
    <t>46827 Warm Springs Blvd</t>
  </si>
  <si>
    <t>Happy Lemon Fremont 2</t>
  </si>
  <si>
    <t>46873 Warm Spring Blvd</t>
  </si>
  <si>
    <t>Factory Tea Bar Fremont 2</t>
  </si>
  <si>
    <t>46461 Mission Blvd</t>
  </si>
  <si>
    <t>Super Cue Cafe Fremont</t>
  </si>
  <si>
    <t>43743 Boscell Rd</t>
  </si>
  <si>
    <t>Milk And Honey Cafe Fremont</t>
  </si>
  <si>
    <t>34265 Fremont Blvd</t>
  </si>
  <si>
    <t>Tea Island Fremont 2</t>
  </si>
  <si>
    <t>46196 Warm Springs Blvd</t>
  </si>
  <si>
    <t>Taro Taro Dessert And Tea House Fremont</t>
  </si>
  <si>
    <t>6018 Stevenson Blvd</t>
  </si>
  <si>
    <t>I Tea Fremont 2</t>
  </si>
  <si>
    <t>43421 Christy St</t>
  </si>
  <si>
    <t>I Tea Newark</t>
  </si>
  <si>
    <t>34925 Newark Blvd</t>
  </si>
  <si>
    <t>Sharetea Fremont 2</t>
  </si>
  <si>
    <t>3948 Washington Blvd</t>
  </si>
  <si>
    <t>Urbain Tea Fremont</t>
  </si>
  <si>
    <t>1590 Washington Blvd</t>
  </si>
  <si>
    <t>Mandro Teahouse Newark 3</t>
  </si>
  <si>
    <t>34956 Newark Blvd</t>
  </si>
  <si>
    <t>Gong Cha Newark</t>
  </si>
  <si>
    <t>39730 Cedar Blvd</t>
  </si>
  <si>
    <t>Tea Six Fremont 2</t>
  </si>
  <si>
    <t>34460 Fremont Blvd</t>
  </si>
  <si>
    <t>Tata Teahouse Fremont 2</t>
  </si>
  <si>
    <t>39230 Argonaut Way</t>
  </si>
  <si>
    <t>Tea Station Newark</t>
  </si>
  <si>
    <t>39115 Cedar Blvd</t>
  </si>
  <si>
    <t>Sno Crave Tea House Fremont</t>
  </si>
  <si>
    <t>43773 Boscell Rd</t>
  </si>
  <si>
    <t>Boba Queen Fremont</t>
  </si>
  <si>
    <t>34420 Fremont Blvd</t>
  </si>
  <si>
    <t>T4 Tea Fremont 2</t>
  </si>
  <si>
    <t>43430 Mission Blvd</t>
  </si>
  <si>
    <t>Boba Fitt Drinks Union City</t>
  </si>
  <si>
    <t>31877 Alvarado Blvd</t>
  </si>
  <si>
    <t>Union City</t>
  </si>
  <si>
    <t>Sweet Home Cafe Fremont 2</t>
  </si>
  <si>
    <t>6068 Stevenson Blvd</t>
  </si>
  <si>
    <t>Tea Era Mountain View 2</t>
  </si>
  <si>
    <t>271 Castro St</t>
  </si>
  <si>
    <t>Mountain View</t>
  </si>
  <si>
    <t>Teaspoon Los Altos</t>
  </si>
  <si>
    <t>4546 El Camino Real</t>
  </si>
  <si>
    <t>Los Altos</t>
  </si>
  <si>
    <t>T4 Fremont 8</t>
  </si>
  <si>
    <t>46132 Warm Springs Blvd</t>
  </si>
  <si>
    <t>My Delights Fremont</t>
  </si>
  <si>
    <t>43486 Ellsworth St</t>
  </si>
  <si>
    <t>T4 Fremont 3</t>
  </si>
  <si>
    <t>36400 Fremont Blvd</t>
  </si>
  <si>
    <t>Sno Crave Teahouse Union City</t>
  </si>
  <si>
    <t>1788 Decoto Rd</t>
  </si>
  <si>
    <t>Sharetea Union City 3</t>
  </si>
  <si>
    <t>34391 Alvarado Niles Rd</t>
  </si>
  <si>
    <t>Tastea San Jose 2</t>
  </si>
  <si>
    <t>1160 N Capitol Ave</t>
  </si>
  <si>
    <t>San Jose</t>
  </si>
  <si>
    <t>I Tea Castro Valley</t>
  </si>
  <si>
    <t>20666 Redwood Rd</t>
  </si>
  <si>
    <t>Castro Valley</t>
  </si>
  <si>
    <t>Caface Newark 2</t>
  </si>
  <si>
    <t>6180 Jarvis Ave</t>
  </si>
  <si>
    <t>Tea Villa Milpitas</t>
  </si>
  <si>
    <t>1679 N Milpitas Blvd</t>
  </si>
  <si>
    <t>Milpitas</t>
  </si>
  <si>
    <t>Mr Green Bubble Union City</t>
  </si>
  <si>
    <t>1644 Decoto Rd</t>
  </si>
  <si>
    <t>Pop Tea Bar Palo Alto 2</t>
  </si>
  <si>
    <t>456 Cambridge Ave</t>
  </si>
  <si>
    <t>Palo Alto</t>
  </si>
  <si>
    <t>I Tea Milpitas</t>
  </si>
  <si>
    <t>760 E Calaveras Blvd</t>
  </si>
  <si>
    <t>Joy 4 Tea Union City</t>
  </si>
  <si>
    <t>32148 Alvarado Blvd</t>
  </si>
  <si>
    <t>Sweet Coco Fremont 3</t>
  </si>
  <si>
    <t>46164 Warm Springs Blvd</t>
  </si>
  <si>
    <t>Icy Blue Fremont</t>
  </si>
  <si>
    <t>43360 Mission Blvd</t>
  </si>
  <si>
    <t>Teatop Milpitas</t>
  </si>
  <si>
    <t>82 Ranch Dr</t>
  </si>
  <si>
    <t>Ten Ren Tea Co Of Milpitas Milpitas</t>
  </si>
  <si>
    <t>1732 N Milpitas Blvd</t>
  </si>
  <si>
    <t>Fantasia Coffee And Tea Milpitas 2</t>
  </si>
  <si>
    <t>528 Barber Ln</t>
  </si>
  <si>
    <t>Tapioca Express Union City 2</t>
  </si>
  <si>
    <t>1707 Decoto Rd</t>
  </si>
  <si>
    <t>Gong Cha Palo Alto</t>
  </si>
  <si>
    <t>439 Waverley St</t>
  </si>
  <si>
    <t>Sharetea San Leandro 3</t>
  </si>
  <si>
    <t>699 Lewelling Blvd</t>
  </si>
  <si>
    <t>San Leandro</t>
  </si>
  <si>
    <t>Boba Guys San Francisco 6</t>
  </si>
  <si>
    <t>429 Stockton St</t>
  </si>
  <si>
    <t>San Francisco</t>
  </si>
  <si>
    <t>Boba Guys San Francisco 4</t>
  </si>
  <si>
    <t>3491 19th St</t>
  </si>
  <si>
    <t>Wonderful Dessert And Cafe San Francisco 2</t>
  </si>
  <si>
    <t>2035 Irving St</t>
  </si>
  <si>
    <t>Little Sweet San Francisco 10</t>
  </si>
  <si>
    <t>3836 Geary Blvd</t>
  </si>
  <si>
    <t>Teaspoon San Francisco</t>
  </si>
  <si>
    <t>2125 Polk St</t>
  </si>
  <si>
    <t>Boba Guys San Francisco 10</t>
  </si>
  <si>
    <t>1522 Fillmore St</t>
  </si>
  <si>
    <t>I Tea San Francisco 3</t>
  </si>
  <si>
    <t>253 Kearny St</t>
  </si>
  <si>
    <t>Boba Guys San Francisco 7</t>
  </si>
  <si>
    <t>8 Octavia St</t>
  </si>
  <si>
    <t>Plentea San Francisco San Francisco</t>
  </si>
  <si>
    <t>341 Kearny St</t>
  </si>
  <si>
    <t>Steap Tea Bar San Francisco 3</t>
  </si>
  <si>
    <t>827 Sacramento St</t>
  </si>
  <si>
    <t>Purple Kow San Francisco 2</t>
  </si>
  <si>
    <t>3620 Balboa St</t>
  </si>
  <si>
    <t>Omg Tea San Francisco</t>
  </si>
  <si>
    <t>2891 San Bruno Ave</t>
  </si>
  <si>
    <t>Asha Tea House San Francisco</t>
  </si>
  <si>
    <t>17 Kearny St</t>
  </si>
  <si>
    <t>Super Cue Cafe San Francisco</t>
  </si>
  <si>
    <t>1139 Taraval St</t>
  </si>
  <si>
    <t>Boba Guys San Francisco 15</t>
  </si>
  <si>
    <t>1002 16th St</t>
  </si>
  <si>
    <t>Infinitea San Francisco</t>
  </si>
  <si>
    <t>5351 Geary Blvd</t>
  </si>
  <si>
    <t>Steep San Francisco 2</t>
  </si>
  <si>
    <t>240 Ritch St</t>
  </si>
  <si>
    <t>Mr T Cafe San Francisco</t>
  </si>
  <si>
    <t>4689 Mission St</t>
  </si>
  <si>
    <t>Tpumps San Francisco</t>
  </si>
  <si>
    <t>1916 Irving St</t>
  </si>
  <si>
    <t>Tj Cups San Francisco 5</t>
  </si>
  <si>
    <t>2437 Noriega St</t>
  </si>
  <si>
    <t>Wondertea San Francisco 4</t>
  </si>
  <si>
    <t>2250 Irving St</t>
  </si>
  <si>
    <t>The Boba Shop San Francisco 4</t>
  </si>
  <si>
    <t>2071 3rd St</t>
  </si>
  <si>
    <t>Steep Creamery And Tea San Francisco</t>
  </si>
  <si>
    <t>270 Brannan St</t>
  </si>
  <si>
    <t>Bubblecup San Francisco 2</t>
  </si>
  <si>
    <t>1900 Clement St</t>
  </si>
  <si>
    <t>Sweet A Little San Francisco 12</t>
  </si>
  <si>
    <t>Tea Hut San Francisco 2</t>
  </si>
  <si>
    <t>2815 California St</t>
  </si>
  <si>
    <t>I Tea San Francisco 2</t>
  </si>
  <si>
    <t>2150 Irving St</t>
  </si>
  <si>
    <t>Tancca San Francisco 3</t>
  </si>
  <si>
    <t>5015 Geary Blvd</t>
  </si>
  <si>
    <t>Sharetea San Francisco 3</t>
  </si>
  <si>
    <t>135 4th St</t>
  </si>
  <si>
    <t>Mi Tea San Francisco</t>
  </si>
  <si>
    <t>645 Irving St</t>
  </si>
  <si>
    <t>Bb Tea Station San Francisco 3</t>
  </si>
  <si>
    <t>1314 Noriega St</t>
  </si>
  <si>
    <t>Tea Fm San Francisco 3</t>
  </si>
  <si>
    <t>1353 Taraval St</t>
  </si>
  <si>
    <t>Keep It San Francisco 6</t>
  </si>
  <si>
    <t>1170 Powell St</t>
  </si>
  <si>
    <t>Mr And Mrs Tea House San Francisco</t>
  </si>
  <si>
    <t>544 Clement</t>
  </si>
  <si>
    <t>E Tea San Francisco</t>
  </si>
  <si>
    <t>5344 Geary Blvd</t>
  </si>
  <si>
    <t>Gosu San Francisco</t>
  </si>
  <si>
    <t>1014 Clement St</t>
  </si>
  <si>
    <t>Homeplate Boba San Francisco</t>
  </si>
  <si>
    <t>131-155 King St</t>
  </si>
  <si>
    <t>Cuppa San Francisco</t>
  </si>
  <si>
    <t>2810 Diamond St</t>
  </si>
  <si>
    <t>Super Cue Cafe San Francisco 2</t>
  </si>
  <si>
    <t>1330 Ocean Ave</t>
  </si>
  <si>
    <t>Puppy Bobar San Francisco</t>
  </si>
  <si>
    <t>1142 Grant Ave</t>
  </si>
  <si>
    <t>Cool Tea Bar San Francisco 4</t>
  </si>
  <si>
    <t>103 Waverly Pl</t>
  </si>
  <si>
    <t>Little Heaven Deli San Francisco</t>
  </si>
  <si>
    <t>2348 Mission St</t>
  </si>
  <si>
    <t>5 Sweets San Francisco</t>
  </si>
  <si>
    <t>1125 Ocean Ave 102</t>
  </si>
  <si>
    <t>Good Earth Cafe San Francisco 2</t>
  </si>
  <si>
    <t>835 Kearny St</t>
  </si>
  <si>
    <t>Sweethut San Francisco</t>
  </si>
  <si>
    <t>519 Clement St</t>
  </si>
  <si>
    <t>Frostea Daly City 2</t>
  </si>
  <si>
    <t>6178 Mission St</t>
  </si>
  <si>
    <t>Daly City</t>
  </si>
  <si>
    <t>Teaone San Francisco 5</t>
  </si>
  <si>
    <t>5336 Geary Blvd</t>
  </si>
  <si>
    <t>Fifty Fifty Coffee And Tea San Francisco</t>
  </si>
  <si>
    <t>3157 Geary Blvd</t>
  </si>
  <si>
    <t>Honey Creme And Tea San Francisco</t>
  </si>
  <si>
    <t>839 Irving St</t>
  </si>
  <si>
    <t>Bambu San Francisco 3</t>
  </si>
  <si>
    <t>6050 Geary Blvd</t>
  </si>
  <si>
    <t>I Tea Oakland</t>
  </si>
  <si>
    <t>388 9th St</t>
  </si>
  <si>
    <t>Oakland</t>
  </si>
  <si>
    <t>Mr Green Bubble Oakland</t>
  </si>
  <si>
    <t>4299 Piedmont Ave</t>
  </si>
  <si>
    <t>T And Bowl Oakland</t>
  </si>
  <si>
    <t>901 Franklin St</t>
  </si>
  <si>
    <t>U Cha Berkeley</t>
  </si>
  <si>
    <t>2199 Bancroft Way</t>
  </si>
  <si>
    <t>Berkeley</t>
  </si>
  <si>
    <t>The Sweet Booth Oakland</t>
  </si>
  <si>
    <t>Asha Tea House Berkeley</t>
  </si>
  <si>
    <t>2086 University Ave</t>
  </si>
  <si>
    <t>I Tea Alameda</t>
  </si>
  <si>
    <t>1626 Park St</t>
  </si>
  <si>
    <t>Alameda</t>
  </si>
  <si>
    <t>T4 Oakland</t>
  </si>
  <si>
    <t>1068 Webster St</t>
  </si>
  <si>
    <t>Wing Man Oakland 3</t>
  </si>
  <si>
    <t>5295 College Ave</t>
  </si>
  <si>
    <t>Sharetea Berkeley</t>
  </si>
  <si>
    <t>2440 Bancroft Way</t>
  </si>
  <si>
    <t>Happy Lemon Berkeley Berkeley</t>
  </si>
  <si>
    <t>2106 Shattuck Ave</t>
  </si>
  <si>
    <t>Milk Tea Lab Pleasant Hill</t>
  </si>
  <si>
    <t>1972 Contra Costa Blvd</t>
  </si>
  <si>
    <t>Pleasant Hill</t>
  </si>
  <si>
    <t>Boba Ninja Berkeley</t>
  </si>
  <si>
    <t>2519B Durant Ave</t>
  </si>
  <si>
    <t>Sharetea Alameda 4</t>
  </si>
  <si>
    <t>2670 5th St</t>
  </si>
  <si>
    <t>Purple Kow Berkeley 2</t>
  </si>
  <si>
    <t>2164 Center St</t>
  </si>
  <si>
    <t>Teaway Alameda</t>
  </si>
  <si>
    <t>2402 Central Ave</t>
  </si>
  <si>
    <t>I Tea Walnut Creek 3</t>
  </si>
  <si>
    <t>1245 N Broadway</t>
  </si>
  <si>
    <t>Walnut Creek</t>
  </si>
  <si>
    <t>Sweetheart Cafe Oakland</t>
  </si>
  <si>
    <t>315 9th St</t>
  </si>
  <si>
    <t>Gelato Firenze And Qtea Bar Oakland</t>
  </si>
  <si>
    <t>478 Lake Park Ave</t>
  </si>
  <si>
    <t>Tea Delight Alameda 2</t>
  </si>
  <si>
    <t>650 Central Ave</t>
  </si>
  <si>
    <t>Quickly Oakland 4</t>
  </si>
  <si>
    <t>1243 33rd Ave</t>
  </si>
  <si>
    <t>I Tea San Leandro 2</t>
  </si>
  <si>
    <t>177 Pelton Ctr Way</t>
  </si>
  <si>
    <t>50 Tea Oakland</t>
  </si>
  <si>
    <t>1004 Webster St</t>
  </si>
  <si>
    <t>Tea Press Berkeley 2</t>
  </si>
  <si>
    <t>2552 Bancroft Way</t>
  </si>
  <si>
    <t>Taiwan Bento Oakland 4</t>
  </si>
  <si>
    <t>412 22nd St</t>
  </si>
  <si>
    <t>U Tea Cafe Oakland</t>
  </si>
  <si>
    <t>1728 A Franklin St</t>
  </si>
  <si>
    <t>T4 Alameda 2</t>
  </si>
  <si>
    <t>1431 A Park St</t>
  </si>
  <si>
    <t>Teazzert Alameda</t>
  </si>
  <si>
    <t>1342 Park St</t>
  </si>
  <si>
    <t>Qteabar Oakland</t>
  </si>
  <si>
    <t>The Burrow Brisbane 4</t>
  </si>
  <si>
    <t>109 Visitacion</t>
  </si>
  <si>
    <t>Brisbane</t>
  </si>
  <si>
    <t>Sweet Belly Oakland</t>
  </si>
  <si>
    <t>435 19th St</t>
  </si>
  <si>
    <t>Sancha Bar Oakland 3</t>
  </si>
  <si>
    <t>251 9th St</t>
  </si>
  <si>
    <t>Alice Street Bakery Café Oakland 2</t>
  </si>
  <si>
    <t>251 10th St</t>
  </si>
  <si>
    <t>T4 San Leandro</t>
  </si>
  <si>
    <t>1443 E 14th St</t>
  </si>
  <si>
    <t>Quickly Oakland 5</t>
  </si>
  <si>
    <t>3306 Lakeshore Ave</t>
  </si>
  <si>
    <t>Bubble Tea Share Time Berkeley</t>
  </si>
  <si>
    <t>1938 Shattuck Ave</t>
  </si>
  <si>
    <t>Shooting Star Cafe Oakland</t>
  </si>
  <si>
    <t>1022 Webster St</t>
  </si>
  <si>
    <t>Pekoe San Jose</t>
  </si>
  <si>
    <t>3276 S White Rd</t>
  </si>
  <si>
    <t>Tea Lyfe Drinks San Jose 3</t>
  </si>
  <si>
    <t>989 Story Rd</t>
  </si>
  <si>
    <t>Teahee San Jose</t>
  </si>
  <si>
    <t>979 Story Rd</t>
  </si>
  <si>
    <t>Boba Pub San Jose</t>
  </si>
  <si>
    <t>1576 Branham Ln</t>
  </si>
  <si>
    <t>Teaspoon San Jose 2</t>
  </si>
  <si>
    <t>4328 Moorpark Ave</t>
  </si>
  <si>
    <t>Passion T Snacks And Desserts San Jose</t>
  </si>
  <si>
    <t>2266 Senter Rd</t>
  </si>
  <si>
    <t>Pop Up Tea Coffee And Snacks San Jose</t>
  </si>
  <si>
    <t>185 Branham Ln</t>
  </si>
  <si>
    <t>Happy Lemon San Jose 5</t>
  </si>
  <si>
    <t>3005 Silver Creek Rd</t>
  </si>
  <si>
    <t>Boba Bar San Jose 3</t>
  </si>
  <si>
    <t>310 S 3rd St</t>
  </si>
  <si>
    <t>Sinceretea San Jose 2</t>
  </si>
  <si>
    <t>392 E Taylor St</t>
  </si>
  <si>
    <t>Bobateani San Jose</t>
  </si>
  <si>
    <t>75 E Santa Clara St</t>
  </si>
  <si>
    <t>Soyful Desserts San Jose 2</t>
  </si>
  <si>
    <t>999 Story Rd</t>
  </si>
  <si>
    <t>One Tea San Jose 4</t>
  </si>
  <si>
    <t>231 E Santa Clara St</t>
  </si>
  <si>
    <t>I Tea San Jose</t>
  </si>
  <si>
    <t>2936 Aborn Square Rd</t>
  </si>
  <si>
    <t>The Tea Zone And Fruit Bar San Jose</t>
  </si>
  <si>
    <t>980 S Winchester Blvd</t>
  </si>
  <si>
    <t>Createave Cafe San Jose 4</t>
  </si>
  <si>
    <t>1698 Hostetter Rd</t>
  </si>
  <si>
    <t>Tleaf Teapresso San Jose 3</t>
  </si>
  <si>
    <t>860 Blossom Hill Rd</t>
  </si>
  <si>
    <t>Katea San Jose</t>
  </si>
  <si>
    <t>5700 Village Oaks Dr</t>
  </si>
  <si>
    <t>Teatop San Jose 2</t>
  </si>
  <si>
    <t>6158 Bollinger Rd</t>
  </si>
  <si>
    <t>Bubbly San Jose 4</t>
  </si>
  <si>
    <t>1816 Tully Rd</t>
  </si>
  <si>
    <t>Vampire Penguin Featuring Jastea San Jose</t>
  </si>
  <si>
    <t>2671 Cropley Ave</t>
  </si>
  <si>
    <t>Simply Boba San Jose</t>
  </si>
  <si>
    <t>Happy Lemon Cupertino</t>
  </si>
  <si>
    <t>20488 Stevens Creek Blvd</t>
  </si>
  <si>
    <t>Cupertino</t>
  </si>
  <si>
    <t>Amor Cafe And Tea San Jose</t>
  </si>
  <si>
    <t>110 E San Fernando St</t>
  </si>
  <si>
    <t>Shincha Tea San Jose 3</t>
  </si>
  <si>
    <t>2487 Alvin Ave</t>
  </si>
  <si>
    <t>Sharetea Santa Clara 3</t>
  </si>
  <si>
    <t>1171 Homestead Rd</t>
  </si>
  <si>
    <t>Santa Clara</t>
  </si>
  <si>
    <t>Chatime San Jose San Jose 3</t>
  </si>
  <si>
    <t>311 N Capitol Ave</t>
  </si>
  <si>
    <t>Pure Tea Bar San Jose</t>
  </si>
  <si>
    <t>6195 Santa Teresa Blvd</t>
  </si>
  <si>
    <t>T Spot Boba Drinks And Snacks San Jose</t>
  </si>
  <si>
    <t>2520 Berryessa Rd</t>
  </si>
  <si>
    <t>Meow Tea San Jose</t>
  </si>
  <si>
    <t>2857 Senter Rd</t>
  </si>
  <si>
    <t>Fantasia Coffee And Tea San Jose 4</t>
  </si>
  <si>
    <t>378 Santana Row</t>
  </si>
  <si>
    <t>Monster Boba Cupertino 3</t>
  </si>
  <si>
    <t>10787 S Blaney Ave</t>
  </si>
  <si>
    <t>Teasociety San Jose</t>
  </si>
  <si>
    <t>1658 E Capitol Expy</t>
  </si>
  <si>
    <t>Bfresh Snacks And Drinks San Jose</t>
  </si>
  <si>
    <t>Beibay Tea San Jose</t>
  </si>
  <si>
    <t>1180 Blossom Hill Rd</t>
  </si>
  <si>
    <t>Gong Cha San Jose 19</t>
  </si>
  <si>
    <t>1701 Lundy Ave</t>
  </si>
  <si>
    <t>Sweet Gelato Tea Lounge San Jose</t>
  </si>
  <si>
    <t>Sharetea San Jose 3</t>
  </si>
  <si>
    <t>1728 Hostetter Rd</t>
  </si>
  <si>
    <t>Gong Cha San Jose 8</t>
  </si>
  <si>
    <t>1600 Saratoga Ave</t>
  </si>
  <si>
    <t>Soyful Desserts San Jose 8</t>
  </si>
  <si>
    <t>Oooh San Jose 4</t>
  </si>
  <si>
    <t>1783 E Capitol Expwy</t>
  </si>
  <si>
    <t>The Tea Zone Lounge San Jose</t>
  </si>
  <si>
    <t>403 N Capitol Ave</t>
  </si>
  <si>
    <t>The Moo Bar Santa Clara</t>
  </si>
  <si>
    <t>1080 Kiely Blvd</t>
  </si>
  <si>
    <t>Tapioca Express San Jose 8</t>
  </si>
  <si>
    <t>81 Curtner Ave</t>
  </si>
  <si>
    <t>Purple Kow San Jose 4</t>
  </si>
  <si>
    <t>2435 S King Rd</t>
  </si>
  <si>
    <t>Heritage Eats Napa</t>
  </si>
  <si>
    <t>3824 Bel Aire Plz</t>
  </si>
  <si>
    <t>Napa</t>
  </si>
  <si>
    <t>Yobelle Napa 2</t>
  </si>
  <si>
    <t>1000 Main St</t>
  </si>
  <si>
    <t>Morimoto Napa Napa</t>
  </si>
  <si>
    <t>610 Main St</t>
  </si>
  <si>
    <t>Napa Noodles Napa</t>
  </si>
  <si>
    <t>1124 1st St</t>
  </si>
  <si>
    <t>Crave Cafe And Catering American Canyon</t>
  </si>
  <si>
    <t>3419 Broadway St</t>
  </si>
  <si>
    <t>American Canyon</t>
  </si>
  <si>
    <t>Quickly American Canyon 3</t>
  </si>
  <si>
    <t>410 Napa Junction Rd</t>
  </si>
  <si>
    <t>Top That Frozen Yogurt Sonoma</t>
  </si>
  <si>
    <t>531 Broadway Ave</t>
  </si>
  <si>
    <t>Sonoma</t>
  </si>
  <si>
    <t>Over The Top Shop Frozen Yogurt American Canyon</t>
  </si>
  <si>
    <t>5075 Main St</t>
  </si>
  <si>
    <t>Sushi Grill Vallejo</t>
  </si>
  <si>
    <t>5184 Sonoma Blvd</t>
  </si>
  <si>
    <t>Vallejo</t>
  </si>
  <si>
    <t>Palm Thai Bistro Fairfield</t>
  </si>
  <si>
    <t>5089 Business Center Dr</t>
  </si>
  <si>
    <t>Fairfield</t>
  </si>
  <si>
    <t>Green Bamboo Restaurant Fairfield</t>
  </si>
  <si>
    <t>4437 Central Pl</t>
  </si>
  <si>
    <t>Thai Kitchen American Canyon</t>
  </si>
  <si>
    <t>3425 Broadway St</t>
  </si>
  <si>
    <t>Sactomofo Sacramento 6</t>
  </si>
  <si>
    <t>Sacramento</t>
  </si>
  <si>
    <t>Westea Pleasanton</t>
  </si>
  <si>
    <t>4233 Rosewood Dr</t>
  </si>
  <si>
    <t>Pleasanton</t>
  </si>
  <si>
    <t>Baotea Cafe Pleasanton 2</t>
  </si>
  <si>
    <t>6654 Koll Center Pkwy</t>
  </si>
  <si>
    <t>I Tea Dublin Dublin</t>
  </si>
  <si>
    <t>4064 Grafton St</t>
  </si>
  <si>
    <t>Dublin</t>
  </si>
  <si>
    <t>Aroma Tapioca Tea And Coffee Pleasanton</t>
  </si>
  <si>
    <t>4833 Hopyard Rd</t>
  </si>
  <si>
    <t>I Tea Pleasanton</t>
  </si>
  <si>
    <t>915 Main St</t>
  </si>
  <si>
    <t>T4 Dublin</t>
  </si>
  <si>
    <t>3744 Fallon Rd</t>
  </si>
  <si>
    <t>Tea Factory Dublin 2</t>
  </si>
  <si>
    <t>8945 San Ramon Rd</t>
  </si>
  <si>
    <t>Icicles Pleasanton</t>
  </si>
  <si>
    <t>600 Main St</t>
  </si>
  <si>
    <t>Sharetea Dublin 3</t>
  </si>
  <si>
    <t>7375 Amador Valley Blvd</t>
  </si>
  <si>
    <t>Cafe Tapioca Dublin</t>
  </si>
  <si>
    <t>7160 Regional St</t>
  </si>
  <si>
    <t>Quickly Pleasanton</t>
  </si>
  <si>
    <t>1 Stoneridge Mall Rd</t>
  </si>
  <si>
    <t>Letea Pleasanton 2</t>
  </si>
  <si>
    <t>4299 Rosewood Dr</t>
  </si>
  <si>
    <t>Tea Breeze Pleasanton</t>
  </si>
  <si>
    <t>4275 Rosewood Dr</t>
  </si>
  <si>
    <t>360 Crepes Pleasanton 3</t>
  </si>
  <si>
    <t>3120 Santa Rita Rd</t>
  </si>
  <si>
    <t>T4 San Ramon 2</t>
  </si>
  <si>
    <t>9140 Alcosta Blvd</t>
  </si>
  <si>
    <t>San Ramon</t>
  </si>
  <si>
    <t>I Tea San Ramon 3</t>
  </si>
  <si>
    <t>21001 San Ramon Valley Blvd</t>
  </si>
  <si>
    <t>Snowflake Dublin</t>
  </si>
  <si>
    <t>4288 Dublin Blvd</t>
  </si>
  <si>
    <t>Quickly Dublin</t>
  </si>
  <si>
    <t>Cafe Taiwan Pleasanton 9</t>
  </si>
  <si>
    <t>3550 Stanley Blvd</t>
  </si>
  <si>
    <t>Cafe Junction Pleasanton 3</t>
  </si>
  <si>
    <t>5321 Hopyard Rd</t>
  </si>
  <si>
    <t>O Honey Dublin</t>
  </si>
  <si>
    <t>3862 Fallon Rd</t>
  </si>
  <si>
    <t>The Mix Creamery Dublin 2</t>
  </si>
  <si>
    <t>6601 Dublin Blvd</t>
  </si>
  <si>
    <t>Tasty Pot Dublin</t>
  </si>
  <si>
    <t>Ohana Hawaiian Bbq Of Pleasanton Pleasanton</t>
  </si>
  <si>
    <t>5410 Sunol Blvd</t>
  </si>
  <si>
    <t>99 Ranch Market Pleasanton</t>
  </si>
  <si>
    <t>Menchies Frozen Yogurt Dublin</t>
  </si>
  <si>
    <t>3742 Fallon Rd</t>
  </si>
  <si>
    <t>Blossom Bee Dublin</t>
  </si>
  <si>
    <t>7335 Village Pkwy</t>
  </si>
  <si>
    <t>Berry Delight Pleasanton</t>
  </si>
  <si>
    <t>1008 Stoneridge Mall Rd</t>
  </si>
  <si>
    <t>New Thai Bistro Pleasanton 2</t>
  </si>
  <si>
    <t>4301 D Valley Ave</t>
  </si>
  <si>
    <t>Tutti Frutti Frozen Yogurt Dublin</t>
  </si>
  <si>
    <t>4930 Dublin Blvd</t>
  </si>
  <si>
    <t>Kee Wah Bakery Dublin</t>
  </si>
  <si>
    <t>Blush Organic Frozen Yogurt Dublin</t>
  </si>
  <si>
    <t>4640 Tassajara Rd</t>
  </si>
  <si>
    <t>Koi Palace Dublin</t>
  </si>
  <si>
    <t>Ulferts Ctr</t>
  </si>
  <si>
    <t>Berry And Berry Yogurt Livermore</t>
  </si>
  <si>
    <t>2774 Livermore Outlets Dr</t>
  </si>
  <si>
    <t>Livermore</t>
  </si>
  <si>
    <t>Pho Saigon City Pleasanton</t>
  </si>
  <si>
    <t>Yogurtland Dublin</t>
  </si>
  <si>
    <t>6851 Amador Plz Rd</t>
  </si>
  <si>
    <t>Lees Sandwiches Dublin 2</t>
  </si>
  <si>
    <t>4101 Dublin Blvd</t>
  </si>
  <si>
    <t>Osaka Ramen Dublin</t>
  </si>
  <si>
    <t>Pho 99 Dublin 5</t>
  </si>
  <si>
    <t>7459 Amador Valley Blvd</t>
  </si>
  <si>
    <t>Tandoori Pizza Dublin</t>
  </si>
  <si>
    <t>4060 Grafton St</t>
  </si>
  <si>
    <t>Halu Shabu Shabu Dublin</t>
  </si>
  <si>
    <t>Amakara Dublin</t>
  </si>
  <si>
    <t>7222 Regional St</t>
  </si>
  <si>
    <t>Pho Saigon Garden Dublin</t>
  </si>
  <si>
    <t>7265 Regional St</t>
  </si>
  <si>
    <t>Pho Saigon Noodle House San Ramon</t>
  </si>
  <si>
    <t>9150 Alcosta Blvd</t>
  </si>
  <si>
    <t>85 C Bakery Cafe Newark</t>
  </si>
  <si>
    <t>35201 Newark Blvd</t>
  </si>
  <si>
    <t>Blackball Desserts Union City Union City</t>
  </si>
  <si>
    <t>34563 Alvarado Niles Rd</t>
  </si>
  <si>
    <t>Tasty Pot Newark</t>
  </si>
  <si>
    <t>34909 Newark Blvd</t>
  </si>
  <si>
    <t>Icicles Newark</t>
  </si>
  <si>
    <t>39055 Cedar Blvd</t>
  </si>
  <si>
    <t>Che Lo Union City 2</t>
  </si>
  <si>
    <t>1767 Decoto Blvd</t>
  </si>
  <si>
    <t>Fusion Mix Frozen Yogurt Fremont 2</t>
  </si>
  <si>
    <t>4144 Walnut Ave</t>
  </si>
  <si>
    <t>Crepe Bar Newark</t>
  </si>
  <si>
    <t>2078 Newpark Mall</t>
  </si>
  <si>
    <t>Q Cup Fremont</t>
  </si>
  <si>
    <t>39129 Fremont Blvd</t>
  </si>
  <si>
    <t>Bambu Newark 2</t>
  </si>
  <si>
    <t>6058 Mowry Ave</t>
  </si>
  <si>
    <t>Bambu Union City 2</t>
  </si>
  <si>
    <t>31812-31822 Alvarado Blvd</t>
  </si>
  <si>
    <t>Storm Crepes Newark</t>
  </si>
  <si>
    <t>39658 Cedar Blvd</t>
  </si>
  <si>
    <t>Sweet Orchid Fremont</t>
  </si>
  <si>
    <t>Jenjons Cafe Union City</t>
  </si>
  <si>
    <t>1704 Decoto Rd</t>
  </si>
  <si>
    <t>K Pop Cafe Fremont</t>
  </si>
  <si>
    <t>35041 Fremont Blvd</t>
  </si>
  <si>
    <t>Milkcow Fremont 2</t>
  </si>
  <si>
    <t>5657 Auto Mall Pkwy</t>
  </si>
  <si>
    <t>Boba Guys San Carlos 2</t>
  </si>
  <si>
    <t>872 Laurel St</t>
  </si>
  <si>
    <t>San Carlos</t>
  </si>
  <si>
    <t>Teaquation Redwood City</t>
  </si>
  <si>
    <t>1036 El Camino Real</t>
  </si>
  <si>
    <t>Redwood City</t>
  </si>
  <si>
    <t>T4 Hayward 3</t>
  </si>
  <si>
    <t>1033 B St</t>
  </si>
  <si>
    <t>Hayward</t>
  </si>
  <si>
    <t>Sweet Spot Castro Valley</t>
  </si>
  <si>
    <t>20669 Santa Maria Ave</t>
  </si>
  <si>
    <t>Teaster Hayward 2</t>
  </si>
  <si>
    <t>410 W A St</t>
  </si>
  <si>
    <t>Sharetea Palo Alto 2</t>
  </si>
  <si>
    <t>540 Bryant St</t>
  </si>
  <si>
    <t>Chatime Redwood City 2</t>
  </si>
  <si>
    <t>2202 Broadway St</t>
  </si>
  <si>
    <t>Eko Coffee Bar And Tea House Hayward</t>
  </si>
  <si>
    <t>1075 B St</t>
  </si>
  <si>
    <t>Tea Era Cupertino</t>
  </si>
  <si>
    <t>20916 Homestead Rd</t>
  </si>
  <si>
    <t>Fantasia Coffee And Tea Cupertino</t>
  </si>
  <si>
    <t>10933 N Wolfe Rd</t>
  </si>
  <si>
    <t>Tpumps Cupertino</t>
  </si>
  <si>
    <t>19959 Stevens Creek Blvd</t>
  </si>
  <si>
    <t>Super Cue Cafe Cupertino</t>
  </si>
  <si>
    <t>19620 Stevens Creek Blvd</t>
  </si>
  <si>
    <t>Happy Lemon Cupertino 5</t>
  </si>
  <si>
    <t>10963 N Wolfe Rd</t>
  </si>
  <si>
    <t>Ten Ren Tea Cupertino</t>
  </si>
  <si>
    <t>10881 N Wolfe Rd</t>
  </si>
  <si>
    <t>Meet Fresh Cupertino</t>
  </si>
  <si>
    <t>19449 Stevens Creek Blvd</t>
  </si>
  <si>
    <t>Hechaa Cupertino 4</t>
  </si>
  <si>
    <t>10619 S De Anza Blvd</t>
  </si>
  <si>
    <t>Calibear Cyber Cafe Sunnyvale 6</t>
  </si>
  <si>
    <t>1336 S Mary Ave</t>
  </si>
  <si>
    <t>Sunnyvale</t>
  </si>
  <si>
    <t>Happy Lemon Sunnyvale 2</t>
  </si>
  <si>
    <t>605 E El Camino Real</t>
  </si>
  <si>
    <t>What8Ver Express Cupertino 2</t>
  </si>
  <si>
    <t>10118 Bandley Dr</t>
  </si>
  <si>
    <t>Gong Cha Sunnyvale</t>
  </si>
  <si>
    <t>1641 Hollenbeck Ave</t>
  </si>
  <si>
    <t>Cafe Lattea Cupertino</t>
  </si>
  <si>
    <t>19501 Stevens Creek Blvd</t>
  </si>
  <si>
    <t>T4 Cupertino Cupertino</t>
  </si>
  <si>
    <t>19505 Stevens Creek Blvd</t>
  </si>
  <si>
    <t>Sharetea Sunnyvale 3</t>
  </si>
  <si>
    <t>568 El Camino Real</t>
  </si>
  <si>
    <t>Tea Chansii Cupertino</t>
  </si>
  <si>
    <t>Verde Tea House Cupertino 2</t>
  </si>
  <si>
    <t>10477 S De Anza Blvd</t>
  </si>
  <si>
    <t>Bubble Tea Time Saratoga</t>
  </si>
  <si>
    <t>18564 Prospect Rd</t>
  </si>
  <si>
    <t>Saratoga</t>
  </si>
  <si>
    <t>The Tea Zone And Fruit Bar Mountain View</t>
  </si>
  <si>
    <t>805 El Camino Real</t>
  </si>
  <si>
    <t>Teaspoon Santa Clara 7</t>
  </si>
  <si>
    <t>3450 El Camino Real</t>
  </si>
  <si>
    <t>Beastea Santa Clara</t>
  </si>
  <si>
    <t>2785 El Camino Real</t>
  </si>
  <si>
    <t>Teaspoon Mountain View</t>
  </si>
  <si>
    <t>236 Castro St</t>
  </si>
  <si>
    <t>Tea Annie Mountain View</t>
  </si>
  <si>
    <t>1712 Miramonte Ave</t>
  </si>
  <si>
    <t>Verde Tea Cafe Mountain View</t>
  </si>
  <si>
    <t>852 Villa St</t>
  </si>
  <si>
    <t>Teafans Sunnyvale</t>
  </si>
  <si>
    <t>927 E Arques Ave</t>
  </si>
  <si>
    <t>85 C Bakery Cafe San Jose 5</t>
  </si>
  <si>
    <t>1183 S De Anza Blvd</t>
  </si>
  <si>
    <t>Matcha Love San Jose 6</t>
  </si>
  <si>
    <t>675 Saratoga Ave</t>
  </si>
  <si>
    <t>Bambu Sunnyvale 2</t>
  </si>
  <si>
    <t>189 W Washington Ave</t>
  </si>
  <si>
    <t>Icicles Cupertino</t>
  </si>
  <si>
    <t>19622 Stevens Creek Blvd</t>
  </si>
  <si>
    <t>Sunnywich Cafe Sunnyvale</t>
  </si>
  <si>
    <t>223 East Maude Ave</t>
  </si>
  <si>
    <t>Ocha Tea Café And Restaurant Mountain View 2</t>
  </si>
  <si>
    <t>1350 Grant Rd</t>
  </si>
  <si>
    <t>Bubble Bay Tea Santa Clara</t>
  </si>
  <si>
    <t>4300 Great America Pkwy</t>
  </si>
  <si>
    <t>Jazen Tea San Jose 4</t>
  </si>
  <si>
    <t>1089 S De Anza Blvd</t>
  </si>
  <si>
    <t>Comebuy Tea And Coffee Santa Clara</t>
  </si>
  <si>
    <t>2712 Augustine Dr</t>
  </si>
  <si>
    <t>Music Tunnel Ktv Cafe San Jose 2</t>
  </si>
  <si>
    <t>1132 S De Anza Blvd</t>
  </si>
  <si>
    <t>Jazen Tea Santa Clara 3</t>
  </si>
  <si>
    <t>3147 Mission College Blvd</t>
  </si>
  <si>
    <t>Butterfly Santa Clara</t>
  </si>
  <si>
    <t>1000 Lafayette St</t>
  </si>
  <si>
    <t>Quickly Cupertino</t>
  </si>
  <si>
    <t>21265 Stevens Creek Blvd</t>
  </si>
  <si>
    <t>California Mochi Santa Clara 4</t>
  </si>
  <si>
    <t>3030 El Camino Real</t>
  </si>
  <si>
    <t>T4 Livermore Livermore 2</t>
  </si>
  <si>
    <t>4010 E Ave</t>
  </si>
  <si>
    <t>Orange Tea Livermore</t>
  </si>
  <si>
    <t>6033 Northfront Rd</t>
  </si>
  <si>
    <t>Big Fat Straw Cafe Livermore 2</t>
  </si>
  <si>
    <t>980 Murrieta Blvd</t>
  </si>
  <si>
    <t>Donut Wheel Livermore</t>
  </si>
  <si>
    <t>2017 1st St</t>
  </si>
  <si>
    <t>T4 San Ramon 3</t>
  </si>
  <si>
    <t>11020 Bollinger Canyon Rd</t>
  </si>
  <si>
    <t>Saigon Cafe Livermore</t>
  </si>
  <si>
    <t>2011 2nd St</t>
  </si>
  <si>
    <t>Rice Paper Bistro Livermore</t>
  </si>
  <si>
    <t>1548 N Vasco Rd</t>
  </si>
  <si>
    <t>Menchies Frozen Yogurt Livermore</t>
  </si>
  <si>
    <t>973 E Stanley Blvd</t>
  </si>
  <si>
    <t>La Farfalla Bakery Fremont</t>
  </si>
  <si>
    <t>39947 Mission Blvd</t>
  </si>
  <si>
    <t>Ice3 Creamery Fremont</t>
  </si>
  <si>
    <t>39957 Mission Blvd</t>
  </si>
  <si>
    <t>Yogurt Shop Danville</t>
  </si>
  <si>
    <t>3450 Camino Tassajara Rd</t>
  </si>
  <si>
    <t>Danville</t>
  </si>
  <si>
    <t>Bean Scene Cafe Fremont 2</t>
  </si>
  <si>
    <t>4000 Bay St</t>
  </si>
  <si>
    <t>Yogurtland San Ramon</t>
  </si>
  <si>
    <t>152 Sunset Dr</t>
  </si>
  <si>
    <t>Chilly And Munch Mountain View</t>
  </si>
  <si>
    <t>2101 Showers Dr</t>
  </si>
  <si>
    <t>Jazen Tea Mountain View 3</t>
  </si>
  <si>
    <t>220 Castro St</t>
  </si>
  <si>
    <t>T4 Palo Alto 2</t>
  </si>
  <si>
    <t>165 University Ave</t>
  </si>
  <si>
    <t>Pearl Cafe Mountain View</t>
  </si>
  <si>
    <t>506A Showers Dr</t>
  </si>
  <si>
    <t>Tapioca Express Mountain View</t>
  </si>
  <si>
    <t>740 Villa St</t>
  </si>
  <si>
    <t>Teaspoon Palo Alto 7</t>
  </si>
  <si>
    <t>2675 Middlefield Rd</t>
  </si>
  <si>
    <t>Teaspoon Milpitas</t>
  </si>
  <si>
    <t>201 W Calaveras Blvd</t>
  </si>
  <si>
    <t>Teasociety Milpitas</t>
  </si>
  <si>
    <t>55 N Milpitas Blvd</t>
  </si>
  <si>
    <t>T4 Milpitas</t>
  </si>
  <si>
    <t>540 Barber Ln</t>
  </si>
  <si>
    <t>Bcute Tea Drinks And Finger Foods Milpitas 2</t>
  </si>
  <si>
    <t>200 Serra Way</t>
  </si>
  <si>
    <t>Poke Xpress Milpitas</t>
  </si>
  <si>
    <t>1236 S Abel St</t>
  </si>
  <si>
    <t>Happy Lemon Milpitas 6</t>
  </si>
  <si>
    <t>279 W Calaveras Blvd</t>
  </si>
  <si>
    <t>Yummi Tea Cafe San Jose 3</t>
  </si>
  <si>
    <t>2191 Morrill Ave</t>
  </si>
  <si>
    <t>Sno Crave Tea House Milpitas</t>
  </si>
  <si>
    <t>1777 N Milpitas Blvd</t>
  </si>
  <si>
    <t>Sancha Bar Milpitas</t>
  </si>
  <si>
    <t>279 Jacklin Rd</t>
  </si>
  <si>
    <t>Chick And Tea Milpitas 4</t>
  </si>
  <si>
    <t>1723 N Milpitas Blvd</t>
  </si>
  <si>
    <t>T4 San Jose</t>
  </si>
  <si>
    <t>1671 N Capitol Ave</t>
  </si>
  <si>
    <t>Queens Cafe Milpitas</t>
  </si>
  <si>
    <t>372 Barber Ln</t>
  </si>
  <si>
    <t>The Pennywort San Jose 5</t>
  </si>
  <si>
    <t>2056 N Capitol Ave</t>
  </si>
  <si>
    <t>Bambu San Jose 9</t>
  </si>
  <si>
    <t>1688 Hostetter Rd</t>
  </si>
  <si>
    <t>Black Pearl San Jose 2</t>
  </si>
  <si>
    <t>1055 E Brokaw Rd</t>
  </si>
  <si>
    <t>Happiness Cafe San Jose</t>
  </si>
  <si>
    <t>85 C Bakery Cafe Milpitas 2</t>
  </si>
  <si>
    <t>672 Barber Ln</t>
  </si>
  <si>
    <t>Simpletea Milpitas</t>
  </si>
  <si>
    <t>1535 Landess Ave</t>
  </si>
  <si>
    <t>Bambu Milpitas 7</t>
  </si>
  <si>
    <t>89 S Park Victoria Dr</t>
  </si>
  <si>
    <t>Fantasia Coffee And Tea Santa Clara</t>
  </si>
  <si>
    <t>3969 Rivermark Plz</t>
  </si>
  <si>
    <t>Shihlin Taiwan Street Snacks Milpitas</t>
  </si>
  <si>
    <t>522 Barber Ln</t>
  </si>
  <si>
    <t>Quickly Milpitas 2</t>
  </si>
  <si>
    <t>1350 S Park Victoria Dr</t>
  </si>
  <si>
    <t>Honeyberry San Jose 9</t>
  </si>
  <si>
    <t>3655 N 1st St</t>
  </si>
  <si>
    <t>Aroma Coffee And Snacks Milpitas</t>
  </si>
  <si>
    <t>Teatime Redwood City</t>
  </si>
  <si>
    <t>1003 El Camino Real</t>
  </si>
  <si>
    <t>Comebuy Drinks Redwood City</t>
  </si>
  <si>
    <t>2074 Broadway</t>
  </si>
  <si>
    <t>Teaspoon Redwood City</t>
  </si>
  <si>
    <t>2361 Broadway St</t>
  </si>
  <si>
    <t>Davidstea Palo Alto 2</t>
  </si>
  <si>
    <t>318 University Ave</t>
  </si>
  <si>
    <t>Pokélove Palo Alto</t>
  </si>
  <si>
    <t>855 El Camino Real</t>
  </si>
  <si>
    <t>Bare Bowls Palo Alto</t>
  </si>
  <si>
    <t>530 Emerson St</t>
  </si>
  <si>
    <t>Tea Time Palo Alto</t>
  </si>
  <si>
    <t>542 Ramona St</t>
  </si>
  <si>
    <t>Chantal Guillon Macarons And Teas Palo Alto 2</t>
  </si>
  <si>
    <t>444 University Ave</t>
  </si>
  <si>
    <t>Happy Donuts Palo Alto</t>
  </si>
  <si>
    <t>3916 El Camino Real</t>
  </si>
  <si>
    <t>Quickly Sunnyvale 4</t>
  </si>
  <si>
    <t>415 N Mary Ave</t>
  </si>
  <si>
    <t>Fraiche Palo Alto 2</t>
  </si>
  <si>
    <t>200 Hamilton Ave</t>
  </si>
  <si>
    <t>Quickly Redwood City</t>
  </si>
  <si>
    <t>300 Walnut St</t>
  </si>
  <si>
    <t>Coupa Café Palo Alto 3</t>
  </si>
  <si>
    <t>538 Ramona St</t>
  </si>
  <si>
    <t>Cream Palo Alto 3</t>
  </si>
  <si>
    <t>440 University Ave</t>
  </si>
  <si>
    <t>Ohana Express Redwood City 2</t>
  </si>
  <si>
    <t>640 Woodside Rd</t>
  </si>
  <si>
    <t>Yogurtland Palo Alto</t>
  </si>
  <si>
    <t>494 University Ave</t>
  </si>
  <si>
    <t>Coupa Café Lytton Palo Alto</t>
  </si>
  <si>
    <t>111 Lytton Ave</t>
  </si>
  <si>
    <t>Green Bakery And Café Los Altos 11</t>
  </si>
  <si>
    <t>692 Fremont Ave</t>
  </si>
  <si>
    <t>Wild Berry Yogurt Menlo Park</t>
  </si>
  <si>
    <t>325 Sharon Park Dr</t>
  </si>
  <si>
    <t>Menlo Park</t>
  </si>
  <si>
    <t>The Posh Bagel Los Altos</t>
  </si>
  <si>
    <t>310 Main St</t>
  </si>
  <si>
    <t>Paris Baguette Palo Alto</t>
  </si>
  <si>
    <t>383 University Ave</t>
  </si>
  <si>
    <t>Taza Deli And Cafe Redwood City</t>
  </si>
  <si>
    <t>1796 Broadway</t>
  </si>
  <si>
    <t>Rojoz Gourmet Wraps Palo Alto 2</t>
  </si>
  <si>
    <t>3906 Middlefield Rd</t>
  </si>
  <si>
    <t>Froyola Redwood City</t>
  </si>
  <si>
    <t>2206 Broadway St</t>
  </si>
  <si>
    <t>Mr Green Bubble Sunnyvale</t>
  </si>
  <si>
    <t>1255 S Mary Ave</t>
  </si>
  <si>
    <t>Coupa Cafe Green Library Stanford</t>
  </si>
  <si>
    <t>571 Escondido Mall</t>
  </si>
  <si>
    <t>Stanford</t>
  </si>
  <si>
    <t>Dohatsuten Palo Alto</t>
  </si>
  <si>
    <t>799 San Antonio Rd</t>
  </si>
  <si>
    <t>Panda Express Mountain View 2</t>
  </si>
  <si>
    <t>1035 El Monte Ave</t>
  </si>
  <si>
    <t>Nekter Juice Bar Mountain View</t>
  </si>
  <si>
    <t>685 San Antonio Rd</t>
  </si>
  <si>
    <t>865 Middlefield Rd</t>
  </si>
  <si>
    <t>211 El Camino Real</t>
  </si>
  <si>
    <t>Old Union Stanford University</t>
  </si>
  <si>
    <t>1082 E El Camino Real</t>
  </si>
  <si>
    <t>1149 N Lawrence Expy</t>
  </si>
  <si>
    <t>186 S Murphy Ave</t>
  </si>
  <si>
    <t>2855 Stevens Creek Blvd</t>
  </si>
  <si>
    <t>3484 El Camino Real</t>
  </si>
  <si>
    <t>3488 El Camino Real</t>
  </si>
  <si>
    <t>3125 Mission College Blvd</t>
  </si>
  <si>
    <t>630 El Camino Real</t>
  </si>
  <si>
    <t>South San Francisco</t>
  </si>
  <si>
    <t>1803 El Camino Real</t>
  </si>
  <si>
    <t>Burlingame</t>
  </si>
  <si>
    <t>440 San Mateo Ave</t>
  </si>
  <si>
    <t>San Bruno</t>
  </si>
  <si>
    <t>271 - 273 Baldwin Ave</t>
  </si>
  <si>
    <t>San Mateo</t>
  </si>
  <si>
    <t>1419 Burlingame Ave</t>
  </si>
  <si>
    <t>639 El Camino Real</t>
  </si>
  <si>
    <t>1118 Burlingame Ave</t>
  </si>
  <si>
    <t>128 E 3rd Ave</t>
  </si>
  <si>
    <t>212 E 3rd Ave</t>
  </si>
  <si>
    <t>105 Park Blvd</t>
  </si>
  <si>
    <t>Millbrae</t>
  </si>
  <si>
    <t>90 Eureka Sq</t>
  </si>
  <si>
    <t>Pacifica</t>
  </si>
  <si>
    <t>315 Broadway</t>
  </si>
  <si>
    <t>346 Lorton Ave</t>
  </si>
  <si>
    <t>80 Cabrillo Hwy N</t>
  </si>
  <si>
    <t>Half Moon Bay</t>
  </si>
  <si>
    <t>979 Broadway</t>
  </si>
  <si>
    <t>110 S B St</t>
  </si>
  <si>
    <t>2223 Gellert Blvd</t>
  </si>
  <si>
    <t>2986 S Norfolk St</t>
  </si>
  <si>
    <t>153 South B St</t>
  </si>
  <si>
    <t>47 S B St</t>
  </si>
  <si>
    <t>165 E 4th Ave</t>
  </si>
  <si>
    <t>985 E Hillsdale Blvd</t>
  </si>
  <si>
    <t>Foster City</t>
  </si>
  <si>
    <t>2948 S Norfolk St</t>
  </si>
  <si>
    <t>969A Edgewater Blvd</t>
  </si>
  <si>
    <t>142 E 3rd Ave</t>
  </si>
  <si>
    <t>30 E 3rd Ave</t>
  </si>
  <si>
    <t>1090 Alameda De Las Pulgas</t>
  </si>
  <si>
    <t>Belmont</t>
  </si>
  <si>
    <t>31 N B St</t>
  </si>
  <si>
    <t>138 Main St</t>
  </si>
  <si>
    <t>1524 El Camino Real</t>
  </si>
  <si>
    <t>203 El Camino Real</t>
  </si>
  <si>
    <t>222 E 3rd Ave</t>
  </si>
  <si>
    <t>33 W 25th Ave</t>
  </si>
  <si>
    <t>1407 Burlingame Ave</t>
  </si>
  <si>
    <t>220 2nd Ave</t>
  </si>
  <si>
    <t>969k Edgewater Blvd</t>
  </si>
  <si>
    <t>969F Edgewater Blvd</t>
  </si>
  <si>
    <t>138 E 3rd Ave</t>
  </si>
  <si>
    <t>111 E 4th Ave</t>
  </si>
  <si>
    <t>134 S B St</t>
  </si>
  <si>
    <t>43 S B St</t>
  </si>
  <si>
    <t>500 Airport Blvd</t>
  </si>
  <si>
    <t>486 San Mateo Ave</t>
  </si>
  <si>
    <t>1115 Burlingame Ave</t>
  </si>
  <si>
    <t>800 S B St</t>
  </si>
  <si>
    <t>298 Broadway</t>
  </si>
  <si>
    <t>805 S B St</t>
  </si>
  <si>
    <t>325 El Camino Real</t>
  </si>
  <si>
    <t>1305 Gateway Blvd</t>
  </si>
  <si>
    <t>2700 N Texas St</t>
  </si>
  <si>
    <t>3083 Alamo Dr</t>
  </si>
  <si>
    <t>Vacaville</t>
  </si>
  <si>
    <t>303 Lawler Ctr Dr</t>
  </si>
  <si>
    <t>Suisun City</t>
  </si>
  <si>
    <t>1350 Travis Blvd</t>
  </si>
  <si>
    <t>3334 N Texas St</t>
  </si>
  <si>
    <t>1850 Mount Diablo St</t>
  </si>
  <si>
    <t>Concord</t>
  </si>
  <si>
    <t>2121 Loveridge Rd</t>
  </si>
  <si>
    <t>Pittsburg</t>
  </si>
  <si>
    <t>145 Plaza Dr</t>
  </si>
  <si>
    <t>1135 2nd St</t>
  </si>
  <si>
    <t>Brentwood</t>
  </si>
  <si>
    <t>1667 E Monte Vista Ave</t>
  </si>
  <si>
    <t>1260 Lake Blvd</t>
  </si>
  <si>
    <t>Davis</t>
  </si>
  <si>
    <t>3720 Sonoma Blvd</t>
  </si>
  <si>
    <t>1679 E Monte Vista Ave</t>
  </si>
  <si>
    <t>1581 Sycamore Ave</t>
  </si>
  <si>
    <t>Hercules</t>
  </si>
  <si>
    <t>1972 N Texas St</t>
  </si>
  <si>
    <t>825 Russell Blvd</t>
  </si>
  <si>
    <t>4532 Lone Tree Way</t>
  </si>
  <si>
    <t>Antioch</t>
  </si>
  <si>
    <t>1843 Willow Pass Rd</t>
  </si>
  <si>
    <t>2191 Cowell Blvd</t>
  </si>
  <si>
    <t>407 G St</t>
  </si>
  <si>
    <t>13350 San Pablo Ave</t>
  </si>
  <si>
    <t>San Pablo</t>
  </si>
  <si>
    <t>2151 Salvio St</t>
  </si>
  <si>
    <t>3550 San Pablo Dam Rd</t>
  </si>
  <si>
    <t>El Sobrante</t>
  </si>
  <si>
    <t>201 Travis Blvd</t>
  </si>
  <si>
    <t>1411 W Covell Blvd</t>
  </si>
  <si>
    <t>303 Lawler Center Dr</t>
  </si>
  <si>
    <t>213 E St</t>
  </si>
  <si>
    <t>2415 Empire Ave</t>
  </si>
  <si>
    <t>132 E St</t>
  </si>
  <si>
    <t>3344 N Texas St</t>
  </si>
  <si>
    <t>620 W Covell Blvd</t>
  </si>
  <si>
    <t>207 3rd St</t>
  </si>
  <si>
    <t>870 E Travis</t>
  </si>
  <si>
    <t>200 E 3rd St</t>
  </si>
  <si>
    <t>1383 E 2nd St</t>
  </si>
  <si>
    <t>Benicia</t>
  </si>
  <si>
    <t>2701 Pinole Valley Rd</t>
  </si>
  <si>
    <t>Pinole</t>
  </si>
  <si>
    <t>2545 Sand Creek Rd</t>
  </si>
  <si>
    <t>1160 Arnold Dr</t>
  </si>
  <si>
    <t>Martinez</t>
  </si>
  <si>
    <t>212 E 18th St</t>
  </si>
  <si>
    <t>88 Peabody Rd</t>
  </si>
  <si>
    <t>2230 Oak Grove Rd</t>
  </si>
  <si>
    <t>1815 Ygnacio Valley Rd</t>
  </si>
  <si>
    <t>1349 Locust St</t>
  </si>
  <si>
    <t>1539 Locust St</t>
  </si>
  <si>
    <t>251 Hartz Ave</t>
  </si>
  <si>
    <t>4115 Concord Blvd</t>
  </si>
  <si>
    <t>1657 Willow Pass Rd</t>
  </si>
  <si>
    <t>1385C N Main St</t>
  </si>
  <si>
    <t>1460 Moraga Rd</t>
  </si>
  <si>
    <t>Moraga</t>
  </si>
  <si>
    <t>3653 Mt Diablo Blvd</t>
  </si>
  <si>
    <t>Lafayette</t>
  </si>
  <si>
    <t>35 Crescent Dr</t>
  </si>
  <si>
    <t>282 Sun Valley Mall</t>
  </si>
  <si>
    <t>1701 Monument Blvd</t>
  </si>
  <si>
    <t>2395 Monument Blvd</t>
  </si>
  <si>
    <t>1950 Salvio St</t>
  </si>
  <si>
    <t>1701 Willow Pass Rd</t>
  </si>
  <si>
    <t>1795 Willow Pass Rd</t>
  </si>
  <si>
    <t>560 1st St</t>
  </si>
  <si>
    <t>2243 Railroad Ave</t>
  </si>
  <si>
    <t>2030 Diamond Blvd</t>
  </si>
  <si>
    <t>1833 Willow Pass Rd</t>
  </si>
  <si>
    <t>508 Contra Costa Blvd</t>
  </si>
  <si>
    <t>creek</t>
  </si>
  <si>
    <t>2034 N Main St</t>
  </si>
  <si>
    <t>3545 Mt Diablo Blvd</t>
  </si>
  <si>
    <t>836 Southampton Rd</t>
  </si>
  <si>
    <t>2390 Monument Blvd</t>
  </si>
  <si>
    <t>2229 Railroad Ave</t>
  </si>
  <si>
    <t>2066 Mountain Blvd</t>
  </si>
  <si>
    <t>384 Park St</t>
  </si>
  <si>
    <t>2556 Somersville Rd</t>
  </si>
  <si>
    <t>2621 Springs Rd</t>
  </si>
  <si>
    <t>1835 Willow Pass Rd</t>
  </si>
  <si>
    <t>1029 Arnold Dr</t>
  </si>
  <si>
    <t>1617 Contra Costa Blvd</t>
  </si>
  <si>
    <t>4285 Century Blvd</t>
  </si>
  <si>
    <t>140 E Leland Rd</t>
  </si>
  <si>
    <t>3676 Delta Fair Blvd</t>
  </si>
  <si>
    <t>578 Center St</t>
  </si>
  <si>
    <t>3288 Pierce St</t>
  </si>
  <si>
    <t>Richmond</t>
  </si>
  <si>
    <t>10734 San Pablo Ave</t>
  </si>
  <si>
    <t>El Cerrito</t>
  </si>
  <si>
    <t>967 Grand Ave</t>
  </si>
  <si>
    <t>San Rafael</t>
  </si>
  <si>
    <t>5800 Northgate Dr</t>
  </si>
  <si>
    <t>2300 El Portal Dr</t>
  </si>
  <si>
    <t>208 Corte Madera Town Ctr</t>
  </si>
  <si>
    <t>Corte Madera</t>
  </si>
  <si>
    <t>3080 El Cerrito Plz</t>
  </si>
  <si>
    <t>1182 Solano Ave</t>
  </si>
  <si>
    <t>Albany</t>
  </si>
  <si>
    <t>2523 Durant Ave</t>
  </si>
  <si>
    <t>2380 Telegraph Ave</t>
  </si>
  <si>
    <t>1128 4th St</t>
  </si>
  <si>
    <t>766 A St</t>
  </si>
  <si>
    <t>1 Southland Mall Dr</t>
  </si>
  <si>
    <t>2441 San Ramon Valley Blvd</t>
  </si>
  <si>
    <t>18911 Lake Chabot Rd</t>
  </si>
  <si>
    <t>25034 Hesperian Blvd</t>
  </si>
  <si>
    <t>596 E 14th St</t>
  </si>
  <si>
    <t>595 Southland Mall</t>
  </si>
  <si>
    <t>3223 Castro Valley Blvd</t>
  </si>
  <si>
    <t>14482 Big Basin Way</t>
  </si>
  <si>
    <t>12840 Saratoga Sunnyvale Rd</t>
  </si>
  <si>
    <t>4306 Moorpark Ave</t>
  </si>
  <si>
    <t>346 E Campbell Ave</t>
  </si>
  <si>
    <t>Campbell</t>
  </si>
  <si>
    <t>2475 S Winchester Blvd</t>
  </si>
  <si>
    <t>2855 Stevens Crk Blvd</t>
  </si>
  <si>
    <t>136 N San Tomas Aquino</t>
  </si>
  <si>
    <t>3535 Homestead Rd</t>
  </si>
  <si>
    <t>972 Admiral Callaghan Ln</t>
  </si>
  <si>
    <t>3718 Sonoma Blvd</t>
  </si>
  <si>
    <t>3885 Sonoma Blvd</t>
  </si>
  <si>
    <t>3570 Sonoma Blvd</t>
  </si>
  <si>
    <t>1321 Springs Rd</t>
  </si>
  <si>
    <t>114 Robles Way</t>
  </si>
  <si>
    <t>3440 Sonoma Blvd</t>
  </si>
  <si>
    <t>102 Springstowne Ctr</t>
  </si>
  <si>
    <t>3636 Sonoma Blvd</t>
  </si>
  <si>
    <t>3495 Sonoma Blvd</t>
  </si>
  <si>
    <t>3420 Sonoma Blvd</t>
  </si>
  <si>
    <t>1200 El Camino Real</t>
  </si>
  <si>
    <t>929 A Edgewater Blvd</t>
  </si>
  <si>
    <t>1088 Foster City Blvd</t>
  </si>
  <si>
    <t>2992 S Norfolk St</t>
  </si>
  <si>
    <t>949A Edgewater Blvd</t>
  </si>
  <si>
    <t>2964 S Norfolk St</t>
  </si>
  <si>
    <t>2978 S Norfolk St</t>
  </si>
  <si>
    <t>2968 S Norfolk St</t>
  </si>
  <si>
    <t>254 Redwood Shores Pkwy</t>
  </si>
  <si>
    <t>1780 E 14th St</t>
  </si>
  <si>
    <t>129 W Joaquin Ave</t>
  </si>
  <si>
    <t>15251 Hesperian Blvd</t>
  </si>
  <si>
    <t>1423 E 14th St</t>
  </si>
  <si>
    <t>13720 Doolittle Dr</t>
  </si>
  <si>
    <t>1338 Fairmont Dr</t>
  </si>
  <si>
    <t>1501 Washington Ave</t>
  </si>
  <si>
    <t>1970 Lewelling Blvd</t>
  </si>
  <si>
    <t>109 Pelton Ctr Way</t>
  </si>
  <si>
    <t>17940 Hesperian Blvd</t>
  </si>
  <si>
    <t>San Lorenzo</t>
  </si>
  <si>
    <t>2306 Encinal Ave</t>
  </si>
  <si>
    <t>20893 Redwood Rd</t>
  </si>
  <si>
    <t>13780 E 14th St</t>
  </si>
  <si>
    <t>14391 Washington Ave</t>
  </si>
  <si>
    <t>1909 International Blvd</t>
  </si>
  <si>
    <t>2321 Santa Clara Ave</t>
  </si>
  <si>
    <t>20770 Hesperian Blvd</t>
  </si>
  <si>
    <t>1389 E 14th St</t>
  </si>
  <si>
    <t>2089 E 14th St</t>
  </si>
  <si>
    <t>15040 Farnsworth St</t>
  </si>
  <si>
    <t>15813 Channel St</t>
  </si>
  <si>
    <t>27560 Tampa Ave</t>
  </si>
  <si>
    <t>1960 Lewelling Blvd</t>
  </si>
  <si>
    <t>8 Southland Mall</t>
  </si>
  <si>
    <t>1081 B St</t>
  </si>
  <si>
    <t>15555 E 14th St</t>
  </si>
  <si>
    <t>lat-long</t>
  </si>
  <si>
    <t xml:space="preserve">Name correction </t>
  </si>
  <si>
    <t>split</t>
  </si>
  <si>
    <t>rating &gt; 5</t>
  </si>
  <si>
    <t>remove extra space</t>
  </si>
  <si>
    <t>99 Tea House Fremont 2   0 Fremont</t>
  </si>
  <si>
    <t>37.56295-122.010039999999</t>
  </si>
  <si>
    <t xml:space="preserve">One Tea Fremont 2     </t>
  </si>
  <si>
    <t>37.4890666928572-121.929413750767</t>
  </si>
  <si>
    <t xml:space="preserve">Royaltea Usa Fremont      </t>
  </si>
  <si>
    <t>37.5513151288032-121.993849799037</t>
  </si>
  <si>
    <t xml:space="preserve">Teco Tea And Coffee Bar Fremont   </t>
  </si>
  <si>
    <t>37.5536945-121.981043</t>
  </si>
  <si>
    <t xml:space="preserve">T Lab Fremont 3     </t>
  </si>
  <si>
    <t>37.576149-122.0437049</t>
  </si>
  <si>
    <t xml:space="preserve">Q Tea Monster Newark     </t>
  </si>
  <si>
    <t>37.5229604101756-122.005785632481</t>
  </si>
  <si>
    <t xml:space="preserve">Gong Cha Fremont      </t>
  </si>
  <si>
    <t>37.4885682635695-121.929191268869</t>
  </si>
  <si>
    <t xml:space="preserve">Happy Lemon Fremont 2     </t>
  </si>
  <si>
    <t>37.4884429093476-121.930383669657</t>
  </si>
  <si>
    <t xml:space="preserve">Factory Tea Bar Fremont 2    </t>
  </si>
  <si>
    <t>37.4922976027806-121.927918713539</t>
  </si>
  <si>
    <t xml:space="preserve">Super Cue Cafe Fremont     </t>
  </si>
  <si>
    <t>37.5007782876492-121.973167955875</t>
  </si>
  <si>
    <t xml:space="preserve">Milk And Honey Cafe Fremont    </t>
  </si>
  <si>
    <t>37.575448103287-122.042586920966</t>
  </si>
  <si>
    <t xml:space="preserve">Tea Island Fremont 2     </t>
  </si>
  <si>
    <t>37.4935414360442-121.929889351584</t>
  </si>
  <si>
    <t xml:space="preserve">Taro Taro Dessert And Tea House Fremont  </t>
  </si>
  <si>
    <t>37.5195973820395-121.989493228847</t>
  </si>
  <si>
    <t xml:space="preserve">I Tea Fremont 2     </t>
  </si>
  <si>
    <t>37.504992442164-121.971231736243</t>
  </si>
  <si>
    <t xml:space="preserve">I Tea Newark      </t>
  </si>
  <si>
    <t>37.5506935787169-122.051467484131</t>
  </si>
  <si>
    <t xml:space="preserve">Sharetea Fremont 2      </t>
  </si>
  <si>
    <t>37.53195-121.957889999999</t>
  </si>
  <si>
    <t xml:space="preserve">Urbain Tea Fremont      </t>
  </si>
  <si>
    <t>37.5312314119297-121.937047836775</t>
  </si>
  <si>
    <t xml:space="preserve">Mandro Teahouse Newark 3     </t>
  </si>
  <si>
    <t>37.5515049151237-122.050272187505</t>
  </si>
  <si>
    <t xml:space="preserve">Gong Cha Newark      </t>
  </si>
  <si>
    <t>37.5208-121.996426</t>
  </si>
  <si>
    <t xml:space="preserve">Tea Six Fremont 2     </t>
  </si>
  <si>
    <t>37.57509-122.0386</t>
  </si>
  <si>
    <t xml:space="preserve">Tata Teahouse Fremont 2     </t>
  </si>
  <si>
    <t>37.543782-121.986825</t>
  </si>
  <si>
    <t xml:space="preserve">Tea Station Newark      </t>
  </si>
  <si>
    <t>37.523356-122.006644999999</t>
  </si>
  <si>
    <t xml:space="preserve">Sno Crave Tea House Fremont    </t>
  </si>
  <si>
    <t>37.500044-121.973621999999</t>
  </si>
  <si>
    <t xml:space="preserve">Boba Queen Fremont      </t>
  </si>
  <si>
    <t>37.5757-122.039769999999</t>
  </si>
  <si>
    <t xml:space="preserve">T4 Tea Fremont 2     </t>
  </si>
  <si>
    <t>37.53181-121.91944</t>
  </si>
  <si>
    <t xml:space="preserve">Boba Fitt Drinks Union City    </t>
  </si>
  <si>
    <t>37.5897191178595-122.071148412966</t>
  </si>
  <si>
    <t xml:space="preserve">Sweet Home Cafe Fremont 2    </t>
  </si>
  <si>
    <t>37.5180666419642-121.989524069478</t>
  </si>
  <si>
    <t xml:space="preserve">Tea Era Mountain View 2    </t>
  </si>
  <si>
    <t>37.3929561-122.0792811</t>
  </si>
  <si>
    <t xml:space="preserve">Teaspoon Los Altos      </t>
  </si>
  <si>
    <t>37.401254171244-122.114469291963</t>
  </si>
  <si>
    <t xml:space="preserve">T4 Fremont 8      </t>
  </si>
  <si>
    <t>37.4932967-121.931298099999</t>
  </si>
  <si>
    <t xml:space="preserve">My Delights Fremont      </t>
  </si>
  <si>
    <t>37.5304985046387-121.920637562871</t>
  </si>
  <si>
    <t xml:space="preserve">T4 Fremont 3      </t>
  </si>
  <si>
    <t>37.5631118502019-122.015291475919</t>
  </si>
  <si>
    <t xml:space="preserve">Sno Crave Teahouse Union City    </t>
  </si>
  <si>
    <t>37.5889987-122.0208657</t>
  </si>
  <si>
    <t xml:space="preserve">Sharetea Union City 3     </t>
  </si>
  <si>
    <t>37.587234-122.022712</t>
  </si>
  <si>
    <t xml:space="preserve">Tastea San Jose 2     </t>
  </si>
  <si>
    <t>37.3878-121.860189999999</t>
  </si>
  <si>
    <t xml:space="preserve">I Tea Castro Valley     </t>
  </si>
  <si>
    <t>37.6959109999999-122.072915</t>
  </si>
  <si>
    <t xml:space="preserve">Caface Newark 2      </t>
  </si>
  <si>
    <t>37.54872-122.049289999999</t>
  </si>
  <si>
    <t xml:space="preserve">Tea Villa Milpitas      </t>
  </si>
  <si>
    <t>37.4547351745994-121.911571876168</t>
  </si>
  <si>
    <t xml:space="preserve">Mr Green Bubble Union City    </t>
  </si>
  <si>
    <t>37.5895754513833-122.020674874683</t>
  </si>
  <si>
    <t xml:space="preserve">Pop Tea Bar Palo Alto 2   </t>
  </si>
  <si>
    <t>37.42655-122.146319999999</t>
  </si>
  <si>
    <t xml:space="preserve">I Tea Milpitas      </t>
  </si>
  <si>
    <t>37.43274-121.89277</t>
  </si>
  <si>
    <t xml:space="preserve">Joy 4 Tea Union City    </t>
  </si>
  <si>
    <t>37.5894163879107-122.067683412499</t>
  </si>
  <si>
    <t xml:space="preserve">Sweet Coco Fremont 3     </t>
  </si>
  <si>
    <t>37.49369-121.93053</t>
  </si>
  <si>
    <t xml:space="preserve">Icy Blue Fremont      </t>
  </si>
  <si>
    <t>37.53259-121.91949</t>
  </si>
  <si>
    <t xml:space="preserve">Teatop Milpitas       </t>
  </si>
  <si>
    <t>37.42644-121.921619999999</t>
  </si>
  <si>
    <t xml:space="preserve">Ten Ren Tea Co Of Milpitas Milpitas  </t>
  </si>
  <si>
    <t>37.4555854711176-121.909984275478</t>
  </si>
  <si>
    <t xml:space="preserve">Fantasia Coffee And Tea Milpitas 2   </t>
  </si>
  <si>
    <t>37.4208151690146-121.916592059011</t>
  </si>
  <si>
    <t xml:space="preserve">Tapioca Express Union City 2    </t>
  </si>
  <si>
    <t>37.589445484175-122.02183395763</t>
  </si>
  <si>
    <t xml:space="preserve">Gong Cha Palo Alto     </t>
  </si>
  <si>
    <t>37.447628-122.160728</t>
  </si>
  <si>
    <t xml:space="preserve">Sharetea San Leandro 3     </t>
  </si>
  <si>
    <t>37.687487183018-122.136023640633</t>
  </si>
  <si>
    <t xml:space="preserve">Boba Guys San Francisco 6    </t>
  </si>
  <si>
    <t>37.7899434017563-122.407306303981</t>
  </si>
  <si>
    <t xml:space="preserve">Boba Guys San Francisco 4    </t>
  </si>
  <si>
    <t>37.75994-122.42112</t>
  </si>
  <si>
    <t xml:space="preserve">Wonderful Dessert And Cafe San Francisco 2  </t>
  </si>
  <si>
    <t>37.7633252984489-122.479877762901</t>
  </si>
  <si>
    <t xml:space="preserve">Little Sweet San Francisco 10    </t>
  </si>
  <si>
    <t>37.781425-122.4608022</t>
  </si>
  <si>
    <t xml:space="preserve">Teaspoon San Francisco      </t>
  </si>
  <si>
    <t>37.7963159707234-122.421975955366</t>
  </si>
  <si>
    <t xml:space="preserve">Boba Guys San Francisco 10    </t>
  </si>
  <si>
    <t>37.78365-122.43247</t>
  </si>
  <si>
    <t xml:space="preserve">I Tea San Francisco 3    </t>
  </si>
  <si>
    <t>37.7905719929647-122.404304221271</t>
  </si>
  <si>
    <t xml:space="preserve">Boba Guys San Francisco 7    </t>
  </si>
  <si>
    <t>37.7728849972724-122.423546388745</t>
  </si>
  <si>
    <t xml:space="preserve">Plentea San Francisco San Francisco    </t>
  </si>
  <si>
    <t>37.7914264423265-122.404249032891</t>
  </si>
  <si>
    <t xml:space="preserve">Steap Tea Bar San Francisco 3   </t>
  </si>
  <si>
    <t>37.7932604402304-122.406762465835</t>
  </si>
  <si>
    <t xml:space="preserve">Purple Kow San Francisco 2    </t>
  </si>
  <si>
    <t>37.775906-122.497818</t>
  </si>
  <si>
    <t xml:space="preserve">Omg Tea San Francisco     </t>
  </si>
  <si>
    <t>37.7254643-122.402527</t>
  </si>
  <si>
    <t xml:space="preserve">Asha Tea House San Francisco    </t>
  </si>
  <si>
    <t>37.7881894888854-122.40366820246</t>
  </si>
  <si>
    <t xml:space="preserve">Super Cue Cafe San Francisco    </t>
  </si>
  <si>
    <t>37.7429212-122.4782898</t>
  </si>
  <si>
    <t xml:space="preserve">Boba Guys San Francisco 15    </t>
  </si>
  <si>
    <t>37.7665676429306-122.397055947925</t>
  </si>
  <si>
    <t xml:space="preserve">Infinitea San Francisco      </t>
  </si>
  <si>
    <t>37.780295679705-122.477084781597</t>
  </si>
  <si>
    <t xml:space="preserve">Steep San Francisco 2     </t>
  </si>
  <si>
    <t>37.7803345695326-122.395782692426</t>
  </si>
  <si>
    <t xml:space="preserve">Mr T Cafe San Francisco    </t>
  </si>
  <si>
    <t>37.72322-122.43556</t>
  </si>
  <si>
    <t xml:space="preserve">Tpumps San Francisco      </t>
  </si>
  <si>
    <t>37.7636264-122.4785915</t>
  </si>
  <si>
    <t xml:space="preserve">Tj Cups San Francisco 5    </t>
  </si>
  <si>
    <t>37.75339-122.48993</t>
  </si>
  <si>
    <t xml:space="preserve">Wondertea San Francisco 4     </t>
  </si>
  <si>
    <t>37.7634668052021-122.482386571049</t>
  </si>
  <si>
    <t xml:space="preserve">The Boba Shop San Francisco 4   </t>
  </si>
  <si>
    <t>37.7635576540922-122.388577088714</t>
  </si>
  <si>
    <t xml:space="preserve">Steep Creamery And Tea San Francisco   </t>
  </si>
  <si>
    <t>37.7825348173521-122.391180229883</t>
  </si>
  <si>
    <t xml:space="preserve">Bubblecup San Francisco 2     </t>
  </si>
  <si>
    <t>37.7822781354189-122.479696422815</t>
  </si>
  <si>
    <t xml:space="preserve">Sweet A Little San Francisco 12   </t>
  </si>
  <si>
    <t>37.77448-122.40916</t>
  </si>
  <si>
    <t xml:space="preserve">Tea Hut San Francisco 2    </t>
  </si>
  <si>
    <t>37.7879050728042-122.440761682096</t>
  </si>
  <si>
    <t xml:space="preserve">I Tea San Francisco 2    </t>
  </si>
  <si>
    <t>37.7635307-122.4811325</t>
  </si>
  <si>
    <t xml:space="preserve">Tancca San Francisco 3     </t>
  </si>
  <si>
    <t>37.7804213-122.473284299999</t>
  </si>
  <si>
    <t xml:space="preserve">Sharetea San Francisco 3     </t>
  </si>
  <si>
    <t>37.7844643265332-122.403442928242</t>
  </si>
  <si>
    <t xml:space="preserve">Mi Tea San Francisco     </t>
  </si>
  <si>
    <t>37.7639596-122.465019</t>
  </si>
  <si>
    <t xml:space="preserve">Bb Tea Station San Francisco 3   </t>
  </si>
  <si>
    <t>37.7542929-122.4779253</t>
  </si>
  <si>
    <t xml:space="preserve">Tea Fm San Francisco 3    </t>
  </si>
  <si>
    <t>37.7426391197427-122.480892284656</t>
  </si>
  <si>
    <t xml:space="preserve">Keep It San Francisco 6    </t>
  </si>
  <si>
    <t>37.7955593172737-122.409816160798</t>
  </si>
  <si>
    <t xml:space="preserve">Mr And Mrs Tea House San Francisco  </t>
  </si>
  <si>
    <t>37.7830442934418-122.465241822931</t>
  </si>
  <si>
    <t xml:space="preserve">E Tea San Francisco     </t>
  </si>
  <si>
    <t>37.7805467694998-122.476978003979</t>
  </si>
  <si>
    <t xml:space="preserve">Gosu San Francisco      </t>
  </si>
  <si>
    <t>37.7829-122.47017</t>
  </si>
  <si>
    <t xml:space="preserve">Homeplate Boba San Francisco     </t>
  </si>
  <si>
    <t>37.7787070106077-122.390157462239</t>
  </si>
  <si>
    <t xml:space="preserve">Cuppa San Francisco      </t>
  </si>
  <si>
    <t>37.73429-122.43417</t>
  </si>
  <si>
    <t xml:space="preserve">Super Cue Cafe San Francisco 2   </t>
  </si>
  <si>
    <t>37.7242954229777-122.457044541931</t>
  </si>
  <si>
    <t xml:space="preserve">Puppy Bobar San Francisco     </t>
  </si>
  <si>
    <t>37.7975399525428-122.406789958477</t>
  </si>
  <si>
    <t xml:space="preserve">Cool Tea Bar San Francisco 4   </t>
  </si>
  <si>
    <t>37.794315-122.406927</t>
  </si>
  <si>
    <t xml:space="preserve">Little Heaven Deli San Francisco    </t>
  </si>
  <si>
    <t>37.7594799999999-122.41943</t>
  </si>
  <si>
    <t xml:space="preserve">5 Sweets San Francisco     </t>
  </si>
  <si>
    <t>37.723259-122.454559299999</t>
  </si>
  <si>
    <t xml:space="preserve">Good Earth Cafe San Francisco 2   </t>
  </si>
  <si>
    <t>37.7957898999999-122.405369999999</t>
  </si>
  <si>
    <t xml:space="preserve">Sweethut San Francisco      </t>
  </si>
  <si>
    <t>37.7828876674175-122.464718297124</t>
  </si>
  <si>
    <t xml:space="preserve">Frostea Daly City 2     </t>
  </si>
  <si>
    <t>37.70689-122.4588</t>
  </si>
  <si>
    <t xml:space="preserve">Teaone San Francisco 5     </t>
  </si>
  <si>
    <t>37.78076-122.47679</t>
  </si>
  <si>
    <t xml:space="preserve">Fifty Fifty Coffee And Tea San Francisco  </t>
  </si>
  <si>
    <t>37.7814292999999-122.4529495</t>
  </si>
  <si>
    <t xml:space="preserve">Honey Creme And Tea San Francisco   </t>
  </si>
  <si>
    <t>37.76384-122.46708</t>
  </si>
  <si>
    <t xml:space="preserve">Bambu San Francisco 3     </t>
  </si>
  <si>
    <t>37.7804-122.48458</t>
  </si>
  <si>
    <t xml:space="preserve">I Tea Oakland      </t>
  </si>
  <si>
    <t>37.8006135940992-122.270676903426</t>
  </si>
  <si>
    <t xml:space="preserve">Mr Green Bubble Oakland     </t>
  </si>
  <si>
    <t>37.828969-122.249297</t>
  </si>
  <si>
    <t xml:space="preserve">T And Bowl Oakland     </t>
  </si>
  <si>
    <t>37.8004753999999-122.2722423</t>
  </si>
  <si>
    <t xml:space="preserve">U Cha Berkeley      </t>
  </si>
  <si>
    <t>37.8678697054593-122.266082279384</t>
  </si>
  <si>
    <t xml:space="preserve">The Sweet Booth Oakland     </t>
  </si>
  <si>
    <t>37.8004455566406-122.271835327148</t>
  </si>
  <si>
    <t xml:space="preserve">Asha Tea House Berkeley     </t>
  </si>
  <si>
    <t>37.8719582-122.268859</t>
  </si>
  <si>
    <t xml:space="preserve">I Tea Alameda      </t>
  </si>
  <si>
    <t>37.7673552038867-122.240029983222</t>
  </si>
  <si>
    <t xml:space="preserve">T4 Oakland       </t>
  </si>
  <si>
    <t>37.8009841-122.2700858</t>
  </si>
  <si>
    <t xml:space="preserve">Wing Man Oakland 3     </t>
  </si>
  <si>
    <t>37.83818-122.25168</t>
  </si>
  <si>
    <t xml:space="preserve">Sharetea Berkeley       </t>
  </si>
  <si>
    <t>37.8684064-122.260511299999</t>
  </si>
  <si>
    <t xml:space="preserve">Happy Lemon Berkeley Berkeley     </t>
  </si>
  <si>
    <t>37.87087-122.26857</t>
  </si>
  <si>
    <t xml:space="preserve">Milk Tea Lab Pleasant Hill    </t>
  </si>
  <si>
    <t>37.9485708483184-122.058178750759</t>
  </si>
  <si>
    <t xml:space="preserve">Boba Ninja Berkeley      </t>
  </si>
  <si>
    <t>37.86821-122.25803</t>
  </si>
  <si>
    <t xml:space="preserve">Sharetea Alameda 4      </t>
  </si>
  <si>
    <t>37.7867215-122.281344699999</t>
  </si>
  <si>
    <t xml:space="preserve">Purple Kow Berkeley 2     </t>
  </si>
  <si>
    <t>37.8704335-122.266269299999</t>
  </si>
  <si>
    <t xml:space="preserve">Teaway Alameda       </t>
  </si>
  <si>
    <t>37.76394-122.24266</t>
  </si>
  <si>
    <t xml:space="preserve">I Tea Walnut Creek 3    </t>
  </si>
  <si>
    <t>37.8981318936801-122.059291005135</t>
  </si>
  <si>
    <t xml:space="preserve">Sweetheart Cafe Oakland      </t>
  </si>
  <si>
    <t>37.7994484-122.270096799999</t>
  </si>
  <si>
    <t xml:space="preserve">Gelato Firenze And Qtea Bar Oakland   </t>
  </si>
  <si>
    <t>37.81106-122.24718</t>
  </si>
  <si>
    <t xml:space="preserve">Tea Delight Alameda 2     </t>
  </si>
  <si>
    <t>37.770820099746-122.277515907933</t>
  </si>
  <si>
    <t xml:space="preserve">Quickly Oakland 4      </t>
  </si>
  <si>
    <t>37.7765099-122.2250587</t>
  </si>
  <si>
    <t xml:space="preserve">I Tea San Leandro 2    </t>
  </si>
  <si>
    <t>37.72272-122.154389999999</t>
  </si>
  <si>
    <t xml:space="preserve">50 Tea Oakland      </t>
  </si>
  <si>
    <t>37.8007358-122.270182</t>
  </si>
  <si>
    <t xml:space="preserve">Tea Press Berkeley 2     </t>
  </si>
  <si>
    <t>37.86864-122.257789999999</t>
  </si>
  <si>
    <t xml:space="preserve">Taiwan Bento Oakland 4     </t>
  </si>
  <si>
    <t>37.81097-122.26651</t>
  </si>
  <si>
    <t xml:space="preserve">U Tea Cafe Oakland     </t>
  </si>
  <si>
    <t>37.8064126521349-122.268292084336</t>
  </si>
  <si>
    <t xml:space="preserve">T4 Alameda 2      </t>
  </si>
  <si>
    <t>37.76509-122.24233</t>
  </si>
  <si>
    <t xml:space="preserve">Teazzert Alameda       </t>
  </si>
  <si>
    <t>37.7635299999999-122.243189999999</t>
  </si>
  <si>
    <t xml:space="preserve">Qteabar Oakland       </t>
  </si>
  <si>
    <t>37.8110686341717-122.24723573774</t>
  </si>
  <si>
    <t xml:space="preserve">The Burrow Brisbane 4     </t>
  </si>
  <si>
    <t>37.6834642-122.4028888</t>
  </si>
  <si>
    <t xml:space="preserve">Sweet Belly Oakland      </t>
  </si>
  <si>
    <t>37.8076094805534-122.268880033234</t>
  </si>
  <si>
    <t xml:space="preserve">Sancha Bar Oakland 3     </t>
  </si>
  <si>
    <t>37.7989615787538-122.268823823837</t>
  </si>
  <si>
    <t xml:space="preserve">Alice Street Bakery Café Oakland 2   </t>
  </si>
  <si>
    <t>37.7996292114257-122.268371582031</t>
  </si>
  <si>
    <t xml:space="preserve">T4 San Leandro      </t>
  </si>
  <si>
    <t>37.723825-122.154662999999</t>
  </si>
  <si>
    <t xml:space="preserve">Quickly Oakland 5      </t>
  </si>
  <si>
    <t>37.8106217795691-122.243926227092</t>
  </si>
  <si>
    <t xml:space="preserve">Bubble Tea Share Time Berkeley    </t>
  </si>
  <si>
    <t>37.8731630455033-122.268577069044</t>
  </si>
  <si>
    <t xml:space="preserve">Shooting Star Cafe Oakland     </t>
  </si>
  <si>
    <t>37.800992-122.2701305</t>
  </si>
  <si>
    <t xml:space="preserve">Pekoe San Jose      </t>
  </si>
  <si>
    <t>37.3145584994998-121.790188997984</t>
  </si>
  <si>
    <t xml:space="preserve">Tea Lyfe Drinks San Jose 3   </t>
  </si>
  <si>
    <t>37.3323443189417-121.857742217231</t>
  </si>
  <si>
    <t xml:space="preserve">Teahee San Jose      </t>
  </si>
  <si>
    <t>37.3311487640944-121.85737667523</t>
  </si>
  <si>
    <t xml:space="preserve">Boba Pub San Jose     </t>
  </si>
  <si>
    <t>37.25336-121.9015</t>
  </si>
  <si>
    <t xml:space="preserve">Teaspoon San Jose 2     </t>
  </si>
  <si>
    <t>37.3157651-121.9782757</t>
  </si>
  <si>
    <t xml:space="preserve">Passion T Snacks And Desserts San Jose  </t>
  </si>
  <si>
    <t>37.3105198999999-121.84997</t>
  </si>
  <si>
    <t xml:space="preserve">Pop Up Tea Coffee And Snacks San Jose </t>
  </si>
  <si>
    <t>37.267032623291-121.834053039551</t>
  </si>
  <si>
    <t xml:space="preserve">Happy Lemon San Jose 5    </t>
  </si>
  <si>
    <t>37.308647-121.813461</t>
  </si>
  <si>
    <t xml:space="preserve">Boba Bar San Jose 3    </t>
  </si>
  <si>
    <t>37.332404-121.8845467</t>
  </si>
  <si>
    <t xml:space="preserve">Sinceretea San Jose 2     </t>
  </si>
  <si>
    <t>37.3529398999999-121.89176</t>
  </si>
  <si>
    <t xml:space="preserve">Bobateani San Jose      </t>
  </si>
  <si>
    <t>37.33709-121.88941</t>
  </si>
  <si>
    <t xml:space="preserve">Soyful Desserts San Jose 2    </t>
  </si>
  <si>
    <t>37.3319875706985-121.856774212303</t>
  </si>
  <si>
    <t xml:space="preserve">One Tea San Jose 4    </t>
  </si>
  <si>
    <t>37.338629553452-121.885706819594</t>
  </si>
  <si>
    <t xml:space="preserve">I Tea San Jose     </t>
  </si>
  <si>
    <t>37.3122516785924-121.809769305956</t>
  </si>
  <si>
    <t xml:space="preserve">The Tea Zone And Fruit Bar San Jose </t>
  </si>
  <si>
    <t>37.309534-121.949649</t>
  </si>
  <si>
    <t xml:space="preserve">Createave Cafe San Jose 4    </t>
  </si>
  <si>
    <t>37.3869800203948-121.883576139808</t>
  </si>
  <si>
    <t xml:space="preserve">Tleaf Teapresso San Jose 3    </t>
  </si>
  <si>
    <t>37.2486885993529-121.857970789389</t>
  </si>
  <si>
    <t xml:space="preserve">Katea San Jose      </t>
  </si>
  <si>
    <t>37.2525198999999-121.8501</t>
  </si>
  <si>
    <t xml:space="preserve">Teatop San Jose 2     </t>
  </si>
  <si>
    <t>37.3086570138301-122.012592169713</t>
  </si>
  <si>
    <t xml:space="preserve">Bubbly San Jose 4     </t>
  </si>
  <si>
    <t>37.32229-121.82405</t>
  </si>
  <si>
    <t xml:space="preserve">Vampire Penguin Featuring Jastea San Jose   </t>
  </si>
  <si>
    <t>37.4041770427227-121.881933087311</t>
  </si>
  <si>
    <t xml:space="preserve">Simply Boba San Jose     </t>
  </si>
  <si>
    <t>37.3088546673824-121.813202547221</t>
  </si>
  <si>
    <t xml:space="preserve">Happy Lemon Cupertino      </t>
  </si>
  <si>
    <t>37.32258-122.03121</t>
  </si>
  <si>
    <t xml:space="preserve">Amor Cafe And Tea San Jose   </t>
  </si>
  <si>
    <t>37.3354549999999-121.886596</t>
  </si>
  <si>
    <t xml:space="preserve">Shincha Tea San Jose 3    </t>
  </si>
  <si>
    <t>37.3191772792232-121.827041554832</t>
  </si>
  <si>
    <t xml:space="preserve">Sharetea Santa Clara 3     </t>
  </si>
  <si>
    <t>37.3486599999999-121.94616</t>
  </si>
  <si>
    <t xml:space="preserve">Chatime San Jose San Jose 3   </t>
  </si>
  <si>
    <t>37.3697020772431-121.845367355225</t>
  </si>
  <si>
    <t xml:space="preserve">Pure Tea Bar San Jose    </t>
  </si>
  <si>
    <t>37.236431-121.804763</t>
  </si>
  <si>
    <t xml:space="preserve">T Spot Boba Drinks And Snacks San Jose </t>
  </si>
  <si>
    <t>37.3879799-121.8588819</t>
  </si>
  <si>
    <t xml:space="preserve">Meow Tea San Jose     </t>
  </si>
  <si>
    <t>37.29956-121.84016</t>
  </si>
  <si>
    <t xml:space="preserve">Fantasia Coffee And Tea San Jose 4  </t>
  </si>
  <si>
    <t>37.319475621662-121.94762103391</t>
  </si>
  <si>
    <t xml:space="preserve">Monster Boba Cupertino 3     </t>
  </si>
  <si>
    <t>37.3112882127292-122.023623995482</t>
  </si>
  <si>
    <t xml:space="preserve">Teasociety San Jose      </t>
  </si>
  <si>
    <t>37.306154683674-121.810519318524</t>
  </si>
  <si>
    <t xml:space="preserve">Bfresh Snacks And Drinks San Jose   </t>
  </si>
  <si>
    <t>37.3086471557617-121.813461303711</t>
  </si>
  <si>
    <t xml:space="preserve">Beibay Tea San Jose     </t>
  </si>
  <si>
    <t>37.2497081431029-121.879286774857</t>
  </si>
  <si>
    <t xml:space="preserve">Gong Cha San Jose 19    </t>
  </si>
  <si>
    <t>37.38753-121.88725</t>
  </si>
  <si>
    <t xml:space="preserve">Sweet Gelato Tea Lounge San Jose   </t>
  </si>
  <si>
    <t>37.3313361147367-121.857381949738</t>
  </si>
  <si>
    <t xml:space="preserve">Sharetea San Jose 3     </t>
  </si>
  <si>
    <t>37.387508-121.882934</t>
  </si>
  <si>
    <t xml:space="preserve">Gong Cha San Jose 8    </t>
  </si>
  <si>
    <t>37.2923420099239-121.988744415863</t>
  </si>
  <si>
    <t xml:space="preserve">Soyful Desserts San Jose 8    </t>
  </si>
  <si>
    <t>37.3090745900201-121.814426575475</t>
  </si>
  <si>
    <t xml:space="preserve">Oooh San Jose 4     </t>
  </si>
  <si>
    <t>37.309508-121.809918</t>
  </si>
  <si>
    <t xml:space="preserve">The Tea Zone Lounge San Jose   </t>
  </si>
  <si>
    <t>37.3720189850199-121.846125258572</t>
  </si>
  <si>
    <t xml:space="preserve">The Moo Bar Santa Clara    </t>
  </si>
  <si>
    <t>37.3459400429099-121.979151964188</t>
  </si>
  <si>
    <t xml:space="preserve">Tapioca Express San Jose 8    </t>
  </si>
  <si>
    <t>37.3030374782512-121.864601250072</t>
  </si>
  <si>
    <t xml:space="preserve">Purple Kow San Jose 4    </t>
  </si>
  <si>
    <t>37.3210352284759-121.825406030688</t>
  </si>
  <si>
    <t xml:space="preserve">Heritage Eats Napa      </t>
  </si>
  <si>
    <t>38.32387-122.30711</t>
  </si>
  <si>
    <t xml:space="preserve">Yobelle Napa 2      </t>
  </si>
  <si>
    <t>38.2991692041736-122.285283794503</t>
  </si>
  <si>
    <t xml:space="preserve">Morimoto Napa Napa      </t>
  </si>
  <si>
    <t>38.29671-122.28328</t>
  </si>
  <si>
    <t xml:space="preserve">Napa Noodles Napa      </t>
  </si>
  <si>
    <t>38.2988340542314-122.286458685993</t>
  </si>
  <si>
    <t xml:space="preserve">Crave Cafe And Catering American Canyon   </t>
  </si>
  <si>
    <t>38.1689755277082-122.254305819574</t>
  </si>
  <si>
    <t xml:space="preserve">Quickly American Canyon 3     </t>
  </si>
  <si>
    <t>38.1848877668381-122.253697514533</t>
  </si>
  <si>
    <t xml:space="preserve">Top That Frozen Yogurt Sonoma    </t>
  </si>
  <si>
    <t>38.2914143800735-122.458058372139</t>
  </si>
  <si>
    <t xml:space="preserve">Over The Top Shop Frozen Yogurt American Canyon </t>
  </si>
  <si>
    <t>38.18098-122.25395</t>
  </si>
  <si>
    <t xml:space="preserve">Sushi Grill Vallejo      </t>
  </si>
  <si>
    <t>38.1480882615897-122.252996214118</t>
  </si>
  <si>
    <t xml:space="preserve">Palm Thai Bistro Fairfield     </t>
  </si>
  <si>
    <t>38.215523-122.143181</t>
  </si>
  <si>
    <t xml:space="preserve">Green Bamboo Restaurant Fairfield     </t>
  </si>
  <si>
    <t>38.2219398999999-122.12513</t>
  </si>
  <si>
    <t xml:space="preserve">Thai Kitchen American Canyon     </t>
  </si>
  <si>
    <t>38.17015-122.25411</t>
  </si>
  <si>
    <t xml:space="preserve">Sactomofo Sacramento 6      </t>
  </si>
  <si>
    <t>38.67463-121.50861</t>
  </si>
  <si>
    <t xml:space="preserve">Westea Pleasanton       </t>
  </si>
  <si>
    <t>37.6983805506637-121.874124370515</t>
  </si>
  <si>
    <t xml:space="preserve">Baotea Cafe Pleasanton 2     </t>
  </si>
  <si>
    <t>37.658818-121.898176</t>
  </si>
  <si>
    <t xml:space="preserve">I Tea Dublin Dublin     </t>
  </si>
  <si>
    <t>37.7031989556317-121.865862095172</t>
  </si>
  <si>
    <t xml:space="preserve">Aroma Tapioca Tea And Coffee Pleasanton   </t>
  </si>
  <si>
    <t>37.69288-121.90177</t>
  </si>
  <si>
    <t xml:space="preserve">I Tea Pleasanton      </t>
  </si>
  <si>
    <t>37.6659098999999-121.87418</t>
  </si>
  <si>
    <t xml:space="preserve">T4 Dublin       </t>
  </si>
  <si>
    <t>37.7038018033117-121.851168151661</t>
  </si>
  <si>
    <t xml:space="preserve">Tea Factory Dublin 2     </t>
  </si>
  <si>
    <t>37.7222341-121.9419009</t>
  </si>
  <si>
    <t xml:space="preserve">Icicles Pleasanton       </t>
  </si>
  <si>
    <t>37.661346-121.87506</t>
  </si>
  <si>
    <t xml:space="preserve">Sharetea Dublin 3      </t>
  </si>
  <si>
    <t>37.7103898999999-121.927439999999</t>
  </si>
  <si>
    <t xml:space="preserve">Cafe Tapioca Dublin      </t>
  </si>
  <si>
    <t>37.703959-121.9342246</t>
  </si>
  <si>
    <t xml:space="preserve">Quickly Pleasanton       </t>
  </si>
  <si>
    <t>37.6956544405508-121.929317861795</t>
  </si>
  <si>
    <t xml:space="preserve">Letea Pleasanton 2      </t>
  </si>
  <si>
    <t>37.69956-121.87326</t>
  </si>
  <si>
    <t xml:space="preserve">Tea Breeze Pleasanton      </t>
  </si>
  <si>
    <t>37.6994819641112-121.874084472656</t>
  </si>
  <si>
    <t xml:space="preserve">360 Crepes Pleasanton 3     </t>
  </si>
  <si>
    <t>37.6905054-121.8774678</t>
  </si>
  <si>
    <t xml:space="preserve">T4 San Ramon 2     </t>
  </si>
  <si>
    <t>37.73021-121.930089999999</t>
  </si>
  <si>
    <t xml:space="preserve">I Tea San Ramon 3    </t>
  </si>
  <si>
    <t>37.7241-121.94435</t>
  </si>
  <si>
    <t xml:space="preserve">Snowflake Dublin       </t>
  </si>
  <si>
    <t>37.7048059696965-121.875150612505</t>
  </si>
  <si>
    <t xml:space="preserve">Quickly Dublin       </t>
  </si>
  <si>
    <t>37.705825-121.876084</t>
  </si>
  <si>
    <t xml:space="preserve">Cafe Taiwan Pleasanton 9     </t>
  </si>
  <si>
    <t>37.669658-121.858772</t>
  </si>
  <si>
    <t xml:space="preserve">Cafe Junction Pleasanton 3     </t>
  </si>
  <si>
    <t>37.6994-121.9048344</t>
  </si>
  <si>
    <t xml:space="preserve">O Honey Dublin      </t>
  </si>
  <si>
    <t>37.7049564521021-121.851537924141</t>
  </si>
  <si>
    <t xml:space="preserve">The Mix Creamery Dublin 2    </t>
  </si>
  <si>
    <t>37.7043802396398-121.911554932594</t>
  </si>
  <si>
    <t xml:space="preserve">Tasty Pot Dublin      </t>
  </si>
  <si>
    <t>37.704566-121.87545</t>
  </si>
  <si>
    <t xml:space="preserve">Ohana Hawaiian Bbq Of Pleasanton Pleasanton   </t>
  </si>
  <si>
    <t>37.6522299999999-121.8786</t>
  </si>
  <si>
    <t xml:space="preserve">99 Ranch Market Pleasanton     </t>
  </si>
  <si>
    <t xml:space="preserve">Menchies Frozen Yogurt Dublin     </t>
  </si>
  <si>
    <t>37.7037210589332-121.851480491459</t>
  </si>
  <si>
    <t xml:space="preserve">Blossom Bee Dublin      </t>
  </si>
  <si>
    <t>37.710858467095-121.926419734955</t>
  </si>
  <si>
    <t xml:space="preserve">Berry Delight Pleasanton      </t>
  </si>
  <si>
    <t>37.6946294-121.931562999999</t>
  </si>
  <si>
    <t xml:space="preserve">New Thai Bistro Pleasanton 2    </t>
  </si>
  <si>
    <t>37.67718-121.87578</t>
  </si>
  <si>
    <t xml:space="preserve">Tutti Frutti Frozen Yogurt Dublin    </t>
  </si>
  <si>
    <t>37.7040256307881-121.88532839154</t>
  </si>
  <si>
    <t xml:space="preserve">Kee Wah Bakery Dublin     </t>
  </si>
  <si>
    <t>37.7045783996582-121.875808715819</t>
  </si>
  <si>
    <t xml:space="preserve">Blush Organic Frozen Yogurt Dublin    </t>
  </si>
  <si>
    <t>37.7080099999999-121.8731</t>
  </si>
  <si>
    <t xml:space="preserve">Koi Palace Dublin      </t>
  </si>
  <si>
    <t>37.7046367482137-121.876026391982</t>
  </si>
  <si>
    <t xml:space="preserve">Berry And Berry Yogurt Livermore    </t>
  </si>
  <si>
    <t>37.698050737381-121.842248663306</t>
  </si>
  <si>
    <t xml:space="preserve">Pho Saigon City Pleasanton     </t>
  </si>
  <si>
    <t>37.6994626368417-121.873857490718</t>
  </si>
  <si>
    <t xml:space="preserve">Yogurtland Dublin       </t>
  </si>
  <si>
    <t>37.70584-121.927089999999</t>
  </si>
  <si>
    <t xml:space="preserve">Lees Sandwiches Dublin 2     </t>
  </si>
  <si>
    <t>37.70619-121.873789999999</t>
  </si>
  <si>
    <t xml:space="preserve">Osaka Ramen Dublin      </t>
  </si>
  <si>
    <t>37.70515-121.876219999999</t>
  </si>
  <si>
    <t xml:space="preserve">Pho 99 Dublin 5     </t>
  </si>
  <si>
    <t>37.710269-121.92861</t>
  </si>
  <si>
    <t xml:space="preserve">Tandoori Pizza Dublin      </t>
  </si>
  <si>
    <t>37.7031417208061-121.866024709375</t>
  </si>
  <si>
    <t xml:space="preserve">Halu Shabu Shabu Dublin     </t>
  </si>
  <si>
    <t>37.7045669555664-121.875450134277</t>
  </si>
  <si>
    <t xml:space="preserve">Amakara Dublin       </t>
  </si>
  <si>
    <t>37.7050599999999-121.934869999999</t>
  </si>
  <si>
    <t xml:space="preserve">Pho Saigon Garden Dublin     </t>
  </si>
  <si>
    <t>37.7056511022749-121.933658346534</t>
  </si>
  <si>
    <t xml:space="preserve">Pho Saigon Noodle House San Ramon   </t>
  </si>
  <si>
    <t>37.7293891906737-121.931442260742</t>
  </si>
  <si>
    <t xml:space="preserve">85 C Bakery Cafe Newark    </t>
  </si>
  <si>
    <t>37.54772-122.0466</t>
  </si>
  <si>
    <t xml:space="preserve">Blackball Desserts Union City Union City   </t>
  </si>
  <si>
    <t>37.5866447999999-122.0201868</t>
  </si>
  <si>
    <t xml:space="preserve">Tasty Pot Newark      </t>
  </si>
  <si>
    <t>37.5508-122.0509</t>
  </si>
  <si>
    <t xml:space="preserve">Icicles Newark       </t>
  </si>
  <si>
    <t>37.52314-122.00792</t>
  </si>
  <si>
    <t xml:space="preserve">Che Lo Union City 2    </t>
  </si>
  <si>
    <t>37.5895628278523-122.022492714298</t>
  </si>
  <si>
    <t xml:space="preserve">Fusion Mix Frozen Yogurt Fremont 2   </t>
  </si>
  <si>
    <t>37.5436017856673-121.984061099299</t>
  </si>
  <si>
    <t xml:space="preserve">Crepe Bar Newark      </t>
  </si>
  <si>
    <t>37.5282307999999-122.000245799999</t>
  </si>
  <si>
    <t xml:space="preserve">Q Cup Fremont      </t>
  </si>
  <si>
    <t>37.5461699480404-121.987401525697</t>
  </si>
  <si>
    <t xml:space="preserve">Bambu Newark 2      </t>
  </si>
  <si>
    <t>37.5236587144356-122.007144735602</t>
  </si>
  <si>
    <t xml:space="preserve">Bambu Union City 2     </t>
  </si>
  <si>
    <t>37.5914603130932-122.071111434568</t>
  </si>
  <si>
    <t xml:space="preserve">Storm Crepes Newark      </t>
  </si>
  <si>
    <t>37.5218169879729-121.997366492815</t>
  </si>
  <si>
    <t xml:space="preserve">Sweet Orchid Fremont      </t>
  </si>
  <si>
    <t>37.5751187606321-122.038859706704</t>
  </si>
  <si>
    <t xml:space="preserve">Jenjons Cafe Union City     </t>
  </si>
  <si>
    <t>37.589058513675-122.01876368886</t>
  </si>
  <si>
    <t xml:space="preserve">K Pop Cafe Fremont     </t>
  </si>
  <si>
    <t>37.570362-122.0318791</t>
  </si>
  <si>
    <t xml:space="preserve">Milkcow Fremont 2      </t>
  </si>
  <si>
    <t>37.50466-121.97634</t>
  </si>
  <si>
    <t xml:space="preserve">Boba Guys San Carlos 2    </t>
  </si>
  <si>
    <t>37.5027402543983-122.256980158539</t>
  </si>
  <si>
    <t xml:space="preserve">Teaquation Redwood City      </t>
  </si>
  <si>
    <t>37.4839509441577-122.232653501548</t>
  </si>
  <si>
    <t xml:space="preserve">T4 Hayward 3      </t>
  </si>
  <si>
    <t>37.6731435370977-122.082034402975</t>
  </si>
  <si>
    <t xml:space="preserve">Sweet Spot Castro Valley     </t>
  </si>
  <si>
    <t>37.6960964188897-122.078565023838</t>
  </si>
  <si>
    <t xml:space="preserve">Teaster Hayward 2      </t>
  </si>
  <si>
    <t>37.6660188062353-122.108395027727</t>
  </si>
  <si>
    <t xml:space="preserve">Sharetea Palo Alto 2     </t>
  </si>
  <si>
    <t>37.445381-122.160993999999</t>
  </si>
  <si>
    <t xml:space="preserve">Chatime Redwood City 2     </t>
  </si>
  <si>
    <t>37.487118-122.229624</t>
  </si>
  <si>
    <t xml:space="preserve">Eko Coffee Bar And Tea House Hayward  </t>
  </si>
  <si>
    <t>37.6737070083617-122.081397101283</t>
  </si>
  <si>
    <t xml:space="preserve">Tea Era Cupertino      </t>
  </si>
  <si>
    <t>37.3371504153713-122.040352492869</t>
  </si>
  <si>
    <t xml:space="preserve">Fantasia Coffee And Tea Cupertino    </t>
  </si>
  <si>
    <t>37.3361159244324-122.015890307528</t>
  </si>
  <si>
    <t xml:space="preserve">Tpumps Cupertino       </t>
  </si>
  <si>
    <t>37.3232384288673-122.022949657147</t>
  </si>
  <si>
    <t xml:space="preserve">Super Cue Cafe Cupertino     </t>
  </si>
  <si>
    <t>37.3223942970538-122.016749576721</t>
  </si>
  <si>
    <t xml:space="preserve">Happy Lemon Cupertino 5     </t>
  </si>
  <si>
    <t>37.3362175002018-122.015137771311</t>
  </si>
  <si>
    <t xml:space="preserve">Ten Ren Tea Cupertino     </t>
  </si>
  <si>
    <t>37.3356484303065-122.014956682871</t>
  </si>
  <si>
    <t xml:space="preserve">Meet Fresh Cupertino      </t>
  </si>
  <si>
    <t>37.3243651-122.0105533</t>
  </si>
  <si>
    <t xml:space="preserve">Hechaa Cupertino 4      </t>
  </si>
  <si>
    <t>37.31361-122.03263</t>
  </si>
  <si>
    <t xml:space="preserve">Calibear Cyber Cafe Sunnyvale 6    </t>
  </si>
  <si>
    <t>37.35065-122.049619999999</t>
  </si>
  <si>
    <t xml:space="preserve">Happy Lemon Sunnyvale 2     </t>
  </si>
  <si>
    <t>37.36189-122.024539999999</t>
  </si>
  <si>
    <t xml:space="preserve">What8Ver Express Cupertino 2     </t>
  </si>
  <si>
    <t>37.324498742943-122.03407823789</t>
  </si>
  <si>
    <t xml:space="preserve">Gong Cha Sunnyvale      </t>
  </si>
  <si>
    <t>37.33929-122.04255</t>
  </si>
  <si>
    <t xml:space="preserve">Cafe Lattea Cupertino      </t>
  </si>
  <si>
    <t>37.323241317778-122.012261466162</t>
  </si>
  <si>
    <t xml:space="preserve">T4 Cupertino Cupertino      </t>
  </si>
  <si>
    <t>37.32328-122.01283</t>
  </si>
  <si>
    <t xml:space="preserve">Sharetea Sunnyvale 3      </t>
  </si>
  <si>
    <t>37.3623572836214-122.027256087022</t>
  </si>
  <si>
    <t xml:space="preserve">Tea Chansii Cupertino      </t>
  </si>
  <si>
    <t>37.3243989340148-122.011138269321</t>
  </si>
  <si>
    <t xml:space="preserve">Verde Tea House Cupertino 2    </t>
  </si>
  <si>
    <t>37.3162384033203-122.032508850098</t>
  </si>
  <si>
    <t xml:space="preserve">Bubble Tea Time Saratoga     </t>
  </si>
  <si>
    <t>37.29165-121.99636</t>
  </si>
  <si>
    <t xml:space="preserve">The Tea Zone And Fruit Bar Mountain View </t>
  </si>
  <si>
    <t>37.38565-122.08442</t>
  </si>
  <si>
    <t xml:space="preserve">Teaspoon Santa Clara 7     </t>
  </si>
  <si>
    <t>37.3519877135188-121.991230201809</t>
  </si>
  <si>
    <t xml:space="preserve">Beastea Santa Clara      </t>
  </si>
  <si>
    <t>37.35297-121.97705</t>
  </si>
  <si>
    <t xml:space="preserve">Teaspoon Mountain View      </t>
  </si>
  <si>
    <t>37.3934799-122.07956</t>
  </si>
  <si>
    <t xml:space="preserve">Tea Annie Mountain View     </t>
  </si>
  <si>
    <t>37.3723-122.08801</t>
  </si>
  <si>
    <t xml:space="preserve">Verde Tea Cafe Mountain View    </t>
  </si>
  <si>
    <t>37.3941710599454-122.079548804006</t>
  </si>
  <si>
    <t xml:space="preserve">Teafans Sunnyvale       </t>
  </si>
  <si>
    <t>37.3813698999999-122.00808</t>
  </si>
  <si>
    <t xml:space="preserve">85 C Bakery Cafe San Jose 5  </t>
  </si>
  <si>
    <t>37.3035809397697-122.032403200865</t>
  </si>
  <si>
    <t xml:space="preserve">Matcha Love San Jose 6    </t>
  </si>
  <si>
    <t>37.31496320599-121.978095221495</t>
  </si>
  <si>
    <t xml:space="preserve">Bambu Sunnyvale 2      </t>
  </si>
  <si>
    <t>37.3763175470854-122.031325878136</t>
  </si>
  <si>
    <t xml:space="preserve">Icicles Cupertino       </t>
  </si>
  <si>
    <t>37.3225177360044-122.017925500033</t>
  </si>
  <si>
    <t xml:space="preserve">Sunnywich Cafe Sunnyvale      </t>
  </si>
  <si>
    <t>37.3878822408982-122.024536281978</t>
  </si>
  <si>
    <t xml:space="preserve">Ocha Tea Café And Restaurant Mountain View 2 </t>
  </si>
  <si>
    <t>37.3770405227974-122.076683293475</t>
  </si>
  <si>
    <t xml:space="preserve">Bubble Bay Tea Santa Clara    </t>
  </si>
  <si>
    <t>37.3928752137833-121.977391160277</t>
  </si>
  <si>
    <t xml:space="preserve">Jazen Tea San Jose 4    </t>
  </si>
  <si>
    <t>37.3065638999999-122.0328361</t>
  </si>
  <si>
    <t xml:space="preserve">Comebuy Tea And Coffee Santa Clara   </t>
  </si>
  <si>
    <t>37.3822051-121.9761898</t>
  </si>
  <si>
    <t xml:space="preserve">Music Tunnel Ktv Cafe San Jose 2  </t>
  </si>
  <si>
    <t>37.30529-122.031669999999</t>
  </si>
  <si>
    <t xml:space="preserve">Jazen Tea Santa Clara 3    </t>
  </si>
  <si>
    <t>37.3882893-121.983559599999</t>
  </si>
  <si>
    <t xml:space="preserve">Butterfly Santa Clara      </t>
  </si>
  <si>
    <t>37.3503116-121.9438457</t>
  </si>
  <si>
    <t xml:space="preserve">Quickly Cupertino       </t>
  </si>
  <si>
    <t>37.32349-122.047397</t>
  </si>
  <si>
    <t xml:space="preserve">California Mochi Santa Clara 4    </t>
  </si>
  <si>
    <t>37.3517723083496-121.98119354248</t>
  </si>
  <si>
    <t xml:space="preserve">T4 Livermore Livermore 2     </t>
  </si>
  <si>
    <t>37.68077-121.748039999999</t>
  </si>
  <si>
    <t xml:space="preserve">Orange Tea Livermore      </t>
  </si>
  <si>
    <t>37.7119101458667-121.723351532745</t>
  </si>
  <si>
    <t xml:space="preserve">Big Fat Straw Cafe Livermore 2   </t>
  </si>
  <si>
    <t>37.6761474995967-121.785110675949</t>
  </si>
  <si>
    <t xml:space="preserve">Donut Wheel Livermore      </t>
  </si>
  <si>
    <t>37.6807479858397-121.770835876465</t>
  </si>
  <si>
    <t xml:space="preserve">T4 San Ramon 3     </t>
  </si>
  <si>
    <t>37.7749533109683-121.924073739228</t>
  </si>
  <si>
    <t xml:space="preserve">Saigon Cafe Livermore      </t>
  </si>
  <si>
    <t>37.68-121.77058</t>
  </si>
  <si>
    <t xml:space="preserve">Rice Paper Bistro Livermore     </t>
  </si>
  <si>
    <t>37.7181756552264-121.724808264734</t>
  </si>
  <si>
    <t xml:space="preserve">Menchies Frozen Yogurt Livermore     </t>
  </si>
  <si>
    <t>37.6783516-121.784120699999</t>
  </si>
  <si>
    <t xml:space="preserve">La Farfalla Bakery Fremont     </t>
  </si>
  <si>
    <t>37.5566932750951-121.952448293212</t>
  </si>
  <si>
    <t xml:space="preserve">Ice3 Creamery Fremont      </t>
  </si>
  <si>
    <t>37.556529-121.952556</t>
  </si>
  <si>
    <t xml:space="preserve">Yogurt Shop Danville      </t>
  </si>
  <si>
    <t>37.7986554-121.918740599999</t>
  </si>
  <si>
    <t xml:space="preserve">Bean Scene Cafe Fremont 2    </t>
  </si>
  <si>
    <t>37.5327289999999-121.95934</t>
  </si>
  <si>
    <t xml:space="preserve">Yogurtland San Ramon      </t>
  </si>
  <si>
    <t>37.7624177187681-121.960900202394</t>
  </si>
  <si>
    <t xml:space="preserve">Chilly And Munch Mountain View    </t>
  </si>
  <si>
    <t>37.4068109566105-122.106984711639</t>
  </si>
  <si>
    <t xml:space="preserve">Jazen Tea Mountain View 3    </t>
  </si>
  <si>
    <t>37.3936614990234-122.079444885254</t>
  </si>
  <si>
    <t xml:space="preserve">T4 Palo Alto 2     </t>
  </si>
  <si>
    <t>37.44451-122.16337</t>
  </si>
  <si>
    <t xml:space="preserve">Pearl Cafe Mountain View     </t>
  </si>
  <si>
    <t>37.402982863672-122.10676106228</t>
  </si>
  <si>
    <t xml:space="preserve">Tapioca Express Mountain View     </t>
  </si>
  <si>
    <t>37.39379-122.078389999999</t>
  </si>
  <si>
    <t xml:space="preserve">Teaspoon Palo Alto 7     </t>
  </si>
  <si>
    <t>37.4340849999999-122.129446</t>
  </si>
  <si>
    <t xml:space="preserve">Teaspoon Milpitas       </t>
  </si>
  <si>
    <t>37.42868-121.911319999999</t>
  </si>
  <si>
    <t xml:space="preserve">Teasociety Milpitas       </t>
  </si>
  <si>
    <t>37.4341782-121.9007438</t>
  </si>
  <si>
    <t xml:space="preserve">T4 Milpitas       </t>
  </si>
  <si>
    <t>37.4207404131486-121.91664888892</t>
  </si>
  <si>
    <t xml:space="preserve">Bcute Tea Drinks And Finger Foods Milpitas 2 </t>
  </si>
  <si>
    <t>37.4264901499098-121.909996320473</t>
  </si>
  <si>
    <t xml:space="preserve">Poke Xpress Milpitas      </t>
  </si>
  <si>
    <t>37.4128099773883-121.902977563441</t>
  </si>
  <si>
    <t xml:space="preserve">Happy Lemon Milpitas 6     </t>
  </si>
  <si>
    <t>37.4274706596526-121.91078242325</t>
  </si>
  <si>
    <t xml:space="preserve">Yummi Tea Cafe San Jose 3   </t>
  </si>
  <si>
    <t>37.414925-121.875899</t>
  </si>
  <si>
    <t xml:space="preserve">Sno Crave Tea House Milpitas    </t>
  </si>
  <si>
    <t>37.4558077007532-121.911192834377</t>
  </si>
  <si>
    <t xml:space="preserve">Sancha Bar Milpitas      </t>
  </si>
  <si>
    <t>37.4464966-121.904016099999</t>
  </si>
  <si>
    <t xml:space="preserve">Chick And Tea Milpitas 4    </t>
  </si>
  <si>
    <t>37.4551887512207-121.911521911621</t>
  </si>
  <si>
    <t xml:space="preserve">T4 San Jose      </t>
  </si>
  <si>
    <t>37.3973731994629-121.873687744141</t>
  </si>
  <si>
    <t xml:space="preserve">Queens Cafe Milpitas      </t>
  </si>
  <si>
    <t>37.4224649523506-121.916673478539</t>
  </si>
  <si>
    <t xml:space="preserve">The Pennywort San Jose 5    </t>
  </si>
  <si>
    <t>37.40685-121.88672</t>
  </si>
  <si>
    <t xml:space="preserve">Bambu San Jose 9     </t>
  </si>
  <si>
    <t>37.3862088776267-121.884416049074</t>
  </si>
  <si>
    <t xml:space="preserve">Black Pearl San Jose 2    </t>
  </si>
  <si>
    <t>37.3843159241917-121.89744169577</t>
  </si>
  <si>
    <t xml:space="preserve">Happiness Cafe San Jose     </t>
  </si>
  <si>
    <t>37.3863881481701-121.884803238097</t>
  </si>
  <si>
    <t xml:space="preserve">85 C Bakery Cafe Milpitas 2   </t>
  </si>
  <si>
    <t>37.419465-121.915568</t>
  </si>
  <si>
    <t xml:space="preserve">Simpletea Milpitas       </t>
  </si>
  <si>
    <t>37.416848-121.8768983</t>
  </si>
  <si>
    <t xml:space="preserve">Bambu Milpitas 7      </t>
  </si>
  <si>
    <t>37.433926-121.884259</t>
  </si>
  <si>
    <t xml:space="preserve">Fantasia Coffee And Tea Santa Clara   </t>
  </si>
  <si>
    <t>37.3953035880334-121.946540661156</t>
  </si>
  <si>
    <t xml:space="preserve">Shihlin Taiwan Street Snacks Milpitas    </t>
  </si>
  <si>
    <t>37.420773-121.916405</t>
  </si>
  <si>
    <t xml:space="preserve">Quickly Milpitas 2      </t>
  </si>
  <si>
    <t>37.4178751788897-121.874392975463</t>
  </si>
  <si>
    <t xml:space="preserve">Honeyberry San Jose 9     </t>
  </si>
  <si>
    <t>37.4093138578249-121.945219193046</t>
  </si>
  <si>
    <t xml:space="preserve">Aroma Coffee And Snacks Milpitas    </t>
  </si>
  <si>
    <t>37.4168459526991-121.876774057745</t>
  </si>
  <si>
    <t xml:space="preserve">Teatime Redwood City      </t>
  </si>
  <si>
    <t>37.4846042071457-122.232427139501</t>
  </si>
  <si>
    <t xml:space="preserve">Comebuy Drinks Redwood City     </t>
  </si>
  <si>
    <t>37.4868-122.22766</t>
  </si>
  <si>
    <t xml:space="preserve">Teaspoon Redwood City      </t>
  </si>
  <si>
    <t>37.4861601263273-122.230740152299</t>
  </si>
  <si>
    <t xml:space="preserve">Davidstea Palo Alto 2     </t>
  </si>
  <si>
    <t>37.4461057-122.1610267</t>
  </si>
  <si>
    <t xml:space="preserve">Pokélove Palo Alto      </t>
  </si>
  <si>
    <t>37.438632-122.160532</t>
  </si>
  <si>
    <t xml:space="preserve">Bare Bowls Palo Alto     </t>
  </si>
  <si>
    <t>37.44413-122.16237</t>
  </si>
  <si>
    <t xml:space="preserve">Tea Time Palo Alto     </t>
  </si>
  <si>
    <t>37.4446105957031-122.161544799804</t>
  </si>
  <si>
    <t xml:space="preserve">Chantal Guillon Macarons And Teas Palo Alto 2 </t>
  </si>
  <si>
    <t>37.44752-122.15965</t>
  </si>
  <si>
    <t xml:space="preserve">Happy Donuts Palo Alto     </t>
  </si>
  <si>
    <t>37.41643-122.13004</t>
  </si>
  <si>
    <t xml:space="preserve">Quickly Sunnyvale 4      </t>
  </si>
  <si>
    <t>37.390076192143-122.042184743589</t>
  </si>
  <si>
    <t xml:space="preserve">Fraiche Palo Alto 2     </t>
  </si>
  <si>
    <t>37.4438754674247-122.161595821381</t>
  </si>
  <si>
    <t xml:space="preserve">Quickly Redwood City      </t>
  </si>
  <si>
    <t>37.4917931901457-122.224192531476</t>
  </si>
  <si>
    <t xml:space="preserve">Coupa Café Palo Alto 3    </t>
  </si>
  <si>
    <t>37.444682-122.161533</t>
  </si>
  <si>
    <t xml:space="preserve">Cream Palo Alto 3     </t>
  </si>
  <si>
    <t>37.447555-122.159804</t>
  </si>
  <si>
    <t xml:space="preserve">Ohana Express Redwood City 2    </t>
  </si>
  <si>
    <t>37.46868-122.223999999999</t>
  </si>
  <si>
    <t xml:space="preserve">Yogurtland Palo Alto      </t>
  </si>
  <si>
    <t>37.4480657-122.159221</t>
  </si>
  <si>
    <t xml:space="preserve">Coupa Café Lytton Palo Alto    </t>
  </si>
  <si>
    <t>37.4444718383711-122.165222240072</t>
  </si>
  <si>
    <t xml:space="preserve">Green Bakery And Café Los Altos 11  </t>
  </si>
  <si>
    <t>37.3604672926655-122.096757004484</t>
  </si>
  <si>
    <t xml:space="preserve">Wild Berry Yogurt Menlo Park    </t>
  </si>
  <si>
    <t>37.42398-122.19693</t>
  </si>
  <si>
    <t xml:space="preserve">The Posh Bagel Los Altos    </t>
  </si>
  <si>
    <t>37.3783798-122.117019699999</t>
  </si>
  <si>
    <t xml:space="preserve">Paris Baguette Palo Alto     </t>
  </si>
  <si>
    <t>37.4471969604492-122.160781860352</t>
  </si>
  <si>
    <t xml:space="preserve">Taza Deli And Cafe Redwood City   </t>
  </si>
  <si>
    <t>37.4868656-122.223413299999</t>
  </si>
  <si>
    <t xml:space="preserve">Rojoz Gourmet Wraps Palo Alto 2   </t>
  </si>
  <si>
    <t>37.41883-122.1099</t>
  </si>
  <si>
    <t xml:space="preserve">Froyola Redwood City      </t>
  </si>
  <si>
    <t>37.4867482944358-122.229360103705</t>
  </si>
  <si>
    <t xml:space="preserve">Mr Green Bubble Sunnyvale     </t>
  </si>
  <si>
    <t>37.35338-122.05071</t>
  </si>
  <si>
    <t xml:space="preserve">Coupa Cafe Green Library Stanford    </t>
  </si>
  <si>
    <t>37.426249336151-122.16706752777</t>
  </si>
  <si>
    <t xml:space="preserve">Dohatsuten Palo Alto      </t>
  </si>
  <si>
    <t>37.4203109741211-122.102348327637</t>
  </si>
  <si>
    <t xml:space="preserve">Panda Express Mountain View 2    </t>
  </si>
  <si>
    <t>37.390983766688-122.095294088778</t>
  </si>
  <si>
    <t xml:space="preserve">Nekter Juice Bar Mountain View    </t>
  </si>
  <si>
    <t>37.4015598999999-122.1132477</t>
  </si>
  <si>
    <t>Green Leaf Asian Bistro And Cafe Redwood City 2</t>
  </si>
  <si>
    <t>37.4857502210641-122.228834925786</t>
  </si>
  <si>
    <t xml:space="preserve">Koma Sushi Restaurant Menlo Park 3   </t>
  </si>
  <si>
    <t>37.4483544-122.174376799999</t>
  </si>
  <si>
    <t xml:space="preserve">The Axe And Palm Stanford    </t>
  </si>
  <si>
    <t>37.425371754743-122.170543670654</t>
  </si>
  <si>
    <t xml:space="preserve">Cocohodo Sunnyvale 2      </t>
  </si>
  <si>
    <t>37.3517264451999-122.002505609904</t>
  </si>
  <si>
    <t xml:space="preserve">Hotpot First Sunnyvale      </t>
  </si>
  <si>
    <t>37.3973885-121.9967194</t>
  </si>
  <si>
    <t xml:space="preserve">Bean Scene Sunnyvale      </t>
  </si>
  <si>
    <t>37.3761833999999-122.0301825</t>
  </si>
  <si>
    <t xml:space="preserve">Sharetea Santa Clara 7     </t>
  </si>
  <si>
    <t>37.3255099999999-121.94462</t>
  </si>
  <si>
    <t xml:space="preserve">Jazen Tea Santa Clara Santa Clara   </t>
  </si>
  <si>
    <t>37.3515863912687-121.99270148474</t>
  </si>
  <si>
    <t xml:space="preserve">Honeyberry Santa Clara      </t>
  </si>
  <si>
    <t>37.3515681496377-121.992844729458</t>
  </si>
  <si>
    <t xml:space="preserve">World Wrapps 2 0 Santa Clara   </t>
  </si>
  <si>
    <t>37.38919-121.983389999999</t>
  </si>
  <si>
    <t xml:space="preserve">Youji Fresh Rolls Wine And Tea Santa Clara </t>
  </si>
  <si>
    <t>37.326036489104-121.944165208983</t>
  </si>
  <si>
    <t xml:space="preserve">Frozos Frozen Yogurt Santa Clara    </t>
  </si>
  <si>
    <t>37.3503848-121.9437883</t>
  </si>
  <si>
    <t xml:space="preserve">Cool Tea Bar South San Francisco 4  </t>
  </si>
  <si>
    <t>37.6492551499593-122.429556883872</t>
  </si>
  <si>
    <t xml:space="preserve">Tiger Tea And Juice Burlingame 3   </t>
  </si>
  <si>
    <t>37.594114-122.384605</t>
  </si>
  <si>
    <t xml:space="preserve">Aqua Club Dessert And Beverage San Bruno  </t>
  </si>
  <si>
    <t>37.622566-122.410941999999</t>
  </si>
  <si>
    <t xml:space="preserve">Bobabia San Mateo      </t>
  </si>
  <si>
    <t>37.5671987999999-122.3253964</t>
  </si>
  <si>
    <t xml:space="preserve">Happy Lemon Burlingame 4     </t>
  </si>
  <si>
    <t>37.5773026-122.3486125</t>
  </si>
  <si>
    <t xml:space="preserve">Eggettes South San Francisco     </t>
  </si>
  <si>
    <t>37.6492265-122.430214299999</t>
  </si>
  <si>
    <t xml:space="preserve">Tpumps Burlingame       </t>
  </si>
  <si>
    <t>37.5794379623736-122.345903012389</t>
  </si>
  <si>
    <t xml:space="preserve">Teaspoon San Mateo      </t>
  </si>
  <si>
    <t>37.564318-122.323843099999</t>
  </si>
  <si>
    <t xml:space="preserve">Cha Express San Mateo     </t>
  </si>
  <si>
    <t>37.5649712999999-122.3228903</t>
  </si>
  <si>
    <t xml:space="preserve">Search Tea Millbrae 5     </t>
  </si>
  <si>
    <t>37.61218-122.404</t>
  </si>
  <si>
    <t xml:space="preserve">Tea World Pacifica      </t>
  </si>
  <si>
    <t>37.6337492-122.4887216</t>
  </si>
  <si>
    <t xml:space="preserve">T4 Millbrae 10      </t>
  </si>
  <si>
    <t>37.601183-122.392173</t>
  </si>
  <si>
    <t xml:space="preserve">I Tea Burlingame 2     </t>
  </si>
  <si>
    <t>37.5801206-122.346889099999</t>
  </si>
  <si>
    <t xml:space="preserve">Boba Dude Half Moon Bay    </t>
  </si>
  <si>
    <t>37.4702203984019-122.435569055378</t>
  </si>
  <si>
    <t xml:space="preserve">Eggettes Millbrae 2      </t>
  </si>
  <si>
    <t>37.6048409390981-122.397278312931</t>
  </si>
  <si>
    <t xml:space="preserve">Gong Cha San Mateo 2    </t>
  </si>
  <si>
    <t>37.5667191-122.3239517</t>
  </si>
  <si>
    <t xml:space="preserve">Bambu South San Francisco     </t>
  </si>
  <si>
    <t>37.649195-122.4530236</t>
  </si>
  <si>
    <t xml:space="preserve">Super Cue Cafe San Mateo 2   </t>
  </si>
  <si>
    <t>37.5444733117821-122.28505220123</t>
  </si>
  <si>
    <t xml:space="preserve">Bambu San Mateo 2     </t>
  </si>
  <si>
    <t>37.5665365-122.3232678</t>
  </si>
  <si>
    <t xml:space="preserve">Eggettes San Mateo      </t>
  </si>
  <si>
    <t>37.5674099999999-122.324069999999</t>
  </si>
  <si>
    <t xml:space="preserve">Chatime San Mateo 2     </t>
  </si>
  <si>
    <t>37.56413-122.322939999999</t>
  </si>
  <si>
    <t xml:space="preserve">Tpumps Foster City      </t>
  </si>
  <si>
    <t>37.5573531403401-122.274742340384</t>
  </si>
  <si>
    <t xml:space="preserve">Creme Brewlee San Mateo 2    </t>
  </si>
  <si>
    <t>37.5448989862154-122.28502356257</t>
  </si>
  <si>
    <t xml:space="preserve">Chatime Foster City      </t>
  </si>
  <si>
    <t>37.544739-122.271085</t>
  </si>
  <si>
    <t xml:space="preserve">Quickly San Mateo      </t>
  </si>
  <si>
    <t>37.5643615722656-122.323524475098</t>
  </si>
  <si>
    <t xml:space="preserve">Fresh Nation Desserts San Mateo 2   </t>
  </si>
  <si>
    <t>37.5633809-122.3251999</t>
  </si>
  <si>
    <t xml:space="preserve">Ya Ua Yogurt And Boba Tea Belmont 2 </t>
  </si>
  <si>
    <t>37.5102232-122.293820799999</t>
  </si>
  <si>
    <t xml:space="preserve">Snacks San Mateo 2     </t>
  </si>
  <si>
    <t>37.5683427999999-122.3254578</t>
  </si>
  <si>
    <t xml:space="preserve">Dessert Republic San Mateo     </t>
  </si>
  <si>
    <t>37.5669003999999-122.3234145</t>
  </si>
  <si>
    <t xml:space="preserve">Mints And Honey San Carlos    </t>
  </si>
  <si>
    <t>37.49613-122.2477</t>
  </si>
  <si>
    <t xml:space="preserve">Bambu Millbrae 2      </t>
  </si>
  <si>
    <t>37.6003797-122.3900105</t>
  </si>
  <si>
    <t xml:space="preserve">Icicles San Mateo      </t>
  </si>
  <si>
    <t>37.5652198999999-122.3225</t>
  </si>
  <si>
    <t xml:space="preserve">Kingkat Bar And Eatery San Mateo 2  </t>
  </si>
  <si>
    <t>37.54368-122.30661</t>
  </si>
  <si>
    <t xml:space="preserve">Quickly Burlingame 2      </t>
  </si>
  <si>
    <t>37.5771875948767-122.34879302025</t>
  </si>
  <si>
    <t xml:space="preserve">Antoines Cookie Shop San Mateo 3   </t>
  </si>
  <si>
    <t>37.5659547999999-122.3233725</t>
  </si>
  <si>
    <t xml:space="preserve">Quickly Foster City 3     </t>
  </si>
  <si>
    <t>37.5447598999999-122.271039999999</t>
  </si>
  <si>
    <t xml:space="preserve">Moo Moo Yogurt Foster City    </t>
  </si>
  <si>
    <t>37.5441112400917-122.270671007271</t>
  </si>
  <si>
    <t xml:space="preserve">Clear Optometry San Mateo     </t>
  </si>
  <si>
    <t>37.5643-122.32361</t>
  </si>
  <si>
    <t xml:space="preserve">Boiling Point San Mateo     </t>
  </si>
  <si>
    <t>37.56386-122.32335</t>
  </si>
  <si>
    <t xml:space="preserve">Cream San Mateo      </t>
  </si>
  <si>
    <t>37.5665107999999-122.3237287</t>
  </si>
  <si>
    <t xml:space="preserve">Poke Island Creasian Kitchen San Mateo   </t>
  </si>
  <si>
    <t>37.5674055-122.324276099999</t>
  </si>
  <si>
    <t xml:space="preserve">Waterfront Cafe Burlingame      </t>
  </si>
  <si>
    <t>37.590323-122.34142</t>
  </si>
  <si>
    <t xml:space="preserve">Never Too Latte San Bruno 2   </t>
  </si>
  <si>
    <t>37.6241-122.41095</t>
  </si>
  <si>
    <t xml:space="preserve">Jougert Bar Burlingame      </t>
  </si>
  <si>
    <t>37.5793126-122.345740099999</t>
  </si>
  <si>
    <t xml:space="preserve">Mini Coffee San Mateo 2    </t>
  </si>
  <si>
    <t>37.56167-122.31891</t>
  </si>
  <si>
    <t xml:space="preserve">Sweet Indulgence Millbrae 3     </t>
  </si>
  <si>
    <t>37.6007901-122.3914315</t>
  </si>
  <si>
    <t xml:space="preserve">Ramen Dojo San Mateo     </t>
  </si>
  <si>
    <t>37.5621429-122.3185051</t>
  </si>
  <si>
    <t xml:space="preserve">Quickly Millbrae 4      </t>
  </si>
  <si>
    <t>37.60147-122.39148</t>
  </si>
  <si>
    <t xml:space="preserve">Bobo Drinks Fairfield 2     </t>
  </si>
  <si>
    <t>38.2640655855632-122.050264324325</t>
  </si>
  <si>
    <t xml:space="preserve">T4 Tea For U Fairfield    </t>
  </si>
  <si>
    <t>38.2767099999999-122.03353</t>
  </si>
  <si>
    <t xml:space="preserve">Peace Love And Boba Vacaville    </t>
  </si>
  <si>
    <t>38.3353873467452-121.954629868269</t>
  </si>
  <si>
    <t xml:space="preserve">Halo Halo Bar And Boba Station Suisun City </t>
  </si>
  <si>
    <t>38.24225-122.01803</t>
  </si>
  <si>
    <t xml:space="preserve">Quickly Fairfield 3      </t>
  </si>
  <si>
    <t>38.2603729-122.054640099999</t>
  </si>
  <si>
    <t xml:space="preserve">Tutti Frutti Fairfield 2     </t>
  </si>
  <si>
    <t>38.2890102925701-122.033686637877</t>
  </si>
  <si>
    <t xml:space="preserve">Sharetea Concord 3      </t>
  </si>
  <si>
    <t>37.9761596024036-122.033636346459</t>
  </si>
  <si>
    <t xml:space="preserve">I Tea Pittsburg      </t>
  </si>
  <si>
    <t>38.0108707398176-121.868887022138</t>
  </si>
  <si>
    <t xml:space="preserve">Quickly Vallejo 12      </t>
  </si>
  <si>
    <t>38.1340827941895-122.21915435791</t>
  </si>
  <si>
    <t xml:space="preserve">Teazentea Brentwood 3      </t>
  </si>
  <si>
    <t>37.9369147127279-121.698112115264</t>
  </si>
  <si>
    <t xml:space="preserve">Quickly Vacaville       </t>
  </si>
  <si>
    <t>38.3700576-121.961772</t>
  </si>
  <si>
    <t xml:space="preserve">Mandro Teahouse Davis      </t>
  </si>
  <si>
    <t>38.5541889-121.7869827</t>
  </si>
  <si>
    <t xml:space="preserve">Tapioca Express Vallejo      </t>
  </si>
  <si>
    <t>38.125256896019-122.255262583494</t>
  </si>
  <si>
    <t xml:space="preserve">Okashi Fusion Vacaville      </t>
  </si>
  <si>
    <t>38.3703303337097-121.959481313825</t>
  </si>
  <si>
    <t xml:space="preserve">Cafe Tapioca Hercules      </t>
  </si>
  <si>
    <t>38.00996-122.270604</t>
  </si>
  <si>
    <t xml:space="preserve">Pho Saigon No 1 Vietnamese Restaurant Fairfield 2 </t>
  </si>
  <si>
    <t>38.26504-122.033139999999</t>
  </si>
  <si>
    <t xml:space="preserve">Ontap Davis       </t>
  </si>
  <si>
    <t>38.5465253999999-121.7607466</t>
  </si>
  <si>
    <t xml:space="preserve">T4 Antioch 12      </t>
  </si>
  <si>
    <t>37.9659262678636-121.780671279596</t>
  </si>
  <si>
    <t xml:space="preserve">Bobaloca Concord 4      </t>
  </si>
  <si>
    <t>37.9749903198783-122.038871629666</t>
  </si>
  <si>
    <t xml:space="preserve">Teabo Café Davis      </t>
  </si>
  <si>
    <t>38.5407655197016-121.724717874066</t>
  </si>
  <si>
    <t xml:space="preserve">Lazi Cow Davis      </t>
  </si>
  <si>
    <t>38.5465-121.74006</t>
  </si>
  <si>
    <t xml:space="preserve">T4 San Pablo 3     </t>
  </si>
  <si>
    <t>37.954766898894-122.334166861144</t>
  </si>
  <si>
    <t xml:space="preserve">T4 Concord Concord      </t>
  </si>
  <si>
    <t>37.9776375471723-122.034577466548</t>
  </si>
  <si>
    <t xml:space="preserve">Dragon Snow El Sobrante     </t>
  </si>
  <si>
    <t>37.96301-122.31987</t>
  </si>
  <si>
    <t xml:space="preserve">Cj Fusion Fairfield      </t>
  </si>
  <si>
    <t>38.25803-122.03509</t>
  </si>
  <si>
    <t xml:space="preserve">Gong Cha Davis      </t>
  </si>
  <si>
    <t>38.5620003834934-121.765583911777</t>
  </si>
  <si>
    <t xml:space="preserve">Suisun Seafood Center Suisun City    </t>
  </si>
  <si>
    <t xml:space="preserve">Teaone Davis       </t>
  </si>
  <si>
    <t>38.5436287-121.7415001</t>
  </si>
  <si>
    <t xml:space="preserve">Quickly Brentwood Brentwood      </t>
  </si>
  <si>
    <t>37.9603143999999-121.7326581</t>
  </si>
  <si>
    <t xml:space="preserve">T4 Davis 3      </t>
  </si>
  <si>
    <t>38.5430607163953-121.740498058498</t>
  </si>
  <si>
    <t xml:space="preserve">Bangkok Paradise Fairfield      </t>
  </si>
  <si>
    <t>38.29174-122.03293</t>
  </si>
  <si>
    <t xml:space="preserve">Easel Davis 2      </t>
  </si>
  <si>
    <t>38.5603285349925-121.757062978432</t>
  </si>
  <si>
    <t xml:space="preserve">Sharetea Davis Davis 2     </t>
  </si>
  <si>
    <t>38.5436861078294-121.746784233134</t>
  </si>
  <si>
    <t xml:space="preserve">The Old Teahouse Davis 3    </t>
  </si>
  <si>
    <t xml:space="preserve">Pho Lee Hoa Phat Fairfield    </t>
  </si>
  <si>
    <t>38.2583578295892-122.020811644487</t>
  </si>
  <si>
    <t xml:space="preserve">Skyview Noodle And Tea Pittsburg 3   </t>
  </si>
  <si>
    <t>38.0329401103612-121.882134117186</t>
  </si>
  <si>
    <t xml:space="preserve">Noodle House Fairfield 2     </t>
  </si>
  <si>
    <t>38.263944-122.050281</t>
  </si>
  <si>
    <t xml:space="preserve">Sisig Suisun City 3     </t>
  </si>
  <si>
    <t xml:space="preserve">Rrags Caffe Benicia      </t>
  </si>
  <si>
    <t>38.0543339252472-122.152609080076</t>
  </si>
  <si>
    <t xml:space="preserve">Yumygurt Pinole       </t>
  </si>
  <si>
    <t>37.9952735900879-122.285331726074</t>
  </si>
  <si>
    <t xml:space="preserve">Vampire Penguin Brentwood 2     </t>
  </si>
  <si>
    <t>37.946219-121.738762</t>
  </si>
  <si>
    <t xml:space="preserve">Going Green Martinez      </t>
  </si>
  <si>
    <t>37.9934616-122.1024094</t>
  </si>
  <si>
    <t xml:space="preserve">Quickly Antioch 2      </t>
  </si>
  <si>
    <t>38.004497387479-121.799923304048</t>
  </si>
  <si>
    <t xml:space="preserve">Pho Lee Hoa Phat Vacaville    </t>
  </si>
  <si>
    <t>38.3539886474609-121.978248596191</t>
  </si>
  <si>
    <t xml:space="preserve">Ice Monster Walnut Creek     </t>
  </si>
  <si>
    <t>37.9297795146704-122.016731053591</t>
  </si>
  <si>
    <t xml:space="preserve">T4 Walnut Creek      </t>
  </si>
  <si>
    <t>37.9174137-122.0375497</t>
  </si>
  <si>
    <t xml:space="preserve">Chalogy Tea Bar Walnut Creek 4   </t>
  </si>
  <si>
    <t>37.8981-122.06206</t>
  </si>
  <si>
    <t xml:space="preserve">Mr Green Bubble Walnut Creek 2   </t>
  </si>
  <si>
    <t>37.9000639934234-122.062495370938</t>
  </si>
  <si>
    <t xml:space="preserve">Cool Tea Bar Danville 4    </t>
  </si>
  <si>
    <t>37.8227538431367-122.001181084905</t>
  </si>
  <si>
    <t xml:space="preserve">Quickly Concord 5      </t>
  </si>
  <si>
    <t>37.97879750393-121.992360118227</t>
  </si>
  <si>
    <t xml:space="preserve">Quickly Concord       </t>
  </si>
  <si>
    <t>37.9728660583496-122.043716430664</t>
  </si>
  <si>
    <t xml:space="preserve">T4 And Poke Walnut Creek    </t>
  </si>
  <si>
    <t>37.89883-122.06105</t>
  </si>
  <si>
    <t xml:space="preserve">I Tea Moraga 3     </t>
  </si>
  <si>
    <t>37.8353491-122.1264706</t>
  </si>
  <si>
    <t xml:space="preserve">Panache Caffe Lafayette      </t>
  </si>
  <si>
    <t>37.8906068-122.127733299999</t>
  </si>
  <si>
    <t xml:space="preserve">Coco Swirl Pleasant Hill     </t>
  </si>
  <si>
    <t>37.94665-122.061619999999</t>
  </si>
  <si>
    <t xml:space="preserve">Surf City Squeeze Concord     </t>
  </si>
  <si>
    <t>37.9672766-122.0621762</t>
  </si>
  <si>
    <t xml:space="preserve">Hello Pho Concord      </t>
  </si>
  <si>
    <t>37.95516-122.04158</t>
  </si>
  <si>
    <t xml:space="preserve">Harvest House Concord      </t>
  </si>
  <si>
    <t>37.9603599999999-122.03578</t>
  </si>
  <si>
    <t xml:space="preserve">I Love Teriyaki And Sushi Concord 2  </t>
  </si>
  <si>
    <t>37.9762523253409-122.037221553584</t>
  </si>
  <si>
    <t xml:space="preserve">Cornology Walnut Creek 3     </t>
  </si>
  <si>
    <t xml:space="preserve">Saigon Bistro Concord      </t>
  </si>
  <si>
    <t>37.974103-122.041692</t>
  </si>
  <si>
    <t xml:space="preserve">99 Ranch Market Concord 2    </t>
  </si>
  <si>
    <t>37.974712-122.039859</t>
  </si>
  <si>
    <t xml:space="preserve">Double Rainbow Cafe Benicia     </t>
  </si>
  <si>
    <t>38.04837-122.15871</t>
  </si>
  <si>
    <t xml:space="preserve">Blue Saigon Pittsburg      </t>
  </si>
  <si>
    <t>38.0134741-121.8905534</t>
  </si>
  <si>
    <t xml:space="preserve">Jollibee Concord       </t>
  </si>
  <si>
    <t>37.97341-122.0557</t>
  </si>
  <si>
    <t xml:space="preserve">Pho Huynh Hiep 5 Kevins Noodle House Concord </t>
  </si>
  <si>
    <t>37.97514-122.03901</t>
  </si>
  <si>
    <t xml:space="preserve">Pho Lee Hoa Phat Pleasant Hill   </t>
  </si>
  <si>
    <t>37.980899-122.068382</t>
  </si>
  <si>
    <t>Pho Huynh Hiep 6 Kevins Noodle House Walnut Creek</t>
  </si>
  <si>
    <t>37.9079856872558-122.064300537108</t>
  </si>
  <si>
    <t xml:space="preserve">Smitten Ice Cream Lafayette     </t>
  </si>
  <si>
    <t>37.8916207-122.1198696</t>
  </si>
  <si>
    <t xml:space="preserve">Aung Maylika Benicia 4     </t>
  </si>
  <si>
    <t>38.066112359505-122.165491386026</t>
  </si>
  <si>
    <t xml:space="preserve">Izzyas Frozen Custard Lafayette 2    </t>
  </si>
  <si>
    <t>37.89301-122.12063</t>
  </si>
  <si>
    <t xml:space="preserve">Yogurtland Pleasant Hill      </t>
  </si>
  <si>
    <t>37.9448334310086-122.056119731669</t>
  </si>
  <si>
    <t xml:space="preserve">Golden Bakery Pittsburg      </t>
  </si>
  <si>
    <t>38.0136496-121.8904874</t>
  </si>
  <si>
    <t xml:space="preserve">Tutti Frutti Montclair Oakland     </t>
  </si>
  <si>
    <t>37.8261642-122.209205599999</t>
  </si>
  <si>
    <t xml:space="preserve">Tangelo Frozen Yogurt Moraga     </t>
  </si>
  <si>
    <t>37.8600274754793-122.125603221525</t>
  </si>
  <si>
    <t xml:space="preserve">Surf City Squeeze Antioch     </t>
  </si>
  <si>
    <t>38.0000664-121.841951799999</t>
  </si>
  <si>
    <t xml:space="preserve">Lv Vietnamese Pho And Sandwiches Vallejo   </t>
  </si>
  <si>
    <t>38.1054840087891-122.207710266113</t>
  </si>
  <si>
    <t xml:space="preserve">Korea House Concord      </t>
  </si>
  <si>
    <t>37.97514-122.038739999999</t>
  </si>
  <si>
    <t xml:space="preserve">Yo Sushi Martinez      </t>
  </si>
  <si>
    <t>37.9969242-122.1078972</t>
  </si>
  <si>
    <t xml:space="preserve">Lulus Kitchen Concord      </t>
  </si>
  <si>
    <t>37.9728762316744-122.043781183031</t>
  </si>
  <si>
    <t xml:space="preserve">Pho Hoa An Pleasant Hill    </t>
  </si>
  <si>
    <t>37.9544806480407-122.060296833515</t>
  </si>
  <si>
    <t xml:space="preserve">Saigon Bistro Restaurant Pittsburg     </t>
  </si>
  <si>
    <t>38.0068147913603-121.841531507671</t>
  </si>
  <si>
    <t xml:space="preserve">Pho Lee Hoa Phat Pittsburg 5   </t>
  </si>
  <si>
    <t>38.0114778891117-121.889719069004</t>
  </si>
  <si>
    <t xml:space="preserve">Viet Nam Noodle House Antioch 4   </t>
  </si>
  <si>
    <t>38.0040780947741-121.844287128215</t>
  </si>
  <si>
    <t xml:space="preserve">Little Hearty Noodle Moraga 2    </t>
  </si>
  <si>
    <t>37.8578085-122.1258359</t>
  </si>
  <si>
    <t xml:space="preserve">Bubble Loca Richmond      </t>
  </si>
  <si>
    <t>37.8988113-122.3075638</t>
  </si>
  <si>
    <t xml:space="preserve">Ten Ren Tea Co Richmond    </t>
  </si>
  <si>
    <t>37.8987543089592-122.307458450512</t>
  </si>
  <si>
    <t xml:space="preserve">Tala Coffee And Tea El Cerrito 2  </t>
  </si>
  <si>
    <t>37.9131379268406-122.309712024741</t>
  </si>
  <si>
    <t xml:space="preserve">Sharetea San Rafael 3     </t>
  </si>
  <si>
    <t>37.9717057943344-122.518760114908</t>
  </si>
  <si>
    <t>Tpartea Boba Drinks And Banh Mi San Rafael 3</t>
  </si>
  <si>
    <t>38.0039492652398-122.5438844508</t>
  </si>
  <si>
    <t xml:space="preserve">Sunny Day Sweet House Richmond    </t>
  </si>
  <si>
    <t>37.89881-122.30756</t>
  </si>
  <si>
    <t xml:space="preserve">Aloha Pure Water Shaved Ice San Pablo  </t>
  </si>
  <si>
    <t>37.966045-122.343246</t>
  </si>
  <si>
    <t xml:space="preserve">World Wrapps Corte Madera 7    </t>
  </si>
  <si>
    <t>37.9283378273249-122.518047988414</t>
  </si>
  <si>
    <t xml:space="preserve">Quickly El Cerrito      </t>
  </si>
  <si>
    <t>37.9012082234262-122.299600839615</t>
  </si>
  <si>
    <t xml:space="preserve">Tay Tah Cafe Albany     </t>
  </si>
  <si>
    <t>37.8902299999999-122.29626</t>
  </si>
  <si>
    <t xml:space="preserve">Sweetheart Cafe Berkeley      </t>
  </si>
  <si>
    <t>37.8680525-122.258168</t>
  </si>
  <si>
    <t xml:space="preserve">Teaone Berkeley Berkeley      </t>
  </si>
  <si>
    <t>37.86727-122.25905</t>
  </si>
  <si>
    <t xml:space="preserve">Quickly Kobe Bento Richmond 2    </t>
  </si>
  <si>
    <t>37.8988979999999-122.307341</t>
  </si>
  <si>
    <t xml:space="preserve">Quickly San Rafael      </t>
  </si>
  <si>
    <t>37.9733537-122.528937999999</t>
  </si>
  <si>
    <t xml:space="preserve">Sivans Cafe Hayward      </t>
  </si>
  <si>
    <t>37.67244-122.08685</t>
  </si>
  <si>
    <t xml:space="preserve">Honey Bear Smoothie Tea And Dessert Hayward  </t>
  </si>
  <si>
    <t>37.6542332-122.1048419</t>
  </si>
  <si>
    <t xml:space="preserve">Sharetea San Ramon      </t>
  </si>
  <si>
    <t>37.7747421264647-121.977684020996</t>
  </si>
  <si>
    <t xml:space="preserve">T4 Castro Valley      </t>
  </si>
  <si>
    <t>37.70864-122.091339999999</t>
  </si>
  <si>
    <t xml:space="preserve">Quickly Hayward       </t>
  </si>
  <si>
    <t>37.6443550220492-122.104630560233</t>
  </si>
  <si>
    <t xml:space="preserve">8 Twelve Oriental Market San Leandro   </t>
  </si>
  <si>
    <t>37.7310477-122.1605656</t>
  </si>
  <si>
    <t xml:space="preserve">Polaris Ice Cream Rolls Hayward    </t>
  </si>
  <si>
    <t>37.652548372651-122.106453901274</t>
  </si>
  <si>
    <t xml:space="preserve">Milkcow Castro Valley      </t>
  </si>
  <si>
    <t>37.69529-122.07956</t>
  </si>
  <si>
    <t xml:space="preserve">Satori Tea Company Saratoga     </t>
  </si>
  <si>
    <t>37.2574696-122.0335427</t>
  </si>
  <si>
    <t xml:space="preserve">Creative Sips San Jose     </t>
  </si>
  <si>
    <t>37.3136978149414-121.946624755858</t>
  </si>
  <si>
    <t xml:space="preserve">Saratoga Bagels Saratoga      </t>
  </si>
  <si>
    <t>37.282037944475-122.03191663334</t>
  </si>
  <si>
    <t xml:space="preserve">Snowflake San Jose      </t>
  </si>
  <si>
    <t>37.3155981167824-121.977282188172</t>
  </si>
  <si>
    <t xml:space="preserve">Steepers Campbell       </t>
  </si>
  <si>
    <t>37.28691-121.94397</t>
  </si>
  <si>
    <t xml:space="preserve">Yodo Yogurt Campbell      </t>
  </si>
  <si>
    <t>37.2784787-121.9497792</t>
  </si>
  <si>
    <t xml:space="preserve">Caffé Central Santa Clara     </t>
  </si>
  <si>
    <t>37.3260982962994-121.944144442677</t>
  </si>
  <si>
    <t xml:space="preserve">Bar Code Santa Clara     </t>
  </si>
  <si>
    <t>37.3260983428105-121.945618966269</t>
  </si>
  <si>
    <t xml:space="preserve">Jovie Coffee And Pho Campbell    </t>
  </si>
  <si>
    <t>37.2878194445875-121.975211858331</t>
  </si>
  <si>
    <t xml:space="preserve">Tous Les Jours Santa Clara    </t>
  </si>
  <si>
    <t>37.33882-121.99497</t>
  </si>
  <si>
    <t xml:space="preserve">Menchies Frozen Yogurt Vallejo     </t>
  </si>
  <si>
    <t>38.133641-122.222463999999</t>
  </si>
  <si>
    <t xml:space="preserve">Starbread Bakery Vallejo      </t>
  </si>
  <si>
    <t>38.1253132837656-122.254159189761</t>
  </si>
  <si>
    <t xml:space="preserve">Pho 1 Vallejo      </t>
  </si>
  <si>
    <t>38.1266670227051-122.256126403808</t>
  </si>
  <si>
    <t xml:space="preserve">Sunshine Bakery Vallejo 3     </t>
  </si>
  <si>
    <t>38.1221466064453-122.254501342773</t>
  </si>
  <si>
    <t xml:space="preserve">Original Red Onion Vallejo 2    </t>
  </si>
  <si>
    <t>38.10589-122.227089999999</t>
  </si>
  <si>
    <t xml:space="preserve">Yo Sushi Vallejo 2     </t>
  </si>
  <si>
    <t>38.0837651342154-122.211666628717</t>
  </si>
  <si>
    <t xml:space="preserve">Midori Japanese Cuisine Vallejo     </t>
  </si>
  <si>
    <t>38.1214397080506-122.254726908082</t>
  </si>
  <si>
    <t xml:space="preserve">Pho Lee Hoa Phat Vallejo 2   </t>
  </si>
  <si>
    <t>38.10499-122.215319999999</t>
  </si>
  <si>
    <t xml:space="preserve">Pho Saigon Village Noodle House Vallejo   </t>
  </si>
  <si>
    <t>38.1238496636738-122.253961014274</t>
  </si>
  <si>
    <t xml:space="preserve">Pho Lee Hoa Phat 2 Vallejo 3  </t>
  </si>
  <si>
    <t>38.1224127025498-122.258621526624</t>
  </si>
  <si>
    <t xml:space="preserve">Chowking Vallejo       </t>
  </si>
  <si>
    <t>38.121818-122.2554405</t>
  </si>
  <si>
    <t xml:space="preserve">Tacos Jalisco Vallejo      </t>
  </si>
  <si>
    <t>38.1211891174316-122.254600524902</t>
  </si>
  <si>
    <t xml:space="preserve">Menchies Frozen Yogurt Belmont 2    </t>
  </si>
  <si>
    <t>37.5189045-122.2744648</t>
  </si>
  <si>
    <t xml:space="preserve">Fashion Wok Foster City     </t>
  </si>
  <si>
    <t>37.5452836454887-122.27046500734</t>
  </si>
  <si>
    <t xml:space="preserve">Pho New Saigon Foster City    </t>
  </si>
  <si>
    <t>37.5532937-122.2565492</t>
  </si>
  <si>
    <t xml:space="preserve">Hongry Kong Belmont 2     </t>
  </si>
  <si>
    <t>37.5240325927734-122.279075622558</t>
  </si>
  <si>
    <t xml:space="preserve">Marina Food San Mateo     </t>
  </si>
  <si>
    <t>37.5444118546376-122.284796650842</t>
  </si>
  <si>
    <t xml:space="preserve">Cooking Papa Restaurant Foster City    </t>
  </si>
  <si>
    <t>37.5446131174646-122.270425803511</t>
  </si>
  <si>
    <t xml:space="preserve">Sheng Kee Bakery San Mateo 2   </t>
  </si>
  <si>
    <t>37.5452652-122.284477099999</t>
  </si>
  <si>
    <t xml:space="preserve">Eat On Monday Mountain View 3   </t>
  </si>
  <si>
    <t>37.3931694030762-122.085517883301</t>
  </si>
  <si>
    <t xml:space="preserve">Pho Little Saigon San Mateo    </t>
  </si>
  <si>
    <t>37.5445885811679-122.284968805751</t>
  </si>
  <si>
    <t xml:space="preserve">Myung Dong Tofu Cabin San Mateo   </t>
  </si>
  <si>
    <t>37.5447841763127-122.284946071312</t>
  </si>
  <si>
    <t xml:space="preserve">Bagel Street Cafe Redwood City    </t>
  </si>
  <si>
    <t>37.5224668331409-122.251625135719</t>
  </si>
  <si>
    <t xml:space="preserve">East 14Th Bakery And Cafe San Leandro 3 </t>
  </si>
  <si>
    <t>37.7215444-122.1509912</t>
  </si>
  <si>
    <t xml:space="preserve">Tapioca Express San Leandro     </t>
  </si>
  <si>
    <t>37.7239999-122.15511</t>
  </si>
  <si>
    <t xml:space="preserve">Quickly San Leandro      </t>
  </si>
  <si>
    <t>37.6978340148926-122.130355834961</t>
  </si>
  <si>
    <t xml:space="preserve">Sweethoney Dessert San Leandro 3    </t>
  </si>
  <si>
    <t>37.7240845354245-122.154812393848</t>
  </si>
  <si>
    <t xml:space="preserve">Hanoi Chicken Noodle San Leandro    </t>
  </si>
  <si>
    <t>37.69982-122.175639999999</t>
  </si>
  <si>
    <t xml:space="preserve">Loving Tea San Leandro     </t>
  </si>
  <si>
    <t>37.7026172-122.1272393</t>
  </si>
  <si>
    <t xml:space="preserve">Cafe Sorriso San Leandro     </t>
  </si>
  <si>
    <t>37.7228-122.155194</t>
  </si>
  <si>
    <t xml:space="preserve">D T Dim Sum And Tea San Leandro </t>
  </si>
  <si>
    <t>37.6799806952477-122.154671028255</t>
  </si>
  <si>
    <t xml:space="preserve">Milk And Cookie Bar Castro Valley 3  </t>
  </si>
  <si>
    <t xml:space="preserve">Sweet Dee Cupcakes And Snow Ice San Leandro </t>
  </si>
  <si>
    <t>37.7229449751301-122.153543170361</t>
  </si>
  <si>
    <t xml:space="preserve">Quickly San Lorenzo      </t>
  </si>
  <si>
    <t>37.6729889960688-122.122139773525</t>
  </si>
  <si>
    <t xml:space="preserve">Tapioca Express Alameda      </t>
  </si>
  <si>
    <t>37.76273-122.24497</t>
  </si>
  <si>
    <t xml:space="preserve">Leisure Cafe San Leandro 2    </t>
  </si>
  <si>
    <t>37.7236583501576-122.154530547558</t>
  </si>
  <si>
    <t xml:space="preserve">Quickly Castro Valley      </t>
  </si>
  <si>
    <t>37.6947791129351-122.073979452252</t>
  </si>
  <si>
    <t xml:space="preserve">China Kitchen Express San Leandro    </t>
  </si>
  <si>
    <t>37.7154007-122.1423264</t>
  </si>
  <si>
    <t xml:space="preserve">Pho An Hoa San Leandro    </t>
  </si>
  <si>
    <t>37.702842-122.142028</t>
  </si>
  <si>
    <t xml:space="preserve">Tuttimelon Alameda       </t>
  </si>
  <si>
    <t xml:space="preserve">Banh Mi Ba Le Oakland    </t>
  </si>
  <si>
    <t>37.78606-122.24101</t>
  </si>
  <si>
    <t xml:space="preserve">Pokeatery Castro Valley      </t>
  </si>
  <si>
    <t xml:space="preserve">Hot Spot Alameda      </t>
  </si>
  <si>
    <t>37.765703473918-122.242378592491</t>
  </si>
  <si>
    <t xml:space="preserve">Worlds Fare Donuts Hayward     </t>
  </si>
  <si>
    <t>37.6651882648286-122.116480568499</t>
  </si>
  <si>
    <t xml:space="preserve">Taqueria Los Pericos San Leandro    </t>
  </si>
  <si>
    <t>37.72437-122.155085</t>
  </si>
  <si>
    <t xml:space="preserve">Pho Anh Ha San Leandro    </t>
  </si>
  <si>
    <t>37.71929-122.14865</t>
  </si>
  <si>
    <t xml:space="preserve">Craw Station San Leandro     </t>
  </si>
  <si>
    <t>37.6906647206597-122.151571007974</t>
  </si>
  <si>
    <t xml:space="preserve">R And D Cafe San Lorenzo   </t>
  </si>
  <si>
    <t>37.6770314768334-122.142561774295</t>
  </si>
  <si>
    <t xml:space="preserve">Munch Hayward       </t>
  </si>
  <si>
    <t>37.631869-122.075384</t>
  </si>
  <si>
    <t xml:space="preserve">Foodnet Supermarket San Leandro 2    </t>
  </si>
  <si>
    <t>37.6795-122.154789999999</t>
  </si>
  <si>
    <t xml:space="preserve">Yo Bowl Hayward      </t>
  </si>
  <si>
    <t>37.651128-122.101295999999</t>
  </si>
  <si>
    <t xml:space="preserve">Yogurt Hill Hayward 4     </t>
  </si>
  <si>
    <t>37.67355-122.081139999999</t>
  </si>
  <si>
    <t xml:space="preserve">Alohana Hawaiian Grill San Leandro    </t>
  </si>
  <si>
    <t>37.7001159999999-122.126858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</si>
</sst>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CECECE"/>
        <bgColor rgb="FFCECECE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5.71"/>
    <col customWidth="1" min="4" max="4" width="27.14"/>
    <col customWidth="1" min="6" max="6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>
        <v>0.0</v>
      </c>
      <c r="B2" s="3" t="s">
        <v>7</v>
      </c>
      <c r="C2" s="1">
        <v>4.5</v>
      </c>
      <c r="D2" s="1" t="s">
        <v>8</v>
      </c>
      <c r="E2" s="3" t="s">
        <v>9</v>
      </c>
      <c r="F2" s="4">
        <v>37.56295</v>
      </c>
      <c r="G2" s="4">
        <v>122.010039999999</v>
      </c>
    </row>
    <row r="3">
      <c r="A3" s="1">
        <v>1.0</v>
      </c>
      <c r="B3" s="3" t="s">
        <v>10</v>
      </c>
      <c r="C3" s="1">
        <v>4.5</v>
      </c>
      <c r="D3" s="1" t="s">
        <v>11</v>
      </c>
      <c r="E3" s="3" t="s">
        <v>9</v>
      </c>
      <c r="F3" s="4">
        <v>37.4890666928572</v>
      </c>
      <c r="G3" s="4">
        <v>121.929413750767</v>
      </c>
    </row>
    <row r="4">
      <c r="A4" s="1">
        <v>2.0</v>
      </c>
      <c r="B4" s="3" t="s">
        <v>12</v>
      </c>
      <c r="C4" s="1">
        <v>4.0</v>
      </c>
      <c r="D4" s="1" t="s">
        <v>13</v>
      </c>
      <c r="E4" s="3" t="s">
        <v>9</v>
      </c>
      <c r="F4" s="4">
        <v>37.5513151288032</v>
      </c>
      <c r="G4" s="4">
        <v>121.993849799037</v>
      </c>
    </row>
    <row r="5">
      <c r="A5" s="1">
        <v>3.0</v>
      </c>
      <c r="B5" s="3" t="s">
        <v>14</v>
      </c>
      <c r="C5" s="1">
        <v>4.5</v>
      </c>
      <c r="D5" s="1" t="s">
        <v>15</v>
      </c>
      <c r="E5" s="3" t="s">
        <v>9</v>
      </c>
      <c r="F5" s="4">
        <v>37.5536945</v>
      </c>
      <c r="G5" s="4">
        <v>121.981043</v>
      </c>
    </row>
    <row r="6">
      <c r="A6" s="1">
        <v>4.0</v>
      </c>
      <c r="B6" s="3" t="s">
        <v>16</v>
      </c>
      <c r="C6" s="1">
        <v>4.0</v>
      </c>
      <c r="D6" s="1" t="s">
        <v>17</v>
      </c>
      <c r="E6" s="3" t="s">
        <v>9</v>
      </c>
      <c r="F6" s="4">
        <v>37.576149</v>
      </c>
      <c r="G6" s="4">
        <v>122.0437049</v>
      </c>
    </row>
    <row r="7">
      <c r="A7" s="1">
        <v>5.0</v>
      </c>
      <c r="B7" s="3" t="s">
        <v>18</v>
      </c>
      <c r="C7" s="1">
        <v>4.0</v>
      </c>
      <c r="D7" s="1" t="s">
        <v>19</v>
      </c>
      <c r="E7" s="3" t="s">
        <v>20</v>
      </c>
      <c r="F7" s="4">
        <v>37.5229604101756</v>
      </c>
      <c r="G7" s="4">
        <v>122.005785632481</v>
      </c>
    </row>
    <row r="8">
      <c r="A8" s="1">
        <v>6.0</v>
      </c>
      <c r="B8" s="3" t="s">
        <v>21</v>
      </c>
      <c r="C8" s="1">
        <v>5.0</v>
      </c>
      <c r="D8" s="1" t="s">
        <v>22</v>
      </c>
      <c r="E8" s="3" t="s">
        <v>9</v>
      </c>
      <c r="F8" s="4">
        <v>37.4885682635695</v>
      </c>
      <c r="G8" s="4">
        <v>121.929191268869</v>
      </c>
    </row>
    <row r="9">
      <c r="A9" s="1">
        <v>6.0</v>
      </c>
      <c r="B9" s="3" t="s">
        <v>21</v>
      </c>
      <c r="C9" s="1">
        <v>4.0</v>
      </c>
      <c r="D9" s="1" t="s">
        <v>22</v>
      </c>
      <c r="E9" s="3" t="s">
        <v>9</v>
      </c>
      <c r="F9" s="4">
        <v>37.4885682635695</v>
      </c>
      <c r="G9" s="4">
        <v>121.929191268869</v>
      </c>
    </row>
    <row r="10">
      <c r="A10" s="1">
        <v>7.0</v>
      </c>
      <c r="B10" s="3" t="s">
        <v>23</v>
      </c>
      <c r="C10" s="1">
        <v>4.5</v>
      </c>
      <c r="D10" s="1" t="s">
        <v>24</v>
      </c>
      <c r="E10" s="3" t="s">
        <v>9</v>
      </c>
      <c r="F10" s="4">
        <v>37.4884429093476</v>
      </c>
      <c r="G10" s="4">
        <v>121.930383669657</v>
      </c>
    </row>
    <row r="11">
      <c r="A11" s="1">
        <v>8.0</v>
      </c>
      <c r="B11" s="3" t="s">
        <v>25</v>
      </c>
      <c r="C11" s="1">
        <v>3.5</v>
      </c>
      <c r="D11" s="1" t="s">
        <v>26</v>
      </c>
      <c r="E11" s="3" t="s">
        <v>9</v>
      </c>
      <c r="F11" s="4">
        <v>37.4922976027806</v>
      </c>
      <c r="G11" s="4">
        <v>121.927918713539</v>
      </c>
    </row>
    <row r="12">
      <c r="A12" s="1">
        <v>9.0</v>
      </c>
      <c r="B12" s="3" t="s">
        <v>27</v>
      </c>
      <c r="C12" s="1">
        <v>3.5</v>
      </c>
      <c r="D12" s="1" t="s">
        <v>28</v>
      </c>
      <c r="E12" s="3" t="s">
        <v>9</v>
      </c>
      <c r="F12" s="4">
        <v>37.5007782876492</v>
      </c>
      <c r="G12" s="4">
        <v>121.973167955875</v>
      </c>
    </row>
    <row r="13">
      <c r="A13" s="1">
        <v>10.0</v>
      </c>
      <c r="B13" s="3" t="s">
        <v>29</v>
      </c>
      <c r="C13" s="1">
        <v>3.5</v>
      </c>
      <c r="D13" s="1" t="s">
        <v>30</v>
      </c>
      <c r="E13" s="3" t="s">
        <v>9</v>
      </c>
      <c r="F13" s="4">
        <v>37.575448103287</v>
      </c>
      <c r="G13" s="4">
        <v>122.042586920966</v>
      </c>
    </row>
    <row r="14">
      <c r="A14" s="1">
        <v>11.0</v>
      </c>
      <c r="B14" s="3" t="s">
        <v>31</v>
      </c>
      <c r="C14" s="1">
        <v>4.0</v>
      </c>
      <c r="D14" s="1" t="s">
        <v>32</v>
      </c>
      <c r="E14" s="3" t="s">
        <v>9</v>
      </c>
      <c r="F14" s="4">
        <v>37.4935414360442</v>
      </c>
      <c r="G14" s="4">
        <v>121.929889351584</v>
      </c>
    </row>
    <row r="15">
      <c r="A15" s="1">
        <v>12.0</v>
      </c>
      <c r="B15" s="3" t="s">
        <v>33</v>
      </c>
      <c r="C15" s="1">
        <v>3.5</v>
      </c>
      <c r="D15" s="1" t="s">
        <v>34</v>
      </c>
      <c r="E15" s="3" t="s">
        <v>9</v>
      </c>
      <c r="F15" s="4">
        <v>37.5195973820395</v>
      </c>
      <c r="G15" s="4">
        <v>121.989493228847</v>
      </c>
    </row>
    <row r="16">
      <c r="A16" s="1">
        <v>13.0</v>
      </c>
      <c r="B16" s="3" t="s">
        <v>35</v>
      </c>
      <c r="C16" s="1">
        <v>3.5</v>
      </c>
      <c r="D16" s="1" t="s">
        <v>36</v>
      </c>
      <c r="E16" s="3" t="s">
        <v>9</v>
      </c>
      <c r="F16" s="4">
        <v>37.504992442164</v>
      </c>
      <c r="G16" s="4">
        <v>121.971231736243</v>
      </c>
    </row>
    <row r="17">
      <c r="A17" s="1">
        <v>14.0</v>
      </c>
      <c r="B17" s="3" t="s">
        <v>37</v>
      </c>
      <c r="C17" s="1">
        <v>4.0</v>
      </c>
      <c r="D17" s="1" t="s">
        <v>38</v>
      </c>
      <c r="E17" s="3" t="s">
        <v>20</v>
      </c>
      <c r="F17" s="4">
        <v>37.5506935787169</v>
      </c>
      <c r="G17" s="4">
        <v>122.051467484131</v>
      </c>
    </row>
    <row r="18">
      <c r="A18" s="1">
        <v>15.0</v>
      </c>
      <c r="B18" s="3" t="s">
        <v>39</v>
      </c>
      <c r="C18" s="1">
        <v>4.0</v>
      </c>
      <c r="D18" s="1" t="s">
        <v>40</v>
      </c>
      <c r="E18" s="3" t="s">
        <v>9</v>
      </c>
      <c r="F18" s="4">
        <v>37.53195</v>
      </c>
      <c r="G18" s="4">
        <v>121.957889999999</v>
      </c>
    </row>
    <row r="19">
      <c r="A19" s="1">
        <v>16.0</v>
      </c>
      <c r="B19" s="3" t="s">
        <v>41</v>
      </c>
      <c r="C19" s="1">
        <v>3.5</v>
      </c>
      <c r="D19" s="1" t="s">
        <v>42</v>
      </c>
      <c r="E19" s="3" t="s">
        <v>9</v>
      </c>
      <c r="F19" s="4">
        <v>37.5312314119297</v>
      </c>
      <c r="G19" s="4">
        <v>121.937047836775</v>
      </c>
    </row>
    <row r="20">
      <c r="A20" s="1">
        <v>17.0</v>
      </c>
      <c r="B20" s="3" t="s">
        <v>43</v>
      </c>
      <c r="C20" s="1">
        <v>4.0</v>
      </c>
      <c r="D20" s="1" t="s">
        <v>44</v>
      </c>
      <c r="E20" s="3" t="s">
        <v>20</v>
      </c>
      <c r="F20" s="4">
        <v>37.5515049151237</v>
      </c>
      <c r="G20" s="4">
        <v>122.050272187505</v>
      </c>
    </row>
    <row r="21">
      <c r="A21" s="1">
        <v>18.0</v>
      </c>
      <c r="B21" s="3" t="s">
        <v>45</v>
      </c>
      <c r="C21" s="1">
        <v>4.0</v>
      </c>
      <c r="D21" s="1" t="s">
        <v>46</v>
      </c>
      <c r="E21" s="3" t="s">
        <v>20</v>
      </c>
      <c r="F21" s="4">
        <v>37.5208</v>
      </c>
      <c r="G21" s="4">
        <v>121.996426</v>
      </c>
    </row>
    <row r="22">
      <c r="A22" s="1">
        <v>19.0</v>
      </c>
      <c r="B22" s="3" t="s">
        <v>47</v>
      </c>
      <c r="C22" s="1">
        <v>3.5</v>
      </c>
      <c r="D22" s="1" t="s">
        <v>48</v>
      </c>
      <c r="E22" s="3" t="s">
        <v>9</v>
      </c>
      <c r="F22" s="4">
        <v>37.57509</v>
      </c>
      <c r="G22" s="4">
        <v>122.0386</v>
      </c>
    </row>
    <row r="23">
      <c r="A23" s="1">
        <v>20.0</v>
      </c>
      <c r="B23" s="3" t="s">
        <v>49</v>
      </c>
      <c r="C23" s="1">
        <v>3.0</v>
      </c>
      <c r="D23" s="1" t="s">
        <v>50</v>
      </c>
      <c r="E23" s="3" t="s">
        <v>9</v>
      </c>
      <c r="F23" s="4">
        <v>37.543782</v>
      </c>
      <c r="G23" s="4">
        <v>121.986825</v>
      </c>
    </row>
    <row r="24">
      <c r="A24" s="1">
        <v>21.0</v>
      </c>
      <c r="B24" s="3" t="s">
        <v>51</v>
      </c>
      <c r="C24" s="1">
        <v>3.5</v>
      </c>
      <c r="D24" s="1" t="s">
        <v>52</v>
      </c>
      <c r="E24" s="3" t="s">
        <v>20</v>
      </c>
      <c r="F24" s="4">
        <v>37.523356</v>
      </c>
      <c r="G24" s="4">
        <v>122.006644999999</v>
      </c>
    </row>
    <row r="25">
      <c r="A25" s="1">
        <v>22.0</v>
      </c>
      <c r="B25" s="3" t="s">
        <v>53</v>
      </c>
      <c r="C25" s="1">
        <v>3.0</v>
      </c>
      <c r="D25" s="1" t="s">
        <v>54</v>
      </c>
      <c r="E25" s="3" t="s">
        <v>9</v>
      </c>
      <c r="F25" s="4">
        <v>37.500044</v>
      </c>
      <c r="G25" s="4">
        <v>121.973621999999</v>
      </c>
    </row>
    <row r="26">
      <c r="A26" s="1">
        <v>23.0</v>
      </c>
      <c r="B26" s="3" t="s">
        <v>55</v>
      </c>
      <c r="C26" s="1">
        <v>5.0</v>
      </c>
      <c r="D26" s="1" t="s">
        <v>56</v>
      </c>
      <c r="E26" s="3" t="s">
        <v>9</v>
      </c>
      <c r="F26" s="4">
        <v>37.5757</v>
      </c>
      <c r="G26" s="4">
        <v>122.039769999999</v>
      </c>
    </row>
    <row r="27">
      <c r="A27" s="1">
        <v>24.0</v>
      </c>
      <c r="B27" s="3" t="s">
        <v>57</v>
      </c>
      <c r="C27" s="1">
        <v>3.5</v>
      </c>
      <c r="D27" s="1" t="s">
        <v>58</v>
      </c>
      <c r="E27" s="3" t="s">
        <v>9</v>
      </c>
      <c r="F27" s="4">
        <v>37.53181</v>
      </c>
      <c r="G27" s="4">
        <v>121.91944</v>
      </c>
    </row>
    <row r="28">
      <c r="A28" s="1">
        <v>25.0</v>
      </c>
      <c r="B28" s="3" t="s">
        <v>59</v>
      </c>
      <c r="C28" s="1">
        <v>3.5</v>
      </c>
      <c r="D28" s="1" t="s">
        <v>60</v>
      </c>
      <c r="E28" s="3" t="s">
        <v>61</v>
      </c>
      <c r="F28" s="4">
        <v>37.5897191178595</v>
      </c>
      <c r="G28" s="4">
        <v>122.071148412966</v>
      </c>
    </row>
    <row r="29">
      <c r="A29" s="1">
        <v>26.0</v>
      </c>
      <c r="B29" s="3" t="s">
        <v>62</v>
      </c>
      <c r="C29" s="1">
        <v>3.5</v>
      </c>
      <c r="D29" s="1" t="s">
        <v>63</v>
      </c>
      <c r="E29" s="3" t="s">
        <v>9</v>
      </c>
      <c r="F29" s="4">
        <v>37.5180666419642</v>
      </c>
      <c r="G29" s="4">
        <v>121.989524069478</v>
      </c>
    </row>
    <row r="30">
      <c r="A30" s="1">
        <v>27.0</v>
      </c>
      <c r="B30" s="3" t="s">
        <v>64</v>
      </c>
      <c r="C30" s="1">
        <v>4.0</v>
      </c>
      <c r="D30" s="1" t="s">
        <v>65</v>
      </c>
      <c r="E30" s="3" t="s">
        <v>66</v>
      </c>
      <c r="F30" s="4">
        <v>37.3929561</v>
      </c>
      <c r="G30" s="4">
        <v>122.0792811</v>
      </c>
    </row>
    <row r="31">
      <c r="A31" s="1">
        <v>28.0</v>
      </c>
      <c r="B31" s="3" t="s">
        <v>67</v>
      </c>
      <c r="C31" s="1">
        <v>4.0</v>
      </c>
      <c r="D31" s="1" t="s">
        <v>68</v>
      </c>
      <c r="E31" s="3" t="s">
        <v>69</v>
      </c>
      <c r="F31" s="4">
        <v>37.401254171244</v>
      </c>
      <c r="G31" s="4">
        <v>122.114469291963</v>
      </c>
    </row>
    <row r="32">
      <c r="A32" s="1">
        <v>29.0</v>
      </c>
      <c r="B32" s="3" t="s">
        <v>70</v>
      </c>
      <c r="C32" s="1">
        <v>3.5</v>
      </c>
      <c r="D32" s="1" t="s">
        <v>71</v>
      </c>
      <c r="E32" s="3" t="s">
        <v>9</v>
      </c>
      <c r="F32" s="4">
        <v>37.4932967</v>
      </c>
      <c r="G32" s="4">
        <v>121.931298099999</v>
      </c>
    </row>
    <row r="33">
      <c r="A33" s="1">
        <v>30.0</v>
      </c>
      <c r="B33" s="3" t="s">
        <v>72</v>
      </c>
      <c r="C33" s="1">
        <v>4.0</v>
      </c>
      <c r="D33" s="1" t="s">
        <v>73</v>
      </c>
      <c r="E33" s="3" t="s">
        <v>9</v>
      </c>
      <c r="F33" s="4">
        <v>37.5304985046387</v>
      </c>
      <c r="G33" s="4">
        <v>121.920637562871</v>
      </c>
    </row>
    <row r="34">
      <c r="A34" s="1">
        <v>31.0</v>
      </c>
      <c r="B34" s="3" t="s">
        <v>74</v>
      </c>
      <c r="C34" s="1">
        <v>3.0</v>
      </c>
      <c r="D34" s="1" t="s">
        <v>75</v>
      </c>
      <c r="E34" s="3" t="s">
        <v>9</v>
      </c>
      <c r="F34" s="4">
        <v>37.5631118502019</v>
      </c>
      <c r="G34" s="4">
        <v>122.015291475919</v>
      </c>
    </row>
    <row r="35">
      <c r="A35" s="1">
        <v>32.0</v>
      </c>
      <c r="B35" s="3" t="s">
        <v>76</v>
      </c>
      <c r="C35" s="1">
        <v>4.0</v>
      </c>
      <c r="D35" s="1" t="s">
        <v>77</v>
      </c>
      <c r="E35" s="3" t="s">
        <v>61</v>
      </c>
      <c r="F35" s="4">
        <v>37.5889987</v>
      </c>
      <c r="G35" s="4">
        <v>122.0208657</v>
      </c>
    </row>
    <row r="36">
      <c r="A36" s="1">
        <v>33.0</v>
      </c>
      <c r="B36" s="3" t="s">
        <v>78</v>
      </c>
      <c r="C36" s="1">
        <v>3.5</v>
      </c>
      <c r="D36" s="1" t="s">
        <v>79</v>
      </c>
      <c r="E36" s="3" t="s">
        <v>61</v>
      </c>
      <c r="F36" s="4">
        <v>37.587234</v>
      </c>
      <c r="G36" s="4">
        <v>122.022712</v>
      </c>
    </row>
    <row r="37">
      <c r="A37" s="1">
        <v>34.0</v>
      </c>
      <c r="B37" s="3" t="s">
        <v>80</v>
      </c>
      <c r="C37" s="1">
        <v>4.0</v>
      </c>
      <c r="D37" s="1" t="s">
        <v>81</v>
      </c>
      <c r="E37" s="3" t="s">
        <v>82</v>
      </c>
      <c r="F37" s="4">
        <v>37.3878</v>
      </c>
      <c r="G37" s="4">
        <v>121.860189999999</v>
      </c>
    </row>
    <row r="38">
      <c r="A38" s="1">
        <v>35.0</v>
      </c>
      <c r="B38" s="3" t="s">
        <v>83</v>
      </c>
      <c r="C38" s="1">
        <v>4.0</v>
      </c>
      <c r="D38" s="1" t="s">
        <v>84</v>
      </c>
      <c r="E38" s="3" t="s">
        <v>85</v>
      </c>
      <c r="F38" s="4">
        <v>37.6959109999999</v>
      </c>
      <c r="G38" s="4">
        <v>122.072915</v>
      </c>
    </row>
    <row r="39">
      <c r="A39" s="1">
        <v>36.0</v>
      </c>
      <c r="B39" s="3" t="s">
        <v>86</v>
      </c>
      <c r="C39" s="1">
        <v>3.5</v>
      </c>
      <c r="D39" s="1" t="s">
        <v>87</v>
      </c>
      <c r="E39" s="3" t="s">
        <v>20</v>
      </c>
      <c r="F39" s="4">
        <v>37.54872</v>
      </c>
      <c r="G39" s="4">
        <v>122.049289999999</v>
      </c>
    </row>
    <row r="40">
      <c r="A40" s="1">
        <v>37.0</v>
      </c>
      <c r="B40" s="3" t="s">
        <v>88</v>
      </c>
      <c r="C40" s="1">
        <v>4.0</v>
      </c>
      <c r="D40" s="1" t="s">
        <v>89</v>
      </c>
      <c r="E40" s="3" t="s">
        <v>90</v>
      </c>
      <c r="F40" s="4">
        <v>37.4547351745994</v>
      </c>
      <c r="G40" s="4">
        <v>121.911571876168</v>
      </c>
    </row>
    <row r="41">
      <c r="A41" s="1">
        <v>38.0</v>
      </c>
      <c r="B41" s="3" t="s">
        <v>91</v>
      </c>
      <c r="C41" s="1">
        <v>3.5</v>
      </c>
      <c r="D41" s="1" t="s">
        <v>92</v>
      </c>
      <c r="E41" s="3" t="s">
        <v>61</v>
      </c>
      <c r="F41" s="4">
        <v>37.5895754513833</v>
      </c>
      <c r="G41" s="4">
        <v>122.020674874683</v>
      </c>
    </row>
    <row r="42">
      <c r="A42" s="1">
        <v>39.0</v>
      </c>
      <c r="B42" s="3" t="s">
        <v>93</v>
      </c>
      <c r="C42" s="1">
        <v>4.0</v>
      </c>
      <c r="D42" s="1" t="s">
        <v>94</v>
      </c>
      <c r="E42" s="3" t="s">
        <v>95</v>
      </c>
      <c r="F42" s="4">
        <v>37.42655</v>
      </c>
      <c r="G42" s="4">
        <v>122.146319999999</v>
      </c>
    </row>
    <row r="43">
      <c r="A43" s="1">
        <v>40.0</v>
      </c>
      <c r="B43" s="3" t="s">
        <v>96</v>
      </c>
      <c r="C43" s="1">
        <v>4.0</v>
      </c>
      <c r="D43" s="1" t="s">
        <v>97</v>
      </c>
      <c r="E43" s="3" t="s">
        <v>90</v>
      </c>
      <c r="F43" s="4">
        <v>37.43274</v>
      </c>
      <c r="G43" s="4">
        <v>121.89277</v>
      </c>
    </row>
    <row r="44">
      <c r="A44" s="1">
        <v>41.0</v>
      </c>
      <c r="B44" s="3" t="s">
        <v>98</v>
      </c>
      <c r="C44" s="1">
        <v>3.5</v>
      </c>
      <c r="D44" s="1" t="s">
        <v>99</v>
      </c>
      <c r="E44" s="3" t="s">
        <v>61</v>
      </c>
      <c r="F44" s="4">
        <v>37.5894163879107</v>
      </c>
      <c r="G44" s="4">
        <v>122.067683412499</v>
      </c>
    </row>
    <row r="45">
      <c r="A45" s="1">
        <v>42.0</v>
      </c>
      <c r="B45" s="3" t="s">
        <v>100</v>
      </c>
      <c r="C45" s="1">
        <v>4.0</v>
      </c>
      <c r="D45" s="1" t="s">
        <v>101</v>
      </c>
      <c r="E45" s="3" t="s">
        <v>9</v>
      </c>
      <c r="F45" s="4">
        <v>37.49369</v>
      </c>
      <c r="G45" s="4">
        <v>121.93053</v>
      </c>
    </row>
    <row r="46">
      <c r="A46" s="1">
        <v>43.0</v>
      </c>
      <c r="B46" s="3" t="s">
        <v>102</v>
      </c>
      <c r="C46" s="1">
        <v>3.5</v>
      </c>
      <c r="D46" s="1" t="s">
        <v>103</v>
      </c>
      <c r="E46" s="3" t="s">
        <v>9</v>
      </c>
      <c r="F46" s="4">
        <v>37.53259</v>
      </c>
      <c r="G46" s="4">
        <v>121.91949</v>
      </c>
    </row>
    <row r="47">
      <c r="A47" s="1">
        <v>44.0</v>
      </c>
      <c r="B47" s="3" t="s">
        <v>104</v>
      </c>
      <c r="C47" s="1">
        <v>4.5</v>
      </c>
      <c r="D47" s="1" t="s">
        <v>105</v>
      </c>
      <c r="E47" s="3" t="s">
        <v>90</v>
      </c>
      <c r="F47" s="4">
        <v>37.42644</v>
      </c>
      <c r="G47" s="4">
        <v>121.921619999999</v>
      </c>
    </row>
    <row r="48">
      <c r="A48" s="1">
        <v>45.0</v>
      </c>
      <c r="B48" s="3" t="s">
        <v>106</v>
      </c>
      <c r="C48" s="1">
        <v>4.5</v>
      </c>
      <c r="D48" s="1" t="s">
        <v>107</v>
      </c>
      <c r="E48" s="3" t="s">
        <v>90</v>
      </c>
      <c r="F48" s="4">
        <v>37.4555854711176</v>
      </c>
      <c r="G48" s="4">
        <v>121.909984275478</v>
      </c>
    </row>
    <row r="49">
      <c r="A49" s="1">
        <v>46.0</v>
      </c>
      <c r="B49" s="3" t="s">
        <v>108</v>
      </c>
      <c r="C49" s="1">
        <v>4.0</v>
      </c>
      <c r="D49" s="1" t="s">
        <v>109</v>
      </c>
      <c r="E49" s="3" t="s">
        <v>90</v>
      </c>
      <c r="F49" s="4">
        <v>37.4208151690146</v>
      </c>
      <c r="G49" s="4">
        <v>121.916592059011</v>
      </c>
    </row>
    <row r="50">
      <c r="A50" s="1">
        <v>47.0</v>
      </c>
      <c r="B50" s="3" t="s">
        <v>110</v>
      </c>
      <c r="C50" s="1">
        <v>3.5</v>
      </c>
      <c r="D50" s="1" t="s">
        <v>111</v>
      </c>
      <c r="E50" s="3" t="s">
        <v>61</v>
      </c>
      <c r="F50" s="4">
        <v>37.589445484175</v>
      </c>
      <c r="G50" s="4">
        <v>122.02183395763</v>
      </c>
    </row>
    <row r="51">
      <c r="A51" s="1">
        <v>48.0</v>
      </c>
      <c r="B51" s="3" t="s">
        <v>112</v>
      </c>
      <c r="C51" s="1">
        <v>4.0</v>
      </c>
      <c r="D51" s="1" t="s">
        <v>113</v>
      </c>
      <c r="E51" s="3" t="s">
        <v>95</v>
      </c>
      <c r="F51" s="4">
        <v>37.447628</v>
      </c>
      <c r="G51" s="4">
        <v>122.160728</v>
      </c>
    </row>
    <row r="52">
      <c r="A52" s="1">
        <v>49.0</v>
      </c>
      <c r="B52" s="3" t="s">
        <v>114</v>
      </c>
      <c r="C52" s="1">
        <v>4.0</v>
      </c>
      <c r="D52" s="1" t="s">
        <v>115</v>
      </c>
      <c r="E52" s="3" t="s">
        <v>116</v>
      </c>
      <c r="F52" s="4">
        <v>37.687487183018</v>
      </c>
      <c r="G52" s="4">
        <v>122.136023640633</v>
      </c>
    </row>
    <row r="53">
      <c r="A53" s="1">
        <v>50.0</v>
      </c>
      <c r="B53" s="3" t="s">
        <v>117</v>
      </c>
      <c r="C53" s="1">
        <v>4.0</v>
      </c>
      <c r="D53" s="1" t="s">
        <v>118</v>
      </c>
      <c r="E53" s="3" t="s">
        <v>119</v>
      </c>
      <c r="F53" s="4">
        <v>37.7899434017563</v>
      </c>
      <c r="G53" s="4">
        <v>122.407306303981</v>
      </c>
    </row>
    <row r="54">
      <c r="A54" s="1">
        <v>51.0</v>
      </c>
      <c r="B54" s="3" t="s">
        <v>120</v>
      </c>
      <c r="C54" s="1">
        <v>4.0</v>
      </c>
      <c r="D54" s="1" t="s">
        <v>121</v>
      </c>
      <c r="E54" s="3" t="s">
        <v>119</v>
      </c>
      <c r="F54" s="4">
        <v>37.75994</v>
      </c>
      <c r="G54" s="4">
        <v>122.42112</v>
      </c>
    </row>
    <row r="55">
      <c r="A55" s="1">
        <v>52.0</v>
      </c>
      <c r="B55" s="3" t="s">
        <v>122</v>
      </c>
      <c r="C55" s="1">
        <v>4.0</v>
      </c>
      <c r="D55" s="1" t="s">
        <v>123</v>
      </c>
      <c r="E55" s="3" t="s">
        <v>119</v>
      </c>
      <c r="F55" s="4">
        <v>37.7633252984489</v>
      </c>
      <c r="G55" s="4">
        <v>122.479877762901</v>
      </c>
    </row>
    <row r="56">
      <c r="A56" s="1">
        <v>53.0</v>
      </c>
      <c r="B56" s="3" t="s">
        <v>124</v>
      </c>
      <c r="C56" s="1">
        <v>4.0</v>
      </c>
      <c r="D56" s="1" t="s">
        <v>125</v>
      </c>
      <c r="E56" s="3" t="s">
        <v>119</v>
      </c>
      <c r="F56" s="4">
        <v>37.781425</v>
      </c>
      <c r="G56" s="4">
        <v>122.4608022</v>
      </c>
    </row>
    <row r="57">
      <c r="A57" s="1">
        <v>54.0</v>
      </c>
      <c r="B57" s="3" t="s">
        <v>126</v>
      </c>
      <c r="C57" s="1">
        <v>4.0</v>
      </c>
      <c r="D57" s="1" t="s">
        <v>127</v>
      </c>
      <c r="E57" s="3" t="s">
        <v>119</v>
      </c>
      <c r="F57" s="4">
        <v>37.7963159707234</v>
      </c>
      <c r="G57" s="4">
        <v>122.421975955366</v>
      </c>
    </row>
    <row r="58">
      <c r="A58" s="1">
        <v>55.0</v>
      </c>
      <c r="B58" s="3" t="s">
        <v>128</v>
      </c>
      <c r="C58" s="1">
        <v>4.0</v>
      </c>
      <c r="D58" s="1" t="s">
        <v>129</v>
      </c>
      <c r="E58" s="3" t="s">
        <v>119</v>
      </c>
      <c r="F58" s="4">
        <v>37.78365</v>
      </c>
      <c r="G58" s="4">
        <v>122.43247</v>
      </c>
    </row>
    <row r="59">
      <c r="A59" s="1">
        <v>56.0</v>
      </c>
      <c r="B59" s="3" t="s">
        <v>130</v>
      </c>
      <c r="C59" s="1">
        <v>4.5</v>
      </c>
      <c r="D59" s="1" t="s">
        <v>131</v>
      </c>
      <c r="E59" s="3" t="s">
        <v>119</v>
      </c>
      <c r="F59" s="4">
        <v>37.7905719929647</v>
      </c>
      <c r="G59" s="4">
        <v>122.404304221271</v>
      </c>
    </row>
    <row r="60">
      <c r="A60" s="1">
        <v>57.0</v>
      </c>
      <c r="B60" s="3" t="s">
        <v>132</v>
      </c>
      <c r="C60" s="1">
        <v>4.0</v>
      </c>
      <c r="D60" s="1" t="s">
        <v>133</v>
      </c>
      <c r="E60" s="3" t="s">
        <v>119</v>
      </c>
      <c r="F60" s="4">
        <v>37.7728849972724</v>
      </c>
      <c r="G60" s="4">
        <v>122.423546388745</v>
      </c>
    </row>
    <row r="61">
      <c r="A61" s="1">
        <v>58.0</v>
      </c>
      <c r="B61" s="3" t="s">
        <v>134</v>
      </c>
      <c r="C61" s="1">
        <v>3.5</v>
      </c>
      <c r="D61" s="1" t="s">
        <v>135</v>
      </c>
      <c r="E61" s="3" t="s">
        <v>119</v>
      </c>
      <c r="F61" s="4">
        <v>37.7914264423265</v>
      </c>
      <c r="G61" s="4">
        <v>122.404249032891</v>
      </c>
    </row>
    <row r="62">
      <c r="A62" s="1">
        <v>59.0</v>
      </c>
      <c r="B62" s="3" t="s">
        <v>136</v>
      </c>
      <c r="C62" s="1">
        <v>4.5</v>
      </c>
      <c r="D62" s="1" t="s">
        <v>137</v>
      </c>
      <c r="E62" s="3" t="s">
        <v>119</v>
      </c>
      <c r="F62" s="4">
        <v>37.7932604402304</v>
      </c>
      <c r="G62" s="4">
        <v>122.406762465835</v>
      </c>
    </row>
    <row r="63">
      <c r="A63" s="1">
        <v>60.0</v>
      </c>
      <c r="B63" s="3" t="s">
        <v>138</v>
      </c>
      <c r="C63" s="1">
        <v>3.5</v>
      </c>
      <c r="D63" s="1" t="s">
        <v>139</v>
      </c>
      <c r="E63" s="3" t="s">
        <v>119</v>
      </c>
      <c r="F63" s="4">
        <v>37.775906</v>
      </c>
      <c r="G63" s="4">
        <v>122.497818</v>
      </c>
    </row>
    <row r="64">
      <c r="A64" s="1">
        <v>61.0</v>
      </c>
      <c r="B64" s="3" t="s">
        <v>140</v>
      </c>
      <c r="C64" s="1">
        <v>4.5</v>
      </c>
      <c r="D64" s="1" t="s">
        <v>141</v>
      </c>
      <c r="E64" s="3" t="s">
        <v>119</v>
      </c>
      <c r="F64" s="4">
        <v>37.7254643</v>
      </c>
      <c r="G64" s="4">
        <v>122.402527</v>
      </c>
    </row>
    <row r="65">
      <c r="A65" s="1">
        <v>62.0</v>
      </c>
      <c r="B65" s="3" t="s">
        <v>142</v>
      </c>
      <c r="C65" s="1">
        <v>4.0</v>
      </c>
      <c r="D65" s="1" t="s">
        <v>143</v>
      </c>
      <c r="E65" s="3" t="s">
        <v>119</v>
      </c>
      <c r="F65" s="4">
        <v>37.7881894888854</v>
      </c>
      <c r="G65" s="4">
        <v>122.40366820246</v>
      </c>
    </row>
    <row r="66">
      <c r="A66" s="1">
        <v>63.0</v>
      </c>
      <c r="B66" s="3" t="s">
        <v>144</v>
      </c>
      <c r="C66" s="1">
        <v>4.0</v>
      </c>
      <c r="D66" s="1" t="s">
        <v>145</v>
      </c>
      <c r="E66" s="3" t="s">
        <v>119</v>
      </c>
      <c r="F66" s="4">
        <v>37.7429212</v>
      </c>
      <c r="G66" s="4">
        <v>122.4782898</v>
      </c>
    </row>
    <row r="67">
      <c r="A67" s="1">
        <v>64.0</v>
      </c>
      <c r="B67" s="3" t="s">
        <v>146</v>
      </c>
      <c r="C67" s="1">
        <v>4.0</v>
      </c>
      <c r="D67" s="1" t="s">
        <v>147</v>
      </c>
      <c r="E67" s="3" t="s">
        <v>119</v>
      </c>
      <c r="F67" s="4">
        <v>37.7665676429306</v>
      </c>
      <c r="G67" s="4">
        <v>122.397055947925</v>
      </c>
    </row>
    <row r="68">
      <c r="A68" s="1">
        <v>65.0</v>
      </c>
      <c r="B68" s="3" t="s">
        <v>148</v>
      </c>
      <c r="C68" s="1">
        <v>5.0</v>
      </c>
      <c r="D68" s="1" t="s">
        <v>149</v>
      </c>
      <c r="E68" s="3" t="s">
        <v>119</v>
      </c>
      <c r="F68" s="4">
        <v>37.780295679705</v>
      </c>
      <c r="G68" s="4">
        <v>122.477084781597</v>
      </c>
    </row>
    <row r="69">
      <c r="A69" s="1">
        <v>66.0</v>
      </c>
      <c r="B69" s="3" t="s">
        <v>150</v>
      </c>
      <c r="C69" s="1">
        <v>4.0</v>
      </c>
      <c r="D69" s="1" t="s">
        <v>151</v>
      </c>
      <c r="E69" s="3" t="s">
        <v>119</v>
      </c>
      <c r="F69" s="4">
        <v>37.7803345695326</v>
      </c>
      <c r="G69" s="4">
        <v>122.395782692426</v>
      </c>
    </row>
    <row r="70">
      <c r="A70" s="1">
        <v>67.0</v>
      </c>
      <c r="B70" s="3" t="s">
        <v>152</v>
      </c>
      <c r="C70" s="1">
        <v>4.0</v>
      </c>
      <c r="D70" s="1" t="s">
        <v>153</v>
      </c>
      <c r="E70" s="3" t="s">
        <v>119</v>
      </c>
      <c r="F70" s="4">
        <v>37.72322</v>
      </c>
      <c r="G70" s="4">
        <v>122.43556</v>
      </c>
    </row>
    <row r="71">
      <c r="A71" s="1">
        <v>68.0</v>
      </c>
      <c r="B71" s="3" t="s">
        <v>154</v>
      </c>
      <c r="C71" s="1">
        <v>3.5</v>
      </c>
      <c r="D71" s="1" t="s">
        <v>155</v>
      </c>
      <c r="E71" s="3" t="s">
        <v>119</v>
      </c>
      <c r="F71" s="4">
        <v>37.7636264</v>
      </c>
      <c r="G71" s="4">
        <v>122.4785915</v>
      </c>
    </row>
    <row r="72">
      <c r="A72" s="1">
        <v>69.0</v>
      </c>
      <c r="B72" s="3" t="s">
        <v>156</v>
      </c>
      <c r="C72" s="1">
        <v>4.0</v>
      </c>
      <c r="D72" s="1" t="s">
        <v>157</v>
      </c>
      <c r="E72" s="3" t="s">
        <v>119</v>
      </c>
      <c r="F72" s="4">
        <v>37.75339</v>
      </c>
      <c r="G72" s="4">
        <v>122.48993</v>
      </c>
    </row>
    <row r="73">
      <c r="A73" s="1">
        <v>70.0</v>
      </c>
      <c r="B73" s="3" t="s">
        <v>158</v>
      </c>
      <c r="C73" s="1">
        <v>4.5</v>
      </c>
      <c r="D73" s="1" t="s">
        <v>159</v>
      </c>
      <c r="E73" s="3" t="s">
        <v>119</v>
      </c>
      <c r="F73" s="4">
        <v>37.7634668052021</v>
      </c>
      <c r="G73" s="4">
        <v>122.482386571049</v>
      </c>
    </row>
    <row r="74">
      <c r="A74" s="1">
        <v>71.0</v>
      </c>
      <c r="B74" s="3" t="s">
        <v>160</v>
      </c>
      <c r="C74" s="1">
        <v>4.5</v>
      </c>
      <c r="D74" s="1" t="s">
        <v>161</v>
      </c>
      <c r="E74" s="3" t="s">
        <v>119</v>
      </c>
      <c r="F74" s="4">
        <v>37.7635576540922</v>
      </c>
      <c r="G74" s="4">
        <v>122.388577088714</v>
      </c>
    </row>
    <row r="75">
      <c r="A75" s="1">
        <v>72.0</v>
      </c>
      <c r="B75" s="3" t="s">
        <v>162</v>
      </c>
      <c r="C75" s="1">
        <v>4.0</v>
      </c>
      <c r="D75" s="1" t="s">
        <v>163</v>
      </c>
      <c r="E75" s="3" t="s">
        <v>119</v>
      </c>
      <c r="F75" s="4">
        <v>37.7825348173521</v>
      </c>
      <c r="G75" s="4">
        <v>122.391180229883</v>
      </c>
    </row>
    <row r="76">
      <c r="A76" s="1">
        <v>73.0</v>
      </c>
      <c r="B76" s="3" t="s">
        <v>164</v>
      </c>
      <c r="C76" s="1">
        <v>3.5</v>
      </c>
      <c r="D76" s="1" t="s">
        <v>165</v>
      </c>
      <c r="E76" s="3" t="s">
        <v>119</v>
      </c>
      <c r="F76" s="4">
        <v>37.7822781354189</v>
      </c>
      <c r="G76" s="4">
        <v>122.479696422815</v>
      </c>
    </row>
    <row r="77">
      <c r="A77" s="1">
        <v>74.0</v>
      </c>
      <c r="B77" s="3" t="s">
        <v>166</v>
      </c>
      <c r="C77" s="1">
        <v>4.5</v>
      </c>
      <c r="E77" s="3" t="s">
        <v>119</v>
      </c>
      <c r="F77" s="4">
        <v>37.77448</v>
      </c>
      <c r="G77" s="4">
        <v>122.40916</v>
      </c>
    </row>
    <row r="78">
      <c r="A78" s="1">
        <v>75.0</v>
      </c>
      <c r="B78" s="3" t="s">
        <v>167</v>
      </c>
      <c r="C78" s="1">
        <v>4.5</v>
      </c>
      <c r="D78" s="1" t="s">
        <v>168</v>
      </c>
      <c r="E78" s="3" t="s">
        <v>119</v>
      </c>
      <c r="F78" s="4">
        <v>37.7879050728042</v>
      </c>
      <c r="G78" s="4">
        <v>122.440761682096</v>
      </c>
    </row>
    <row r="79">
      <c r="A79" s="1">
        <v>76.0</v>
      </c>
      <c r="B79" s="3" t="s">
        <v>169</v>
      </c>
      <c r="C79" s="1">
        <v>3.5</v>
      </c>
      <c r="D79" s="1" t="s">
        <v>170</v>
      </c>
      <c r="E79" s="3" t="s">
        <v>119</v>
      </c>
      <c r="F79" s="4">
        <v>37.7635307</v>
      </c>
      <c r="G79" s="4">
        <v>122.4811325</v>
      </c>
    </row>
    <row r="80">
      <c r="A80" s="1">
        <v>77.0</v>
      </c>
      <c r="B80" s="3" t="s">
        <v>171</v>
      </c>
      <c r="C80" s="1">
        <v>4.5</v>
      </c>
      <c r="D80" s="1" t="s">
        <v>172</v>
      </c>
      <c r="E80" s="3" t="s">
        <v>119</v>
      </c>
      <c r="F80" s="4">
        <v>37.7804213</v>
      </c>
      <c r="G80" s="4">
        <v>122.473284299999</v>
      </c>
    </row>
    <row r="81">
      <c r="A81" s="1">
        <v>78.0</v>
      </c>
      <c r="B81" s="3" t="s">
        <v>173</v>
      </c>
      <c r="C81" s="1">
        <v>3.5</v>
      </c>
      <c r="D81" s="1" t="s">
        <v>174</v>
      </c>
      <c r="E81" s="3" t="s">
        <v>119</v>
      </c>
      <c r="F81" s="4">
        <v>37.7844643265332</v>
      </c>
      <c r="G81" s="4">
        <v>122.403442928242</v>
      </c>
    </row>
    <row r="82">
      <c r="A82" s="1">
        <v>79.0</v>
      </c>
      <c r="B82" s="3" t="s">
        <v>175</v>
      </c>
      <c r="C82" s="1">
        <v>3.5</v>
      </c>
      <c r="D82" s="1" t="s">
        <v>176</v>
      </c>
      <c r="E82" s="3" t="s">
        <v>119</v>
      </c>
      <c r="F82" s="4">
        <v>37.7639596</v>
      </c>
      <c r="G82" s="4">
        <v>122.465019</v>
      </c>
    </row>
    <row r="83">
      <c r="A83" s="1">
        <v>80.0</v>
      </c>
      <c r="B83" s="3" t="s">
        <v>177</v>
      </c>
      <c r="C83" s="1">
        <v>3.5</v>
      </c>
      <c r="D83" s="1" t="s">
        <v>178</v>
      </c>
      <c r="E83" s="3" t="s">
        <v>119</v>
      </c>
      <c r="F83" s="4">
        <v>37.7542929</v>
      </c>
      <c r="G83" s="4">
        <v>122.4779253</v>
      </c>
    </row>
    <row r="84">
      <c r="A84" s="1">
        <v>81.0</v>
      </c>
      <c r="B84" s="3" t="s">
        <v>179</v>
      </c>
      <c r="C84" s="1">
        <v>3.5</v>
      </c>
      <c r="D84" s="1" t="s">
        <v>180</v>
      </c>
      <c r="E84" s="3" t="s">
        <v>119</v>
      </c>
      <c r="F84" s="4">
        <v>37.7426391197427</v>
      </c>
      <c r="G84" s="4">
        <v>122.480892284656</v>
      </c>
    </row>
    <row r="85">
      <c r="A85" s="1">
        <v>82.0</v>
      </c>
      <c r="B85" s="3" t="s">
        <v>181</v>
      </c>
      <c r="C85" s="1">
        <v>4.5</v>
      </c>
      <c r="D85" s="1" t="s">
        <v>182</v>
      </c>
      <c r="E85" s="3" t="s">
        <v>119</v>
      </c>
      <c r="F85" s="4">
        <v>37.7955593172737</v>
      </c>
      <c r="G85" s="4">
        <v>122.409816160798</v>
      </c>
    </row>
    <row r="86">
      <c r="A86" s="1">
        <v>83.0</v>
      </c>
      <c r="B86" s="3" t="s">
        <v>183</v>
      </c>
      <c r="C86" s="1">
        <v>3.5</v>
      </c>
      <c r="D86" s="1" t="s">
        <v>184</v>
      </c>
      <c r="E86" s="3" t="s">
        <v>119</v>
      </c>
      <c r="F86" s="4">
        <v>37.7830442934418</v>
      </c>
      <c r="G86" s="4">
        <v>122.465241822931</v>
      </c>
    </row>
    <row r="87">
      <c r="A87" s="1">
        <v>84.0</v>
      </c>
      <c r="B87" s="3" t="s">
        <v>185</v>
      </c>
      <c r="C87" s="1">
        <v>3.5</v>
      </c>
      <c r="D87" s="1" t="s">
        <v>186</v>
      </c>
      <c r="E87" s="3" t="s">
        <v>119</v>
      </c>
      <c r="F87" s="4">
        <v>37.7805467694998</v>
      </c>
      <c r="G87" s="4">
        <v>122.476978003979</v>
      </c>
    </row>
    <row r="88">
      <c r="A88" s="1">
        <v>85.0</v>
      </c>
      <c r="B88" s="3" t="s">
        <v>187</v>
      </c>
      <c r="C88" s="1">
        <v>3.5</v>
      </c>
      <c r="D88" s="1" t="s">
        <v>188</v>
      </c>
      <c r="E88" s="3" t="s">
        <v>119</v>
      </c>
      <c r="F88" s="4">
        <v>37.7829</v>
      </c>
      <c r="G88" s="4">
        <v>122.47017</v>
      </c>
    </row>
    <row r="89">
      <c r="A89" s="1">
        <v>86.0</v>
      </c>
      <c r="B89" s="3" t="s">
        <v>189</v>
      </c>
      <c r="C89" s="1">
        <v>4.0</v>
      </c>
      <c r="D89" s="1" t="s">
        <v>190</v>
      </c>
      <c r="E89" s="3" t="s">
        <v>119</v>
      </c>
      <c r="F89" s="4">
        <v>37.7787070106077</v>
      </c>
      <c r="G89" s="4">
        <v>122.390157462239</v>
      </c>
    </row>
    <row r="90">
      <c r="A90" s="1">
        <v>87.0</v>
      </c>
      <c r="B90" s="3" t="s">
        <v>191</v>
      </c>
      <c r="C90" s="1">
        <v>3.5</v>
      </c>
      <c r="D90" s="1" t="s">
        <v>192</v>
      </c>
      <c r="E90" s="3" t="s">
        <v>119</v>
      </c>
      <c r="F90" s="4">
        <v>37.73429</v>
      </c>
      <c r="G90" s="4">
        <v>122.43417</v>
      </c>
    </row>
    <row r="91">
      <c r="A91" s="1">
        <v>88.0</v>
      </c>
      <c r="B91" s="3" t="s">
        <v>193</v>
      </c>
      <c r="C91" s="1">
        <v>5.0</v>
      </c>
      <c r="D91" s="1" t="s">
        <v>194</v>
      </c>
      <c r="E91" s="3" t="s">
        <v>119</v>
      </c>
      <c r="F91" s="4">
        <v>37.7242954229777</v>
      </c>
      <c r="G91" s="4">
        <v>122.457044541931</v>
      </c>
    </row>
    <row r="92">
      <c r="A92" s="1">
        <v>89.0</v>
      </c>
      <c r="B92" s="3" t="s">
        <v>195</v>
      </c>
      <c r="C92" s="1">
        <v>5.0</v>
      </c>
      <c r="D92" s="1" t="s">
        <v>196</v>
      </c>
      <c r="E92" s="3" t="s">
        <v>119</v>
      </c>
      <c r="F92" s="4">
        <v>37.7975399525428</v>
      </c>
      <c r="G92" s="4">
        <v>122.406789958477</v>
      </c>
    </row>
    <row r="93">
      <c r="A93" s="1">
        <v>90.0</v>
      </c>
      <c r="B93" s="3" t="s">
        <v>197</v>
      </c>
      <c r="C93" s="1">
        <v>3.5</v>
      </c>
      <c r="D93" s="1" t="s">
        <v>198</v>
      </c>
      <c r="E93" s="3" t="s">
        <v>119</v>
      </c>
      <c r="F93" s="4">
        <v>37.794315</v>
      </c>
      <c r="G93" s="4">
        <v>122.406927</v>
      </c>
    </row>
    <row r="94">
      <c r="A94" s="1">
        <v>91.0</v>
      </c>
      <c r="B94" s="3" t="s">
        <v>199</v>
      </c>
      <c r="C94" s="1">
        <v>4.5</v>
      </c>
      <c r="D94" s="1" t="s">
        <v>200</v>
      </c>
      <c r="E94" s="3" t="s">
        <v>119</v>
      </c>
      <c r="F94" s="4">
        <v>37.7594799999999</v>
      </c>
      <c r="G94" s="4">
        <v>122.41943</v>
      </c>
    </row>
    <row r="95">
      <c r="A95" s="1">
        <v>92.0</v>
      </c>
      <c r="B95" s="3" t="s">
        <v>201</v>
      </c>
      <c r="C95" s="1">
        <v>4.5</v>
      </c>
      <c r="D95" s="1" t="s">
        <v>202</v>
      </c>
      <c r="E95" s="3" t="s">
        <v>119</v>
      </c>
      <c r="F95" s="4">
        <v>37.723259</v>
      </c>
      <c r="G95" s="4">
        <v>122.454559299999</v>
      </c>
    </row>
    <row r="96">
      <c r="A96" s="1">
        <v>93.0</v>
      </c>
      <c r="B96" s="3" t="s">
        <v>203</v>
      </c>
      <c r="C96" s="1">
        <v>4.5</v>
      </c>
      <c r="D96" s="1" t="s">
        <v>204</v>
      </c>
      <c r="E96" s="3" t="s">
        <v>119</v>
      </c>
      <c r="F96" s="4">
        <v>37.7957898999999</v>
      </c>
      <c r="G96" s="4">
        <v>122.405369999999</v>
      </c>
    </row>
    <row r="97">
      <c r="A97" s="1">
        <v>94.0</v>
      </c>
      <c r="B97" s="3" t="s">
        <v>205</v>
      </c>
      <c r="C97" s="1">
        <v>3.5</v>
      </c>
      <c r="D97" s="1" t="s">
        <v>206</v>
      </c>
      <c r="E97" s="3" t="s">
        <v>119</v>
      </c>
      <c r="F97" s="4">
        <v>37.7828876674175</v>
      </c>
      <c r="G97" s="4">
        <v>122.464718297124</v>
      </c>
    </row>
    <row r="98">
      <c r="A98" s="1">
        <v>95.0</v>
      </c>
      <c r="B98" s="3" t="s">
        <v>207</v>
      </c>
      <c r="C98" s="1">
        <v>3.5</v>
      </c>
      <c r="D98" s="1" t="s">
        <v>208</v>
      </c>
      <c r="E98" s="3" t="s">
        <v>209</v>
      </c>
      <c r="F98" s="4">
        <v>37.70689</v>
      </c>
      <c r="G98" s="4">
        <v>122.4588</v>
      </c>
    </row>
    <row r="99">
      <c r="A99" s="1">
        <v>96.0</v>
      </c>
      <c r="B99" s="3" t="s">
        <v>210</v>
      </c>
      <c r="C99" s="1">
        <v>3.5</v>
      </c>
      <c r="D99" s="1" t="s">
        <v>211</v>
      </c>
      <c r="E99" s="3" t="s">
        <v>119</v>
      </c>
      <c r="F99" s="4">
        <v>37.78076</v>
      </c>
      <c r="G99" s="4">
        <v>122.47679</v>
      </c>
    </row>
    <row r="100">
      <c r="A100" s="1">
        <v>97.0</v>
      </c>
      <c r="B100" s="3" t="s">
        <v>212</v>
      </c>
      <c r="C100" s="1">
        <v>4.0</v>
      </c>
      <c r="D100" s="1" t="s">
        <v>213</v>
      </c>
      <c r="E100" s="3" t="s">
        <v>119</v>
      </c>
      <c r="F100" s="4">
        <v>37.7814292999999</v>
      </c>
      <c r="G100" s="4">
        <v>122.4529495</v>
      </c>
    </row>
    <row r="101">
      <c r="A101" s="1">
        <v>98.0</v>
      </c>
      <c r="B101" s="3" t="s">
        <v>214</v>
      </c>
      <c r="C101" s="1">
        <v>3.5</v>
      </c>
      <c r="D101" s="1" t="s">
        <v>215</v>
      </c>
      <c r="E101" s="3" t="s">
        <v>119</v>
      </c>
      <c r="F101" s="4">
        <v>37.76384</v>
      </c>
      <c r="G101" s="4">
        <v>122.46708</v>
      </c>
    </row>
    <row r="102">
      <c r="A102" s="1">
        <v>99.0</v>
      </c>
      <c r="B102" s="3" t="s">
        <v>216</v>
      </c>
      <c r="C102" s="1">
        <v>4.0</v>
      </c>
      <c r="D102" s="1" t="s">
        <v>217</v>
      </c>
      <c r="E102" s="3" t="s">
        <v>119</v>
      </c>
      <c r="F102" s="4">
        <v>37.7804</v>
      </c>
      <c r="G102" s="4">
        <v>122.48458</v>
      </c>
    </row>
    <row r="103">
      <c r="A103" s="1">
        <v>100.0</v>
      </c>
      <c r="B103" s="3" t="s">
        <v>218</v>
      </c>
      <c r="C103" s="1">
        <v>4.0</v>
      </c>
      <c r="D103" s="1" t="s">
        <v>219</v>
      </c>
      <c r="E103" s="3" t="s">
        <v>220</v>
      </c>
      <c r="F103" s="4">
        <v>37.8006135940992</v>
      </c>
      <c r="G103" s="4">
        <v>122.270676903426</v>
      </c>
    </row>
    <row r="104">
      <c r="A104" s="1">
        <v>101.0</v>
      </c>
      <c r="B104" s="3" t="s">
        <v>221</v>
      </c>
      <c r="C104" s="1">
        <v>3.5</v>
      </c>
      <c r="D104" s="1" t="s">
        <v>222</v>
      </c>
      <c r="E104" s="3" t="s">
        <v>220</v>
      </c>
      <c r="F104" s="4">
        <v>37.828969</v>
      </c>
      <c r="G104" s="4">
        <v>122.249297</v>
      </c>
    </row>
    <row r="105">
      <c r="A105" s="1">
        <v>102.0</v>
      </c>
      <c r="B105" s="3" t="s">
        <v>223</v>
      </c>
      <c r="C105" s="1">
        <v>4.0</v>
      </c>
      <c r="D105" s="1" t="s">
        <v>224</v>
      </c>
      <c r="E105" s="3" t="s">
        <v>220</v>
      </c>
      <c r="F105" s="4">
        <v>37.8004753999999</v>
      </c>
      <c r="G105" s="4">
        <v>122.2722423</v>
      </c>
    </row>
    <row r="106">
      <c r="A106" s="1">
        <v>103.0</v>
      </c>
      <c r="B106" s="3" t="s">
        <v>225</v>
      </c>
      <c r="C106" s="1">
        <v>4.0</v>
      </c>
      <c r="D106" s="1" t="s">
        <v>226</v>
      </c>
      <c r="E106" s="3" t="s">
        <v>227</v>
      </c>
      <c r="F106" s="4">
        <v>37.8678697054593</v>
      </c>
      <c r="G106" s="4">
        <v>122.266082279384</v>
      </c>
    </row>
    <row r="107">
      <c r="A107" s="1">
        <v>104.0</v>
      </c>
      <c r="B107" s="3" t="s">
        <v>228</v>
      </c>
      <c r="C107" s="1">
        <v>4.0</v>
      </c>
      <c r="D107" s="1" t="s">
        <v>219</v>
      </c>
      <c r="E107" s="3" t="s">
        <v>220</v>
      </c>
      <c r="F107" s="4">
        <v>37.8004455566406</v>
      </c>
      <c r="G107" s="4">
        <v>122.271835327148</v>
      </c>
    </row>
    <row r="108">
      <c r="A108" s="1">
        <v>105.0</v>
      </c>
      <c r="B108" s="3" t="s">
        <v>229</v>
      </c>
      <c r="C108" s="1">
        <v>4.0</v>
      </c>
      <c r="D108" s="1" t="s">
        <v>230</v>
      </c>
      <c r="E108" s="3" t="s">
        <v>227</v>
      </c>
      <c r="F108" s="4">
        <v>37.8719582</v>
      </c>
      <c r="G108" s="4">
        <v>122.268859</v>
      </c>
    </row>
    <row r="109">
      <c r="A109" s="1">
        <v>106.0</v>
      </c>
      <c r="B109" s="3" t="s">
        <v>231</v>
      </c>
      <c r="C109" s="1">
        <v>4.0</v>
      </c>
      <c r="D109" s="1" t="s">
        <v>232</v>
      </c>
      <c r="E109" s="3" t="s">
        <v>233</v>
      </c>
      <c r="F109" s="4">
        <v>37.7673552038867</v>
      </c>
      <c r="G109" s="4">
        <v>122.240029983222</v>
      </c>
    </row>
    <row r="110">
      <c r="A110" s="1">
        <v>107.0</v>
      </c>
      <c r="B110" s="3" t="s">
        <v>234</v>
      </c>
      <c r="C110" s="1">
        <v>3.0</v>
      </c>
      <c r="D110" s="1" t="s">
        <v>235</v>
      </c>
      <c r="E110" s="3" t="s">
        <v>220</v>
      </c>
      <c r="F110" s="4">
        <v>37.8009841</v>
      </c>
      <c r="G110" s="4">
        <v>122.2700858</v>
      </c>
    </row>
    <row r="111">
      <c r="A111" s="1">
        <v>108.0</v>
      </c>
      <c r="B111" s="3" t="s">
        <v>236</v>
      </c>
      <c r="C111" s="1">
        <v>4.0</v>
      </c>
      <c r="D111" s="1" t="s">
        <v>237</v>
      </c>
      <c r="E111" s="3" t="s">
        <v>220</v>
      </c>
      <c r="F111" s="4">
        <v>37.83818</v>
      </c>
      <c r="G111" s="4">
        <v>122.25168</v>
      </c>
    </row>
    <row r="112">
      <c r="A112" s="1">
        <v>109.0</v>
      </c>
      <c r="B112" s="3" t="s">
        <v>238</v>
      </c>
      <c r="C112" s="1">
        <v>4.0</v>
      </c>
      <c r="D112" s="1" t="s">
        <v>239</v>
      </c>
      <c r="E112" s="3" t="s">
        <v>227</v>
      </c>
      <c r="F112" s="4">
        <v>37.8684064</v>
      </c>
      <c r="G112" s="4">
        <v>122.260511299999</v>
      </c>
    </row>
    <row r="113">
      <c r="A113" s="1">
        <v>110.0</v>
      </c>
      <c r="B113" s="3" t="s">
        <v>240</v>
      </c>
      <c r="C113" s="1">
        <v>4.0</v>
      </c>
      <c r="D113" s="1" t="s">
        <v>241</v>
      </c>
      <c r="E113" s="3" t="s">
        <v>227</v>
      </c>
      <c r="F113" s="4">
        <v>37.87087</v>
      </c>
      <c r="G113" s="4">
        <v>122.26857</v>
      </c>
    </row>
    <row r="114">
      <c r="A114" s="1">
        <v>111.0</v>
      </c>
      <c r="B114" s="3" t="s">
        <v>242</v>
      </c>
      <c r="C114" s="1">
        <v>4.0</v>
      </c>
      <c r="D114" s="1" t="s">
        <v>243</v>
      </c>
      <c r="E114" s="3" t="s">
        <v>244</v>
      </c>
      <c r="F114" s="4">
        <v>37.9485708483184</v>
      </c>
      <c r="G114" s="4">
        <v>122.058178750759</v>
      </c>
    </row>
    <row r="115">
      <c r="A115" s="1">
        <v>112.0</v>
      </c>
      <c r="B115" s="3" t="s">
        <v>245</v>
      </c>
      <c r="C115" s="1">
        <v>4.0</v>
      </c>
      <c r="D115" s="1" t="s">
        <v>246</v>
      </c>
      <c r="E115" s="3" t="s">
        <v>227</v>
      </c>
      <c r="F115" s="4">
        <v>37.86821</v>
      </c>
      <c r="G115" s="4">
        <v>122.25803</v>
      </c>
    </row>
    <row r="116">
      <c r="A116" s="1">
        <v>113.0</v>
      </c>
      <c r="B116" s="3" t="s">
        <v>247</v>
      </c>
      <c r="C116" s="1">
        <v>3.5</v>
      </c>
      <c r="D116" s="1" t="s">
        <v>248</v>
      </c>
      <c r="E116" s="3" t="s">
        <v>233</v>
      </c>
      <c r="F116" s="4">
        <v>37.7867215</v>
      </c>
      <c r="G116" s="4">
        <v>122.281344699999</v>
      </c>
    </row>
    <row r="117">
      <c r="A117" s="1">
        <v>114.0</v>
      </c>
      <c r="B117" s="3" t="s">
        <v>249</v>
      </c>
      <c r="C117" s="1">
        <v>3.5</v>
      </c>
      <c r="D117" s="1" t="s">
        <v>250</v>
      </c>
      <c r="E117" s="3" t="s">
        <v>227</v>
      </c>
      <c r="F117" s="4">
        <v>37.8704335</v>
      </c>
      <c r="G117" s="4">
        <v>122.266269299999</v>
      </c>
    </row>
    <row r="118">
      <c r="A118" s="1">
        <v>115.0</v>
      </c>
      <c r="B118" s="3" t="s">
        <v>251</v>
      </c>
      <c r="C118" s="1">
        <v>3.5</v>
      </c>
      <c r="D118" s="1" t="s">
        <v>252</v>
      </c>
      <c r="E118" s="3" t="s">
        <v>233</v>
      </c>
      <c r="F118" s="4">
        <v>37.76394</v>
      </c>
      <c r="G118" s="4">
        <v>122.24266</v>
      </c>
    </row>
    <row r="119">
      <c r="A119" s="1">
        <v>116.0</v>
      </c>
      <c r="B119" s="3" t="s">
        <v>253</v>
      </c>
      <c r="C119" s="1">
        <v>4.0</v>
      </c>
      <c r="D119" s="1" t="s">
        <v>254</v>
      </c>
      <c r="E119" s="3" t="s">
        <v>255</v>
      </c>
      <c r="F119" s="4">
        <v>37.8981318936801</v>
      </c>
      <c r="G119" s="4">
        <v>122.059291005135</v>
      </c>
    </row>
    <row r="120">
      <c r="A120" s="1">
        <v>117.0</v>
      </c>
      <c r="B120" s="3" t="s">
        <v>256</v>
      </c>
      <c r="C120" s="1">
        <v>3.5</v>
      </c>
      <c r="D120" s="1" t="s">
        <v>257</v>
      </c>
      <c r="E120" s="3" t="s">
        <v>220</v>
      </c>
      <c r="F120" s="4">
        <v>37.7994484</v>
      </c>
      <c r="G120" s="4">
        <v>122.270096799999</v>
      </c>
    </row>
    <row r="121">
      <c r="A121" s="1">
        <v>118.0</v>
      </c>
      <c r="B121" s="3" t="s">
        <v>258</v>
      </c>
      <c r="C121" s="1">
        <v>4.0</v>
      </c>
      <c r="D121" s="1" t="s">
        <v>259</v>
      </c>
      <c r="E121" s="3" t="s">
        <v>220</v>
      </c>
      <c r="F121" s="4">
        <v>37.81106</v>
      </c>
      <c r="G121" s="4">
        <v>122.24718</v>
      </c>
    </row>
    <row r="122">
      <c r="A122" s="1">
        <v>119.0</v>
      </c>
      <c r="B122" s="3" t="s">
        <v>260</v>
      </c>
      <c r="C122" s="1">
        <v>4.0</v>
      </c>
      <c r="D122" s="1" t="s">
        <v>261</v>
      </c>
      <c r="E122" s="3" t="s">
        <v>233</v>
      </c>
      <c r="F122" s="4">
        <v>37.770820099746</v>
      </c>
      <c r="G122" s="4">
        <v>122.277515907933</v>
      </c>
    </row>
    <row r="123">
      <c r="A123" s="1">
        <v>120.0</v>
      </c>
      <c r="B123" s="3" t="s">
        <v>262</v>
      </c>
      <c r="C123" s="1">
        <v>4.5</v>
      </c>
      <c r="D123" s="1" t="s">
        <v>263</v>
      </c>
      <c r="E123" s="3" t="s">
        <v>220</v>
      </c>
      <c r="F123" s="4">
        <v>37.7765099</v>
      </c>
      <c r="G123" s="4">
        <v>122.2250587</v>
      </c>
    </row>
    <row r="124">
      <c r="A124" s="1">
        <v>121.0</v>
      </c>
      <c r="B124" s="3" t="s">
        <v>264</v>
      </c>
      <c r="C124" s="1">
        <v>4.0</v>
      </c>
      <c r="D124" s="1" t="s">
        <v>265</v>
      </c>
      <c r="E124" s="3" t="s">
        <v>116</v>
      </c>
      <c r="F124" s="4">
        <v>37.72272</v>
      </c>
      <c r="G124" s="4">
        <v>122.154389999999</v>
      </c>
    </row>
    <row r="125">
      <c r="A125" s="1">
        <v>122.0</v>
      </c>
      <c r="B125" s="3" t="s">
        <v>266</v>
      </c>
      <c r="C125" s="1">
        <v>3.5</v>
      </c>
      <c r="D125" s="1" t="s">
        <v>267</v>
      </c>
      <c r="E125" s="3" t="s">
        <v>220</v>
      </c>
      <c r="F125" s="4">
        <v>37.8007358</v>
      </c>
      <c r="G125" s="4">
        <v>122.270182</v>
      </c>
    </row>
    <row r="126">
      <c r="A126" s="1">
        <v>123.0</v>
      </c>
      <c r="B126" s="3" t="s">
        <v>268</v>
      </c>
      <c r="C126" s="1">
        <v>4.0</v>
      </c>
      <c r="D126" s="1" t="s">
        <v>269</v>
      </c>
      <c r="E126" s="3" t="s">
        <v>227</v>
      </c>
      <c r="F126" s="4">
        <v>37.86864</v>
      </c>
      <c r="G126" s="4">
        <v>122.257789999999</v>
      </c>
    </row>
    <row r="127">
      <c r="A127" s="1">
        <v>124.0</v>
      </c>
      <c r="B127" s="3" t="s">
        <v>270</v>
      </c>
      <c r="C127" s="1">
        <v>4.0</v>
      </c>
      <c r="D127" s="1" t="s">
        <v>271</v>
      </c>
      <c r="E127" s="3" t="s">
        <v>220</v>
      </c>
      <c r="F127" s="4">
        <v>37.81097</v>
      </c>
      <c r="G127" s="4">
        <v>122.26651</v>
      </c>
    </row>
    <row r="128">
      <c r="A128" s="1">
        <v>125.0</v>
      </c>
      <c r="B128" s="3" t="s">
        <v>272</v>
      </c>
      <c r="C128" s="1">
        <v>3.0</v>
      </c>
      <c r="D128" s="1" t="s">
        <v>273</v>
      </c>
      <c r="E128" s="3" t="s">
        <v>220</v>
      </c>
      <c r="F128" s="4">
        <v>37.8064126521349</v>
      </c>
      <c r="G128" s="4">
        <v>122.268292084336</v>
      </c>
    </row>
    <row r="129">
      <c r="A129" s="1">
        <v>126.0</v>
      </c>
      <c r="B129" s="3" t="s">
        <v>274</v>
      </c>
      <c r="C129" s="1">
        <v>3.5</v>
      </c>
      <c r="D129" s="1" t="s">
        <v>275</v>
      </c>
      <c r="E129" s="3" t="s">
        <v>233</v>
      </c>
      <c r="F129" s="4">
        <v>37.76509</v>
      </c>
      <c r="G129" s="4">
        <v>122.24233</v>
      </c>
    </row>
    <row r="130">
      <c r="A130" s="1">
        <v>127.0</v>
      </c>
      <c r="B130" s="3" t="s">
        <v>276</v>
      </c>
      <c r="C130" s="1">
        <v>3.5</v>
      </c>
      <c r="D130" s="1" t="s">
        <v>277</v>
      </c>
      <c r="E130" s="3" t="s">
        <v>233</v>
      </c>
      <c r="F130" s="4">
        <v>37.7635299999999</v>
      </c>
      <c r="G130" s="4">
        <v>122.243189999999</v>
      </c>
    </row>
    <row r="131">
      <c r="A131" s="1">
        <v>128.0</v>
      </c>
      <c r="B131" s="3" t="s">
        <v>278</v>
      </c>
      <c r="C131" s="1">
        <v>5.0</v>
      </c>
      <c r="D131" s="1" t="s">
        <v>259</v>
      </c>
      <c r="E131" s="3" t="s">
        <v>220</v>
      </c>
      <c r="F131" s="4">
        <v>37.8110686341717</v>
      </c>
      <c r="G131" s="4">
        <v>122.24723573774</v>
      </c>
    </row>
    <row r="132">
      <c r="A132" s="1">
        <v>129.0</v>
      </c>
      <c r="B132" s="3" t="s">
        <v>279</v>
      </c>
      <c r="C132" s="1">
        <v>4.5</v>
      </c>
      <c r="D132" s="1" t="s">
        <v>280</v>
      </c>
      <c r="E132" s="3" t="s">
        <v>281</v>
      </c>
      <c r="F132" s="4">
        <v>37.6834642</v>
      </c>
      <c r="G132" s="4">
        <v>122.4028888</v>
      </c>
    </row>
    <row r="133">
      <c r="A133" s="1">
        <v>130.0</v>
      </c>
      <c r="B133" s="3" t="s">
        <v>282</v>
      </c>
      <c r="C133" s="1">
        <v>4.5</v>
      </c>
      <c r="D133" s="1" t="s">
        <v>283</v>
      </c>
      <c r="E133" s="3" t="s">
        <v>220</v>
      </c>
      <c r="F133" s="4">
        <v>37.8076094805534</v>
      </c>
      <c r="G133" s="4">
        <v>122.268880033234</v>
      </c>
    </row>
    <row r="134">
      <c r="A134" s="1">
        <v>131.0</v>
      </c>
      <c r="B134" s="3" t="s">
        <v>284</v>
      </c>
      <c r="C134" s="1">
        <v>2.5</v>
      </c>
      <c r="D134" s="1" t="s">
        <v>285</v>
      </c>
      <c r="E134" s="3" t="s">
        <v>220</v>
      </c>
      <c r="F134" s="4">
        <v>37.7989615787538</v>
      </c>
      <c r="G134" s="4">
        <v>122.268823823837</v>
      </c>
    </row>
    <row r="135">
      <c r="A135" s="1">
        <v>132.0</v>
      </c>
      <c r="B135" s="3" t="s">
        <v>286</v>
      </c>
      <c r="C135" s="1">
        <v>4.5</v>
      </c>
      <c r="D135" s="1" t="s">
        <v>287</v>
      </c>
      <c r="E135" s="3" t="s">
        <v>220</v>
      </c>
      <c r="F135" s="4">
        <v>37.7996292114257</v>
      </c>
      <c r="G135" s="4">
        <v>122.268371582031</v>
      </c>
    </row>
    <row r="136">
      <c r="A136" s="1">
        <v>133.0</v>
      </c>
      <c r="B136" s="3" t="s">
        <v>288</v>
      </c>
      <c r="C136" s="1">
        <v>5.0</v>
      </c>
      <c r="D136" s="1" t="s">
        <v>289</v>
      </c>
      <c r="E136" s="3" t="s">
        <v>116</v>
      </c>
      <c r="F136" s="4">
        <v>37.723825</v>
      </c>
      <c r="G136" s="4">
        <v>122.154662999999</v>
      </c>
    </row>
    <row r="137">
      <c r="A137" s="1">
        <v>134.0</v>
      </c>
      <c r="B137" s="3" t="s">
        <v>290</v>
      </c>
      <c r="C137" s="1">
        <v>3.5</v>
      </c>
      <c r="D137" s="1" t="s">
        <v>291</v>
      </c>
      <c r="E137" s="3" t="s">
        <v>220</v>
      </c>
      <c r="F137" s="4">
        <v>37.8106217795691</v>
      </c>
      <c r="G137" s="4">
        <v>122.243926227092</v>
      </c>
    </row>
    <row r="138">
      <c r="A138" s="1">
        <v>135.0</v>
      </c>
      <c r="B138" s="3" t="s">
        <v>292</v>
      </c>
      <c r="C138" s="1">
        <v>4.0</v>
      </c>
      <c r="D138" s="1" t="s">
        <v>293</v>
      </c>
      <c r="E138" s="3" t="s">
        <v>227</v>
      </c>
      <c r="F138" s="4">
        <v>37.8731630455033</v>
      </c>
      <c r="G138" s="4">
        <v>122.268577069044</v>
      </c>
    </row>
    <row r="139">
      <c r="A139" s="1">
        <v>136.0</v>
      </c>
      <c r="B139" s="3" t="s">
        <v>294</v>
      </c>
      <c r="C139" s="1">
        <v>3.5</v>
      </c>
      <c r="D139" s="1" t="s">
        <v>295</v>
      </c>
      <c r="E139" s="3" t="s">
        <v>220</v>
      </c>
      <c r="F139" s="4">
        <v>37.800992</v>
      </c>
      <c r="G139" s="4">
        <v>122.2701305</v>
      </c>
    </row>
    <row r="140">
      <c r="A140" s="1">
        <v>137.0</v>
      </c>
      <c r="B140" s="3" t="s">
        <v>296</v>
      </c>
      <c r="C140" s="1">
        <v>4.0</v>
      </c>
      <c r="D140" s="1" t="s">
        <v>297</v>
      </c>
      <c r="E140" s="3" t="s">
        <v>82</v>
      </c>
      <c r="F140" s="4">
        <v>37.3145584994998</v>
      </c>
      <c r="G140" s="4">
        <v>121.790188997984</v>
      </c>
    </row>
    <row r="141">
      <c r="A141" s="1">
        <v>138.0</v>
      </c>
      <c r="B141" s="3" t="s">
        <v>298</v>
      </c>
      <c r="C141" s="1">
        <v>4.0</v>
      </c>
      <c r="D141" s="1" t="s">
        <v>299</v>
      </c>
      <c r="E141" s="3" t="s">
        <v>82</v>
      </c>
      <c r="F141" s="4">
        <v>37.3323443189417</v>
      </c>
      <c r="G141" s="4">
        <v>121.857742217231</v>
      </c>
    </row>
    <row r="142">
      <c r="A142" s="1">
        <v>139.0</v>
      </c>
      <c r="B142" s="3" t="s">
        <v>300</v>
      </c>
      <c r="C142" s="1">
        <v>4.0</v>
      </c>
      <c r="D142" s="1" t="s">
        <v>301</v>
      </c>
      <c r="E142" s="3" t="s">
        <v>82</v>
      </c>
      <c r="F142" s="4">
        <v>37.3311487640944</v>
      </c>
      <c r="G142" s="4">
        <v>121.85737667523</v>
      </c>
    </row>
    <row r="143">
      <c r="A143" s="1">
        <v>140.0</v>
      </c>
      <c r="B143" s="3" t="s">
        <v>302</v>
      </c>
      <c r="C143" s="1">
        <v>4.0</v>
      </c>
      <c r="D143" s="1" t="s">
        <v>303</v>
      </c>
      <c r="E143" s="3" t="s">
        <v>82</v>
      </c>
      <c r="F143" s="4">
        <v>37.25336</v>
      </c>
      <c r="G143" s="4">
        <v>121.9015</v>
      </c>
    </row>
    <row r="144">
      <c r="A144" s="1">
        <v>141.0</v>
      </c>
      <c r="B144" s="3" t="s">
        <v>304</v>
      </c>
      <c r="C144" s="1">
        <v>4.0</v>
      </c>
      <c r="D144" s="1" t="s">
        <v>305</v>
      </c>
      <c r="E144" s="3" t="s">
        <v>82</v>
      </c>
      <c r="F144" s="4">
        <v>37.3157651</v>
      </c>
      <c r="G144" s="4">
        <v>121.9782757</v>
      </c>
    </row>
    <row r="145">
      <c r="A145" s="1">
        <v>142.0</v>
      </c>
      <c r="B145" s="3" t="s">
        <v>306</v>
      </c>
      <c r="C145" s="1">
        <v>4.0</v>
      </c>
      <c r="D145" s="1" t="s">
        <v>307</v>
      </c>
      <c r="E145" s="3" t="s">
        <v>82</v>
      </c>
      <c r="F145" s="4">
        <v>37.3105198999999</v>
      </c>
      <c r="G145" s="4">
        <v>121.84997</v>
      </c>
    </row>
    <row r="146">
      <c r="A146" s="1">
        <v>143.0</v>
      </c>
      <c r="B146" s="3" t="s">
        <v>308</v>
      </c>
      <c r="C146" s="1">
        <v>4.0</v>
      </c>
      <c r="D146" s="1" t="s">
        <v>309</v>
      </c>
      <c r="E146" s="3" t="s">
        <v>82</v>
      </c>
      <c r="F146" s="4">
        <v>37.267032623291</v>
      </c>
      <c r="G146" s="4">
        <v>121.834053039551</v>
      </c>
    </row>
    <row r="147">
      <c r="A147" s="1">
        <v>144.0</v>
      </c>
      <c r="B147" s="3" t="s">
        <v>310</v>
      </c>
      <c r="C147" s="1">
        <v>4.5</v>
      </c>
      <c r="D147" s="1" t="s">
        <v>311</v>
      </c>
      <c r="E147" s="3" t="s">
        <v>82</v>
      </c>
      <c r="F147" s="4">
        <v>37.308647</v>
      </c>
      <c r="G147" s="4">
        <v>121.813461</v>
      </c>
    </row>
    <row r="148">
      <c r="A148" s="1">
        <v>145.0</v>
      </c>
      <c r="B148" s="3" t="s">
        <v>312</v>
      </c>
      <c r="C148" s="1">
        <v>3.5</v>
      </c>
      <c r="D148" s="1" t="s">
        <v>313</v>
      </c>
      <c r="E148" s="3" t="s">
        <v>82</v>
      </c>
      <c r="F148" s="4">
        <v>37.332404</v>
      </c>
      <c r="G148" s="4">
        <v>121.8845467</v>
      </c>
    </row>
    <row r="149">
      <c r="A149" s="1">
        <v>146.0</v>
      </c>
      <c r="B149" s="3" t="s">
        <v>314</v>
      </c>
      <c r="C149" s="1">
        <v>4.0</v>
      </c>
      <c r="D149" s="1" t="s">
        <v>315</v>
      </c>
      <c r="E149" s="3" t="s">
        <v>82</v>
      </c>
      <c r="F149" s="4">
        <v>37.3529398999999</v>
      </c>
      <c r="G149" s="4">
        <v>121.89176</v>
      </c>
    </row>
    <row r="150">
      <c r="A150" s="1">
        <v>147.0</v>
      </c>
      <c r="B150" s="3" t="s">
        <v>316</v>
      </c>
      <c r="C150" s="1">
        <v>5.0</v>
      </c>
      <c r="D150" s="1" t="s">
        <v>317</v>
      </c>
      <c r="E150" s="3" t="s">
        <v>82</v>
      </c>
      <c r="F150" s="4">
        <v>37.33709</v>
      </c>
      <c r="G150" s="4">
        <v>121.88941</v>
      </c>
    </row>
    <row r="151">
      <c r="A151" s="1">
        <v>148.0</v>
      </c>
      <c r="B151" s="3" t="s">
        <v>318</v>
      </c>
      <c r="C151" s="1">
        <v>4.0</v>
      </c>
      <c r="D151" s="1" t="s">
        <v>319</v>
      </c>
      <c r="E151" s="3" t="s">
        <v>82</v>
      </c>
      <c r="F151" s="4">
        <v>37.3319875706985</v>
      </c>
      <c r="G151" s="4">
        <v>121.856774212303</v>
      </c>
    </row>
    <row r="152">
      <c r="A152" s="1">
        <v>149.0</v>
      </c>
      <c r="B152" s="3" t="s">
        <v>320</v>
      </c>
      <c r="C152" s="1">
        <v>4.0</v>
      </c>
      <c r="D152" s="1" t="s">
        <v>321</v>
      </c>
      <c r="E152" s="3" t="s">
        <v>82</v>
      </c>
      <c r="F152" s="4">
        <v>37.338629553452</v>
      </c>
      <c r="G152" s="4">
        <v>121.885706819594</v>
      </c>
    </row>
    <row r="153">
      <c r="A153" s="1">
        <v>150.0</v>
      </c>
      <c r="B153" s="3" t="s">
        <v>322</v>
      </c>
      <c r="C153" s="1">
        <v>4.0</v>
      </c>
      <c r="D153" s="1" t="s">
        <v>323</v>
      </c>
      <c r="E153" s="3" t="s">
        <v>82</v>
      </c>
      <c r="F153" s="4">
        <v>37.3122516785924</v>
      </c>
      <c r="G153" s="4">
        <v>121.809769305956</v>
      </c>
    </row>
    <row r="154">
      <c r="A154" s="1">
        <v>151.0</v>
      </c>
      <c r="B154" s="3" t="s">
        <v>324</v>
      </c>
      <c r="C154" s="1">
        <v>3.5</v>
      </c>
      <c r="D154" s="1" t="s">
        <v>325</v>
      </c>
      <c r="E154" s="3" t="s">
        <v>82</v>
      </c>
      <c r="F154" s="4">
        <v>37.309534</v>
      </c>
      <c r="G154" s="4">
        <v>121.949649</v>
      </c>
    </row>
    <row r="155">
      <c r="A155" s="1">
        <v>152.0</v>
      </c>
      <c r="B155" s="3" t="s">
        <v>326</v>
      </c>
      <c r="C155" s="1">
        <v>4.0</v>
      </c>
      <c r="D155" s="1" t="s">
        <v>327</v>
      </c>
      <c r="E155" s="3" t="s">
        <v>82</v>
      </c>
      <c r="F155" s="4">
        <v>37.3869800203948</v>
      </c>
      <c r="G155" s="4">
        <v>121.883576139808</v>
      </c>
    </row>
    <row r="156">
      <c r="A156" s="1">
        <v>153.0</v>
      </c>
      <c r="B156" s="3" t="s">
        <v>328</v>
      </c>
      <c r="C156" s="1">
        <v>4.0</v>
      </c>
      <c r="D156" s="1" t="s">
        <v>329</v>
      </c>
      <c r="E156" s="3" t="s">
        <v>82</v>
      </c>
      <c r="F156" s="4">
        <v>37.2486885993529</v>
      </c>
      <c r="G156" s="4">
        <v>121.857970789389</v>
      </c>
    </row>
    <row r="157">
      <c r="A157" s="1">
        <v>154.0</v>
      </c>
      <c r="B157" s="3" t="s">
        <v>330</v>
      </c>
      <c r="C157" s="1">
        <v>4.5</v>
      </c>
      <c r="D157" s="1" t="s">
        <v>331</v>
      </c>
      <c r="E157" s="3" t="s">
        <v>82</v>
      </c>
      <c r="F157" s="4">
        <v>37.2525198999999</v>
      </c>
      <c r="G157" s="4">
        <v>121.8501</v>
      </c>
    </row>
    <row r="158">
      <c r="A158" s="1">
        <v>155.0</v>
      </c>
      <c r="B158" s="3" t="s">
        <v>332</v>
      </c>
      <c r="C158" s="1">
        <v>4.0</v>
      </c>
      <c r="D158" s="1" t="s">
        <v>333</v>
      </c>
      <c r="E158" s="3" t="s">
        <v>82</v>
      </c>
      <c r="F158" s="4">
        <v>37.3086570138301</v>
      </c>
      <c r="G158" s="4">
        <v>122.012592169713</v>
      </c>
    </row>
    <row r="159">
      <c r="A159" s="1">
        <v>156.0</v>
      </c>
      <c r="B159" s="3" t="s">
        <v>334</v>
      </c>
      <c r="C159" s="1">
        <v>4.0</v>
      </c>
      <c r="D159" s="1" t="s">
        <v>335</v>
      </c>
      <c r="E159" s="3" t="s">
        <v>82</v>
      </c>
      <c r="F159" s="4">
        <v>37.32229</v>
      </c>
      <c r="G159" s="4">
        <v>121.82405</v>
      </c>
    </row>
    <row r="160">
      <c r="A160" s="1">
        <v>157.0</v>
      </c>
      <c r="B160" s="3" t="s">
        <v>336</v>
      </c>
      <c r="C160" s="1">
        <v>4.0</v>
      </c>
      <c r="D160" s="1" t="s">
        <v>337</v>
      </c>
      <c r="E160" s="3" t="s">
        <v>82</v>
      </c>
      <c r="F160" s="4">
        <v>37.4041770427227</v>
      </c>
      <c r="G160" s="4">
        <v>121.881933087311</v>
      </c>
    </row>
    <row r="161">
      <c r="A161" s="1">
        <v>158.0</v>
      </c>
      <c r="B161" s="3" t="s">
        <v>338</v>
      </c>
      <c r="C161" s="1">
        <v>4.0</v>
      </c>
      <c r="D161" s="1" t="s">
        <v>311</v>
      </c>
      <c r="E161" s="3" t="s">
        <v>82</v>
      </c>
      <c r="F161" s="4">
        <v>37.3088546673824</v>
      </c>
      <c r="G161" s="4">
        <v>121.813202547221</v>
      </c>
    </row>
    <row r="162">
      <c r="A162" s="1">
        <v>159.0</v>
      </c>
      <c r="B162" s="3" t="s">
        <v>339</v>
      </c>
      <c r="C162" s="1">
        <v>4.5</v>
      </c>
      <c r="D162" s="1" t="s">
        <v>340</v>
      </c>
      <c r="E162" s="3" t="s">
        <v>341</v>
      </c>
      <c r="F162" s="4">
        <v>37.32258</v>
      </c>
      <c r="G162" s="4">
        <v>122.03121</v>
      </c>
    </row>
    <row r="163">
      <c r="A163" s="1">
        <v>160.0</v>
      </c>
      <c r="B163" s="3" t="s">
        <v>342</v>
      </c>
      <c r="C163" s="1">
        <v>5.0</v>
      </c>
      <c r="D163" s="1" t="s">
        <v>343</v>
      </c>
      <c r="E163" s="3" t="s">
        <v>82</v>
      </c>
      <c r="F163" s="4">
        <v>37.3354549999999</v>
      </c>
      <c r="G163" s="4">
        <v>121.886596</v>
      </c>
    </row>
    <row r="164">
      <c r="A164" s="1">
        <v>161.0</v>
      </c>
      <c r="B164" s="3" t="s">
        <v>344</v>
      </c>
      <c r="C164" s="1">
        <v>4.0</v>
      </c>
      <c r="D164" s="1" t="s">
        <v>345</v>
      </c>
      <c r="E164" s="3" t="s">
        <v>82</v>
      </c>
      <c r="F164" s="4">
        <v>37.3191772792232</v>
      </c>
      <c r="G164" s="4">
        <v>121.827041554832</v>
      </c>
    </row>
    <row r="165">
      <c r="A165" s="1">
        <v>162.0</v>
      </c>
      <c r="B165" s="3" t="s">
        <v>346</v>
      </c>
      <c r="C165" s="1">
        <v>4.0</v>
      </c>
      <c r="D165" s="1" t="s">
        <v>347</v>
      </c>
      <c r="E165" s="3" t="s">
        <v>348</v>
      </c>
      <c r="F165" s="4">
        <v>37.3486599999999</v>
      </c>
      <c r="G165" s="4">
        <v>121.94616</v>
      </c>
    </row>
    <row r="166">
      <c r="A166" s="1">
        <v>163.0</v>
      </c>
      <c r="B166" s="3" t="s">
        <v>349</v>
      </c>
      <c r="C166" s="1">
        <v>4.0</v>
      </c>
      <c r="D166" s="1" t="s">
        <v>350</v>
      </c>
      <c r="E166" s="3" t="s">
        <v>82</v>
      </c>
      <c r="F166" s="4">
        <v>37.3697020772431</v>
      </c>
      <c r="G166" s="4">
        <v>121.845367355225</v>
      </c>
    </row>
    <row r="167">
      <c r="A167" s="1">
        <v>164.0</v>
      </c>
      <c r="B167" s="3" t="s">
        <v>351</v>
      </c>
      <c r="C167" s="1">
        <v>3.5</v>
      </c>
      <c r="D167" s="1" t="s">
        <v>352</v>
      </c>
      <c r="E167" s="3" t="s">
        <v>82</v>
      </c>
      <c r="F167" s="4">
        <v>37.236431</v>
      </c>
      <c r="G167" s="4">
        <v>121.804763</v>
      </c>
    </row>
    <row r="168">
      <c r="A168" s="1">
        <v>165.0</v>
      </c>
      <c r="B168" s="3" t="s">
        <v>353</v>
      </c>
      <c r="C168" s="1">
        <v>4.0</v>
      </c>
      <c r="D168" s="1" t="s">
        <v>354</v>
      </c>
      <c r="E168" s="3" t="s">
        <v>82</v>
      </c>
      <c r="F168" s="4">
        <v>37.3879799</v>
      </c>
      <c r="G168" s="4">
        <v>121.8588819</v>
      </c>
    </row>
    <row r="169">
      <c r="A169" s="1">
        <v>166.0</v>
      </c>
      <c r="B169" s="3" t="s">
        <v>355</v>
      </c>
      <c r="C169" s="1">
        <v>4.0</v>
      </c>
      <c r="D169" s="1" t="s">
        <v>356</v>
      </c>
      <c r="E169" s="3" t="s">
        <v>82</v>
      </c>
      <c r="F169" s="4">
        <v>37.29956</v>
      </c>
      <c r="G169" s="4">
        <v>121.84016</v>
      </c>
    </row>
    <row r="170">
      <c r="A170" s="1">
        <v>167.0</v>
      </c>
      <c r="B170" s="3" t="s">
        <v>357</v>
      </c>
      <c r="C170" s="1">
        <v>3.5</v>
      </c>
      <c r="D170" s="1" t="s">
        <v>358</v>
      </c>
      <c r="E170" s="3" t="s">
        <v>82</v>
      </c>
      <c r="F170" s="4">
        <v>37.319475621662</v>
      </c>
      <c r="G170" s="4">
        <v>121.94762103391</v>
      </c>
    </row>
    <row r="171">
      <c r="A171" s="1">
        <v>168.0</v>
      </c>
      <c r="B171" s="3" t="s">
        <v>359</v>
      </c>
      <c r="C171" s="1">
        <v>3.5</v>
      </c>
      <c r="D171" s="1" t="s">
        <v>360</v>
      </c>
      <c r="E171" s="3" t="s">
        <v>341</v>
      </c>
      <c r="F171" s="4">
        <v>37.3112882127292</v>
      </c>
      <c r="G171" s="4">
        <v>122.023623995482</v>
      </c>
    </row>
    <row r="172">
      <c r="A172" s="1">
        <v>169.0</v>
      </c>
      <c r="B172" s="3" t="s">
        <v>361</v>
      </c>
      <c r="C172" s="1">
        <v>3.5</v>
      </c>
      <c r="D172" s="1" t="s">
        <v>362</v>
      </c>
      <c r="E172" s="3" t="s">
        <v>82</v>
      </c>
      <c r="F172" s="4">
        <v>37.306154683674</v>
      </c>
      <c r="G172" s="4">
        <v>121.810519318524</v>
      </c>
    </row>
    <row r="173">
      <c r="A173" s="1">
        <v>170.0</v>
      </c>
      <c r="B173" s="3" t="s">
        <v>363</v>
      </c>
      <c r="C173" s="1">
        <v>4.0</v>
      </c>
      <c r="D173" s="1" t="s">
        <v>311</v>
      </c>
      <c r="E173" s="3" t="s">
        <v>82</v>
      </c>
      <c r="F173" s="4">
        <v>37.3086471557617</v>
      </c>
      <c r="G173" s="4">
        <v>121.813461303711</v>
      </c>
    </row>
    <row r="174">
      <c r="A174" s="1">
        <v>171.0</v>
      </c>
      <c r="B174" s="3" t="s">
        <v>364</v>
      </c>
      <c r="C174" s="1">
        <v>4.0</v>
      </c>
      <c r="D174" s="1" t="s">
        <v>365</v>
      </c>
      <c r="E174" s="3" t="s">
        <v>82</v>
      </c>
      <c r="F174" s="4">
        <v>37.2497081431029</v>
      </c>
      <c r="G174" s="4">
        <v>121.879286774857</v>
      </c>
    </row>
    <row r="175">
      <c r="A175" s="1">
        <v>172.0</v>
      </c>
      <c r="B175" s="3" t="s">
        <v>366</v>
      </c>
      <c r="C175" s="1">
        <v>3.5</v>
      </c>
      <c r="D175" s="1" t="s">
        <v>367</v>
      </c>
      <c r="E175" s="3" t="s">
        <v>82</v>
      </c>
      <c r="F175" s="4">
        <v>37.38753</v>
      </c>
      <c r="G175" s="4">
        <v>121.88725</v>
      </c>
    </row>
    <row r="176">
      <c r="A176" s="1">
        <v>173.0</v>
      </c>
      <c r="B176" s="3" t="s">
        <v>368</v>
      </c>
      <c r="C176" s="1">
        <v>4.5</v>
      </c>
      <c r="D176" s="1" t="s">
        <v>301</v>
      </c>
      <c r="E176" s="3" t="s">
        <v>82</v>
      </c>
      <c r="F176" s="4">
        <v>37.3313361147367</v>
      </c>
      <c r="G176" s="4">
        <v>121.857381949738</v>
      </c>
    </row>
    <row r="177">
      <c r="A177" s="1">
        <v>174.0</v>
      </c>
      <c r="B177" s="3" t="s">
        <v>369</v>
      </c>
      <c r="C177" s="1">
        <v>3.5</v>
      </c>
      <c r="D177" s="1" t="s">
        <v>370</v>
      </c>
      <c r="E177" s="3" t="s">
        <v>82</v>
      </c>
      <c r="F177" s="4">
        <v>37.387508</v>
      </c>
      <c r="G177" s="4">
        <v>121.882934</v>
      </c>
    </row>
    <row r="178">
      <c r="A178" s="1">
        <v>175.0</v>
      </c>
      <c r="B178" s="3" t="s">
        <v>371</v>
      </c>
      <c r="C178" s="1">
        <v>3.5</v>
      </c>
      <c r="D178" s="1" t="s">
        <v>372</v>
      </c>
      <c r="E178" s="3" t="s">
        <v>82</v>
      </c>
      <c r="F178" s="4">
        <v>37.2923420099239</v>
      </c>
      <c r="G178" s="4">
        <v>121.988744415863</v>
      </c>
    </row>
    <row r="179">
      <c r="A179" s="1">
        <v>176.0</v>
      </c>
      <c r="B179" s="3" t="s">
        <v>373</v>
      </c>
      <c r="C179" s="1">
        <v>4.0</v>
      </c>
      <c r="D179" s="1" t="s">
        <v>311</v>
      </c>
      <c r="E179" s="3" t="s">
        <v>82</v>
      </c>
      <c r="F179" s="4">
        <v>37.3090745900201</v>
      </c>
      <c r="G179" s="4">
        <v>121.814426575475</v>
      </c>
    </row>
    <row r="180">
      <c r="A180" s="1">
        <v>177.0</v>
      </c>
      <c r="B180" s="3" t="s">
        <v>374</v>
      </c>
      <c r="C180" s="1">
        <v>4.0</v>
      </c>
      <c r="D180" s="1" t="s">
        <v>375</v>
      </c>
      <c r="E180" s="3" t="s">
        <v>82</v>
      </c>
      <c r="F180" s="4">
        <v>37.309508</v>
      </c>
      <c r="G180" s="4">
        <v>121.809918</v>
      </c>
    </row>
    <row r="181">
      <c r="A181" s="1">
        <v>178.0</v>
      </c>
      <c r="B181" s="3" t="s">
        <v>376</v>
      </c>
      <c r="C181" s="1">
        <v>4.0</v>
      </c>
      <c r="D181" s="1" t="s">
        <v>377</v>
      </c>
      <c r="E181" s="3" t="s">
        <v>82</v>
      </c>
      <c r="F181" s="4">
        <v>37.3720189850199</v>
      </c>
      <c r="G181" s="4">
        <v>121.846125258572</v>
      </c>
    </row>
    <row r="182">
      <c r="A182" s="1">
        <v>179.0</v>
      </c>
      <c r="B182" s="3" t="s">
        <v>378</v>
      </c>
      <c r="C182" s="1">
        <v>3.5</v>
      </c>
      <c r="D182" s="1" t="s">
        <v>379</v>
      </c>
      <c r="E182" s="3" t="s">
        <v>348</v>
      </c>
      <c r="F182" s="4">
        <v>37.3459400429099</v>
      </c>
      <c r="G182" s="4">
        <v>121.979151964188</v>
      </c>
    </row>
    <row r="183">
      <c r="A183" s="1">
        <v>180.0</v>
      </c>
      <c r="B183" s="3" t="s">
        <v>380</v>
      </c>
      <c r="C183" s="1">
        <v>4.0</v>
      </c>
      <c r="D183" s="1" t="s">
        <v>381</v>
      </c>
      <c r="E183" s="3" t="s">
        <v>82</v>
      </c>
      <c r="F183" s="4">
        <v>37.3030374782512</v>
      </c>
      <c r="G183" s="4">
        <v>121.864601250072</v>
      </c>
    </row>
    <row r="184">
      <c r="A184" s="1">
        <v>181.0</v>
      </c>
      <c r="B184" s="3" t="s">
        <v>382</v>
      </c>
      <c r="C184" s="1">
        <v>3.5</v>
      </c>
      <c r="D184" s="1" t="s">
        <v>383</v>
      </c>
      <c r="E184" s="3" t="s">
        <v>82</v>
      </c>
      <c r="F184" s="4">
        <v>37.3210352284759</v>
      </c>
      <c r="G184" s="4">
        <v>121.825406030688</v>
      </c>
    </row>
    <row r="185">
      <c r="A185" s="1">
        <v>182.0</v>
      </c>
      <c r="B185" s="3" t="s">
        <v>384</v>
      </c>
      <c r="C185" s="1">
        <v>4.5</v>
      </c>
      <c r="D185" s="1" t="s">
        <v>385</v>
      </c>
      <c r="E185" s="3" t="s">
        <v>386</v>
      </c>
      <c r="F185" s="4">
        <v>38.32387</v>
      </c>
      <c r="G185" s="4">
        <v>122.30711</v>
      </c>
    </row>
    <row r="186">
      <c r="A186" s="1">
        <v>183.0</v>
      </c>
      <c r="B186" s="3" t="s">
        <v>387</v>
      </c>
      <c r="C186" s="1">
        <v>3.5</v>
      </c>
      <c r="D186" s="1" t="s">
        <v>388</v>
      </c>
      <c r="E186" s="3" t="s">
        <v>386</v>
      </c>
      <c r="F186" s="4">
        <v>38.2991692041736</v>
      </c>
      <c r="G186" s="4">
        <v>122.285283794503</v>
      </c>
    </row>
    <row r="187">
      <c r="A187" s="1">
        <v>184.0</v>
      </c>
      <c r="B187" s="3" t="s">
        <v>389</v>
      </c>
      <c r="C187" s="1">
        <v>4.0</v>
      </c>
      <c r="D187" s="1" t="s">
        <v>390</v>
      </c>
      <c r="E187" s="3" t="s">
        <v>386</v>
      </c>
      <c r="F187" s="4">
        <v>38.29671</v>
      </c>
      <c r="G187" s="4">
        <v>122.28328</v>
      </c>
    </row>
    <row r="188">
      <c r="A188" s="1">
        <v>185.0</v>
      </c>
      <c r="B188" s="3" t="s">
        <v>391</v>
      </c>
      <c r="C188" s="1">
        <v>3.0</v>
      </c>
      <c r="D188" s="1" t="s">
        <v>392</v>
      </c>
      <c r="E188" s="3" t="s">
        <v>386</v>
      </c>
      <c r="F188" s="4">
        <v>38.2988340542314</v>
      </c>
      <c r="G188" s="4">
        <v>122.286458685993</v>
      </c>
    </row>
    <row r="189">
      <c r="A189" s="1">
        <v>186.0</v>
      </c>
      <c r="B189" s="3" t="s">
        <v>393</v>
      </c>
      <c r="C189" s="1">
        <v>3.5</v>
      </c>
      <c r="D189" s="1" t="s">
        <v>394</v>
      </c>
      <c r="E189" s="3" t="s">
        <v>395</v>
      </c>
      <c r="F189" s="4">
        <v>38.1689755277082</v>
      </c>
      <c r="G189" s="4">
        <v>122.254305819574</v>
      </c>
    </row>
    <row r="190">
      <c r="A190" s="1">
        <v>187.0</v>
      </c>
      <c r="B190" s="3" t="s">
        <v>396</v>
      </c>
      <c r="C190" s="1">
        <v>2.5</v>
      </c>
      <c r="D190" s="1" t="s">
        <v>397</v>
      </c>
      <c r="E190" s="3" t="s">
        <v>395</v>
      </c>
      <c r="F190" s="4">
        <v>38.1848877668381</v>
      </c>
      <c r="G190" s="4">
        <v>122.253697514533</v>
      </c>
    </row>
    <row r="191">
      <c r="A191" s="1">
        <v>188.0</v>
      </c>
      <c r="B191" s="3" t="s">
        <v>398</v>
      </c>
      <c r="C191" s="1">
        <v>3.5</v>
      </c>
      <c r="D191" s="1" t="s">
        <v>399</v>
      </c>
      <c r="E191" s="3" t="s">
        <v>400</v>
      </c>
      <c r="F191" s="4">
        <v>38.2914143800735</v>
      </c>
      <c r="G191" s="4">
        <v>122.458058372139</v>
      </c>
    </row>
    <row r="192">
      <c r="A192" s="1">
        <v>189.0</v>
      </c>
      <c r="B192" s="3" t="s">
        <v>401</v>
      </c>
      <c r="C192" s="1">
        <v>2.5</v>
      </c>
      <c r="D192" s="1" t="s">
        <v>402</v>
      </c>
      <c r="E192" s="3" t="s">
        <v>395</v>
      </c>
      <c r="F192" s="4">
        <v>38.18098</v>
      </c>
      <c r="G192" s="4">
        <v>122.25395</v>
      </c>
    </row>
    <row r="193">
      <c r="A193" s="1">
        <v>190.0</v>
      </c>
      <c r="B193" s="3" t="s">
        <v>403</v>
      </c>
      <c r="C193" s="1">
        <v>4.0</v>
      </c>
      <c r="D193" s="1" t="s">
        <v>404</v>
      </c>
      <c r="E193" s="3" t="s">
        <v>405</v>
      </c>
      <c r="F193" s="4">
        <v>38.1480882615897</v>
      </c>
      <c r="G193" s="4">
        <v>122.252996214118</v>
      </c>
    </row>
    <row r="194">
      <c r="A194" s="1">
        <v>191.0</v>
      </c>
      <c r="B194" s="3" t="s">
        <v>406</v>
      </c>
      <c r="C194" s="1">
        <v>4.5</v>
      </c>
      <c r="D194" s="1" t="s">
        <v>407</v>
      </c>
      <c r="E194" s="3" t="s">
        <v>408</v>
      </c>
      <c r="F194" s="4">
        <v>38.215523</v>
      </c>
      <c r="G194" s="4">
        <v>122.143181</v>
      </c>
    </row>
    <row r="195">
      <c r="A195" s="1">
        <v>192.0</v>
      </c>
      <c r="B195" s="3" t="s">
        <v>409</v>
      </c>
      <c r="C195" s="1">
        <v>3.5</v>
      </c>
      <c r="D195" s="1" t="s">
        <v>410</v>
      </c>
      <c r="E195" s="3" t="s">
        <v>408</v>
      </c>
      <c r="F195" s="4">
        <v>38.2219398999999</v>
      </c>
      <c r="G195" s="4">
        <v>122.12513</v>
      </c>
    </row>
    <row r="196">
      <c r="A196" s="1">
        <v>193.0</v>
      </c>
      <c r="B196" s="3" t="s">
        <v>411</v>
      </c>
      <c r="C196" s="1">
        <v>3.5</v>
      </c>
      <c r="D196" s="1" t="s">
        <v>412</v>
      </c>
      <c r="E196" s="3" t="s">
        <v>395</v>
      </c>
      <c r="F196" s="4">
        <v>38.17015</v>
      </c>
      <c r="G196" s="4">
        <v>122.25411</v>
      </c>
    </row>
    <row r="197">
      <c r="A197" s="1">
        <v>194.0</v>
      </c>
      <c r="B197" s="3" t="s">
        <v>413</v>
      </c>
      <c r="C197" s="1">
        <v>3.5</v>
      </c>
      <c r="E197" s="3" t="s">
        <v>414</v>
      </c>
      <c r="F197" s="4">
        <v>38.67463</v>
      </c>
      <c r="G197" s="4">
        <v>121.50861</v>
      </c>
    </row>
    <row r="198">
      <c r="A198" s="1">
        <v>195.0</v>
      </c>
      <c r="B198" s="3" t="s">
        <v>415</v>
      </c>
      <c r="C198" s="1">
        <v>4.0</v>
      </c>
      <c r="D198" s="1" t="s">
        <v>416</v>
      </c>
      <c r="E198" s="3" t="s">
        <v>417</v>
      </c>
      <c r="F198" s="4">
        <v>37.6983805506637</v>
      </c>
      <c r="G198" s="4">
        <v>121.874124370515</v>
      </c>
    </row>
    <row r="199">
      <c r="A199" s="1">
        <v>196.0</v>
      </c>
      <c r="B199" s="3" t="s">
        <v>418</v>
      </c>
      <c r="C199" s="1">
        <v>4.5</v>
      </c>
      <c r="D199" s="1" t="s">
        <v>419</v>
      </c>
      <c r="E199" s="3" t="s">
        <v>417</v>
      </c>
      <c r="F199" s="4">
        <v>37.658818</v>
      </c>
      <c r="G199" s="4">
        <v>121.898176</v>
      </c>
    </row>
    <row r="200">
      <c r="A200" s="1">
        <v>197.0</v>
      </c>
      <c r="B200" s="3" t="s">
        <v>420</v>
      </c>
      <c r="C200" s="1">
        <v>4.0</v>
      </c>
      <c r="D200" s="1" t="s">
        <v>421</v>
      </c>
      <c r="E200" s="3" t="s">
        <v>422</v>
      </c>
      <c r="F200" s="4">
        <v>37.7031989556317</v>
      </c>
      <c r="G200" s="4">
        <v>121.865862095172</v>
      </c>
    </row>
    <row r="201">
      <c r="A201" s="1">
        <v>198.0</v>
      </c>
      <c r="B201" s="3" t="s">
        <v>423</v>
      </c>
      <c r="C201" s="1">
        <v>3.5</v>
      </c>
      <c r="D201" s="1" t="s">
        <v>424</v>
      </c>
      <c r="E201" s="3" t="s">
        <v>417</v>
      </c>
      <c r="F201" s="4">
        <v>37.69288</v>
      </c>
      <c r="G201" s="4">
        <v>121.90177</v>
      </c>
    </row>
    <row r="202">
      <c r="A202" s="1">
        <v>199.0</v>
      </c>
      <c r="B202" s="3" t="s">
        <v>425</v>
      </c>
      <c r="C202" s="1">
        <v>4.0</v>
      </c>
      <c r="D202" s="1" t="s">
        <v>426</v>
      </c>
      <c r="E202" s="3" t="s">
        <v>417</v>
      </c>
      <c r="F202" s="4">
        <v>37.6659098999999</v>
      </c>
      <c r="G202" s="4">
        <v>121.87418</v>
      </c>
    </row>
    <row r="203">
      <c r="A203" s="1">
        <v>200.0</v>
      </c>
      <c r="B203" s="3" t="s">
        <v>427</v>
      </c>
      <c r="C203" s="1">
        <v>3.5</v>
      </c>
      <c r="D203" s="1" t="s">
        <v>428</v>
      </c>
      <c r="E203" s="3" t="s">
        <v>422</v>
      </c>
      <c r="F203" s="4">
        <v>37.7038018033117</v>
      </c>
      <c r="G203" s="4">
        <v>121.851168151661</v>
      </c>
    </row>
    <row r="204">
      <c r="A204" s="1">
        <v>201.0</v>
      </c>
      <c r="B204" s="3" t="s">
        <v>429</v>
      </c>
      <c r="C204" s="1">
        <v>4.0</v>
      </c>
      <c r="D204" s="1" t="s">
        <v>430</v>
      </c>
      <c r="E204" s="3" t="s">
        <v>422</v>
      </c>
      <c r="F204" s="4">
        <v>37.7222341</v>
      </c>
      <c r="G204" s="4">
        <v>121.9419009</v>
      </c>
    </row>
    <row r="205">
      <c r="A205" s="1">
        <v>202.0</v>
      </c>
      <c r="B205" s="3" t="s">
        <v>431</v>
      </c>
      <c r="C205" s="1">
        <v>4.0</v>
      </c>
      <c r="D205" s="1" t="s">
        <v>432</v>
      </c>
      <c r="E205" s="3" t="s">
        <v>417</v>
      </c>
      <c r="F205" s="4">
        <v>37.661346</v>
      </c>
      <c r="G205" s="4">
        <v>121.87506</v>
      </c>
    </row>
    <row r="206">
      <c r="A206" s="1">
        <v>203.0</v>
      </c>
      <c r="B206" s="3" t="s">
        <v>433</v>
      </c>
      <c r="C206" s="1">
        <v>4.0</v>
      </c>
      <c r="D206" s="1" t="s">
        <v>434</v>
      </c>
      <c r="E206" s="3" t="s">
        <v>422</v>
      </c>
      <c r="F206" s="4">
        <v>37.7103898999999</v>
      </c>
      <c r="G206" s="4">
        <v>121.927439999999</v>
      </c>
    </row>
    <row r="207">
      <c r="A207" s="1">
        <v>204.0</v>
      </c>
      <c r="B207" s="3" t="s">
        <v>435</v>
      </c>
      <c r="C207" s="1">
        <v>3.5</v>
      </c>
      <c r="D207" s="1" t="s">
        <v>436</v>
      </c>
      <c r="E207" s="3" t="s">
        <v>422</v>
      </c>
      <c r="F207" s="4">
        <v>37.703959</v>
      </c>
      <c r="G207" s="4">
        <v>121.9342246</v>
      </c>
    </row>
    <row r="208">
      <c r="A208" s="1">
        <v>205.0</v>
      </c>
      <c r="B208" s="3" t="s">
        <v>437</v>
      </c>
      <c r="C208" s="1">
        <v>3.5</v>
      </c>
      <c r="D208" s="1" t="s">
        <v>438</v>
      </c>
      <c r="E208" s="3" t="s">
        <v>417</v>
      </c>
      <c r="F208" s="4">
        <v>37.6956544405508</v>
      </c>
      <c r="G208" s="4">
        <v>121.929317861795</v>
      </c>
    </row>
    <row r="209">
      <c r="A209" s="1">
        <v>206.0</v>
      </c>
      <c r="B209" s="3" t="s">
        <v>439</v>
      </c>
      <c r="C209" s="1">
        <v>2.5</v>
      </c>
      <c r="D209" s="1" t="s">
        <v>440</v>
      </c>
      <c r="E209" s="3" t="s">
        <v>417</v>
      </c>
      <c r="F209" s="4">
        <v>37.69956</v>
      </c>
      <c r="G209" s="4">
        <v>121.87326</v>
      </c>
    </row>
    <row r="210">
      <c r="A210" s="1">
        <v>207.0</v>
      </c>
      <c r="B210" s="3" t="s">
        <v>441</v>
      </c>
      <c r="C210" s="1">
        <v>3.0</v>
      </c>
      <c r="D210" s="1" t="s">
        <v>442</v>
      </c>
      <c r="E210" s="3" t="s">
        <v>417</v>
      </c>
      <c r="F210" s="4">
        <v>37.6994819641112</v>
      </c>
      <c r="G210" s="4">
        <v>121.874084472656</v>
      </c>
    </row>
    <row r="211">
      <c r="A211" s="1">
        <v>208.0</v>
      </c>
      <c r="B211" s="3" t="s">
        <v>443</v>
      </c>
      <c r="C211" s="1">
        <v>4.0</v>
      </c>
      <c r="D211" s="1" t="s">
        <v>444</v>
      </c>
      <c r="E211" s="3" t="s">
        <v>417</v>
      </c>
      <c r="F211" s="4">
        <v>37.6905054</v>
      </c>
      <c r="G211" s="4">
        <v>121.8774678</v>
      </c>
    </row>
    <row r="212">
      <c r="A212" s="1">
        <v>209.0</v>
      </c>
      <c r="B212" s="3" t="s">
        <v>445</v>
      </c>
      <c r="C212" s="1">
        <v>3.5</v>
      </c>
      <c r="D212" s="1" t="s">
        <v>446</v>
      </c>
      <c r="E212" s="3" t="s">
        <v>447</v>
      </c>
      <c r="F212" s="4">
        <v>37.73021</v>
      </c>
      <c r="G212" s="4">
        <v>121.930089999999</v>
      </c>
    </row>
    <row r="213">
      <c r="A213" s="1">
        <v>210.0</v>
      </c>
      <c r="B213" s="3" t="s">
        <v>448</v>
      </c>
      <c r="C213" s="1">
        <v>4.0</v>
      </c>
      <c r="D213" s="1" t="s">
        <v>449</v>
      </c>
      <c r="E213" s="3" t="s">
        <v>447</v>
      </c>
      <c r="F213" s="4">
        <v>37.7241</v>
      </c>
      <c r="G213" s="4">
        <v>121.94435</v>
      </c>
    </row>
    <row r="214">
      <c r="A214" s="1">
        <v>211.0</v>
      </c>
      <c r="B214" s="3" t="s">
        <v>450</v>
      </c>
      <c r="C214" s="1">
        <v>3.5</v>
      </c>
      <c r="D214" s="1" t="s">
        <v>451</v>
      </c>
      <c r="E214" s="3" t="s">
        <v>422</v>
      </c>
      <c r="F214" s="4">
        <v>37.7048059696965</v>
      </c>
      <c r="G214" s="4">
        <v>121.875150612505</v>
      </c>
    </row>
    <row r="215">
      <c r="A215" s="1">
        <v>212.0</v>
      </c>
      <c r="B215" s="3" t="s">
        <v>452</v>
      </c>
      <c r="C215" s="1">
        <v>2.5</v>
      </c>
      <c r="D215" s="1" t="s">
        <v>451</v>
      </c>
      <c r="E215" s="3" t="s">
        <v>422</v>
      </c>
      <c r="F215" s="4">
        <v>37.705825</v>
      </c>
      <c r="G215" s="4">
        <v>121.876084</v>
      </c>
    </row>
    <row r="216">
      <c r="A216" s="1">
        <v>213.0</v>
      </c>
      <c r="B216" s="3" t="s">
        <v>453</v>
      </c>
      <c r="C216" s="1">
        <v>4.0</v>
      </c>
      <c r="D216" s="1" t="s">
        <v>454</v>
      </c>
      <c r="E216" s="3" t="s">
        <v>417</v>
      </c>
      <c r="F216" s="4">
        <v>37.669658</v>
      </c>
      <c r="G216" s="4">
        <v>121.858772</v>
      </c>
    </row>
    <row r="217">
      <c r="A217" s="1">
        <v>214.0</v>
      </c>
      <c r="B217" s="3" t="s">
        <v>455</v>
      </c>
      <c r="C217" s="1">
        <v>4.0</v>
      </c>
      <c r="D217" s="1" t="s">
        <v>456</v>
      </c>
      <c r="E217" s="3" t="s">
        <v>417</v>
      </c>
      <c r="F217" s="4">
        <v>37.6994</v>
      </c>
      <c r="G217" s="4">
        <v>121.9048344</v>
      </c>
    </row>
    <row r="218">
      <c r="A218" s="1">
        <v>215.0</v>
      </c>
      <c r="B218" s="3" t="s">
        <v>457</v>
      </c>
      <c r="C218" s="1">
        <v>4.0</v>
      </c>
      <c r="D218" s="1" t="s">
        <v>458</v>
      </c>
      <c r="E218" s="3" t="s">
        <v>422</v>
      </c>
      <c r="F218" s="4">
        <v>37.7049564521021</v>
      </c>
      <c r="G218" s="4">
        <v>121.851537924141</v>
      </c>
    </row>
    <row r="219">
      <c r="A219" s="1">
        <v>216.0</v>
      </c>
      <c r="B219" s="3" t="s">
        <v>459</v>
      </c>
      <c r="C219" s="1">
        <v>4.0</v>
      </c>
      <c r="D219" s="1" t="s">
        <v>460</v>
      </c>
      <c r="E219" s="3" t="s">
        <v>422</v>
      </c>
      <c r="F219" s="4">
        <v>37.7043802396398</v>
      </c>
      <c r="G219" s="4">
        <v>121.911554932594</v>
      </c>
    </row>
    <row r="220">
      <c r="A220" s="1">
        <v>217.0</v>
      </c>
      <c r="B220" s="3" t="s">
        <v>461</v>
      </c>
      <c r="C220" s="1">
        <v>4.0</v>
      </c>
      <c r="D220" s="1" t="s">
        <v>451</v>
      </c>
      <c r="E220" s="3" t="s">
        <v>422</v>
      </c>
      <c r="F220" s="4">
        <v>37.704566</v>
      </c>
      <c r="G220" s="4">
        <v>121.87545</v>
      </c>
    </row>
    <row r="221">
      <c r="A221" s="1">
        <v>218.0</v>
      </c>
      <c r="B221" s="3" t="s">
        <v>462</v>
      </c>
      <c r="C221" s="1">
        <v>5.0</v>
      </c>
      <c r="D221" s="1" t="s">
        <v>463</v>
      </c>
      <c r="E221" s="3" t="s">
        <v>417</v>
      </c>
      <c r="F221" s="4">
        <v>37.6522299999999</v>
      </c>
      <c r="G221" s="4">
        <v>121.8786</v>
      </c>
    </row>
    <row r="222">
      <c r="A222" s="1">
        <v>219.0</v>
      </c>
      <c r="B222" s="3" t="s">
        <v>464</v>
      </c>
      <c r="C222" s="1">
        <v>3.5</v>
      </c>
      <c r="D222" s="1" t="s">
        <v>440</v>
      </c>
      <c r="E222" s="3" t="s">
        <v>417</v>
      </c>
      <c r="F222" s="4">
        <v>37.69956</v>
      </c>
      <c r="G222" s="4">
        <v>121.87326</v>
      </c>
    </row>
    <row r="223">
      <c r="A223" s="1">
        <v>220.0</v>
      </c>
      <c r="B223" s="3" t="s">
        <v>465</v>
      </c>
      <c r="C223" s="1">
        <v>4.0</v>
      </c>
      <c r="D223" s="1" t="s">
        <v>466</v>
      </c>
      <c r="E223" s="3" t="s">
        <v>422</v>
      </c>
      <c r="F223" s="4">
        <v>37.7037210589332</v>
      </c>
      <c r="G223" s="4">
        <v>121.851480491459</v>
      </c>
    </row>
    <row r="224">
      <c r="A224" s="1">
        <v>221.0</v>
      </c>
      <c r="B224" s="3" t="s">
        <v>467</v>
      </c>
      <c r="C224" s="1">
        <v>4.0</v>
      </c>
      <c r="D224" s="1" t="s">
        <v>468</v>
      </c>
      <c r="E224" s="3" t="s">
        <v>422</v>
      </c>
      <c r="F224" s="4">
        <v>37.710858467095</v>
      </c>
      <c r="G224" s="4">
        <v>121.926419734955</v>
      </c>
    </row>
    <row r="225">
      <c r="A225" s="1">
        <v>222.0</v>
      </c>
      <c r="B225" s="3" t="s">
        <v>469</v>
      </c>
      <c r="C225" s="1">
        <v>3.0</v>
      </c>
      <c r="D225" s="1" t="s">
        <v>470</v>
      </c>
      <c r="E225" s="3" t="s">
        <v>417</v>
      </c>
      <c r="F225" s="4">
        <v>37.6946294</v>
      </c>
      <c r="G225" s="4">
        <v>121.931562999999</v>
      </c>
    </row>
    <row r="226">
      <c r="A226" s="1">
        <v>223.0</v>
      </c>
      <c r="B226" s="3" t="s">
        <v>471</v>
      </c>
      <c r="C226" s="1">
        <v>4.5</v>
      </c>
      <c r="D226" s="1" t="s">
        <v>472</v>
      </c>
      <c r="E226" s="3" t="s">
        <v>417</v>
      </c>
      <c r="F226" s="4">
        <v>37.67718</v>
      </c>
      <c r="G226" s="4">
        <v>121.87578</v>
      </c>
    </row>
    <row r="227">
      <c r="A227" s="1">
        <v>224.0</v>
      </c>
      <c r="B227" s="3" t="s">
        <v>473</v>
      </c>
      <c r="C227" s="1">
        <v>3.0</v>
      </c>
      <c r="D227" s="1" t="s">
        <v>474</v>
      </c>
      <c r="E227" s="3" t="s">
        <v>422</v>
      </c>
      <c r="F227" s="4">
        <v>37.7040256307881</v>
      </c>
      <c r="G227" s="4">
        <v>121.88532839154</v>
      </c>
    </row>
    <row r="228">
      <c r="A228" s="1">
        <v>225.0</v>
      </c>
      <c r="B228" s="3" t="s">
        <v>475</v>
      </c>
      <c r="C228" s="1">
        <v>4.0</v>
      </c>
      <c r="D228" s="1" t="s">
        <v>451</v>
      </c>
      <c r="E228" s="3" t="s">
        <v>422</v>
      </c>
      <c r="F228" s="4">
        <v>37.7045783996582</v>
      </c>
      <c r="G228" s="4">
        <v>121.875808715819</v>
      </c>
    </row>
    <row r="229">
      <c r="A229" s="1">
        <v>226.0</v>
      </c>
      <c r="B229" s="3" t="s">
        <v>476</v>
      </c>
      <c r="C229" s="1">
        <v>4.0</v>
      </c>
      <c r="D229" s="1" t="s">
        <v>477</v>
      </c>
      <c r="E229" s="3" t="s">
        <v>422</v>
      </c>
      <c r="F229" s="4">
        <v>37.7080099999999</v>
      </c>
      <c r="G229" s="4">
        <v>121.8731</v>
      </c>
    </row>
    <row r="230">
      <c r="A230" s="1">
        <v>227.0</v>
      </c>
      <c r="B230" s="3" t="s">
        <v>478</v>
      </c>
      <c r="C230" s="1">
        <v>3.5</v>
      </c>
      <c r="D230" s="1" t="s">
        <v>479</v>
      </c>
      <c r="E230" s="3" t="s">
        <v>422</v>
      </c>
      <c r="F230" s="4">
        <v>37.7046367482137</v>
      </c>
      <c r="G230" s="4">
        <v>121.876026391982</v>
      </c>
    </row>
    <row r="231">
      <c r="A231" s="1">
        <v>228.0</v>
      </c>
      <c r="B231" s="3" t="s">
        <v>480</v>
      </c>
      <c r="C231" s="1">
        <v>2.5</v>
      </c>
      <c r="D231" s="1" t="s">
        <v>481</v>
      </c>
      <c r="E231" s="3" t="s">
        <v>482</v>
      </c>
      <c r="F231" s="4">
        <v>37.698050737381</v>
      </c>
      <c r="G231" s="4">
        <v>121.842248663306</v>
      </c>
    </row>
    <row r="232">
      <c r="A232" s="1">
        <v>229.0</v>
      </c>
      <c r="B232" s="3" t="s">
        <v>483</v>
      </c>
      <c r="C232" s="1">
        <v>3.0</v>
      </c>
      <c r="D232" s="1" t="s">
        <v>442</v>
      </c>
      <c r="E232" s="3" t="s">
        <v>417</v>
      </c>
      <c r="F232" s="4">
        <v>37.6994626368417</v>
      </c>
      <c r="G232" s="4">
        <v>121.873857490718</v>
      </c>
    </row>
    <row r="233">
      <c r="A233" s="1">
        <v>230.0</v>
      </c>
      <c r="B233" s="3" t="s">
        <v>484</v>
      </c>
      <c r="C233" s="1">
        <v>4.0</v>
      </c>
      <c r="D233" s="1" t="s">
        <v>485</v>
      </c>
      <c r="E233" s="3" t="s">
        <v>422</v>
      </c>
      <c r="F233" s="4">
        <v>37.70584</v>
      </c>
      <c r="G233" s="4">
        <v>121.927089999999</v>
      </c>
    </row>
    <row r="234">
      <c r="A234" s="1">
        <v>231.0</v>
      </c>
      <c r="B234" s="3" t="s">
        <v>486</v>
      </c>
      <c r="C234" s="1">
        <v>3.5</v>
      </c>
      <c r="D234" s="1" t="s">
        <v>487</v>
      </c>
      <c r="E234" s="3" t="s">
        <v>422</v>
      </c>
      <c r="F234" s="4">
        <v>37.70619</v>
      </c>
      <c r="G234" s="4">
        <v>121.873789999999</v>
      </c>
    </row>
    <row r="235">
      <c r="A235" s="1">
        <v>232.0</v>
      </c>
      <c r="B235" s="3" t="s">
        <v>488</v>
      </c>
      <c r="C235" s="1">
        <v>3.0</v>
      </c>
      <c r="D235" s="1" t="s">
        <v>451</v>
      </c>
      <c r="E235" s="3" t="s">
        <v>422</v>
      </c>
      <c r="F235" s="4">
        <v>37.70515</v>
      </c>
      <c r="G235" s="4">
        <v>121.876219999999</v>
      </c>
    </row>
    <row r="236">
      <c r="A236" s="1">
        <v>233.0</v>
      </c>
      <c r="B236" s="3" t="s">
        <v>489</v>
      </c>
      <c r="C236" s="1">
        <v>4.0</v>
      </c>
      <c r="D236" s="1" t="s">
        <v>490</v>
      </c>
      <c r="E236" s="3" t="s">
        <v>422</v>
      </c>
      <c r="F236" s="4">
        <v>37.710269</v>
      </c>
      <c r="G236" s="4">
        <v>121.92861</v>
      </c>
    </row>
    <row r="237">
      <c r="A237" s="1">
        <v>234.0</v>
      </c>
      <c r="B237" s="3" t="s">
        <v>491</v>
      </c>
      <c r="C237" s="1">
        <v>4.0</v>
      </c>
      <c r="D237" s="1" t="s">
        <v>492</v>
      </c>
      <c r="E237" s="3" t="s">
        <v>422</v>
      </c>
      <c r="F237" s="4">
        <v>37.7031417208061</v>
      </c>
      <c r="G237" s="4">
        <v>121.866024709375</v>
      </c>
    </row>
    <row r="238">
      <c r="A238" s="1">
        <v>235.0</v>
      </c>
      <c r="B238" s="3" t="s">
        <v>493</v>
      </c>
      <c r="C238" s="1">
        <v>3.0</v>
      </c>
      <c r="D238" s="1" t="s">
        <v>451</v>
      </c>
      <c r="E238" s="3" t="s">
        <v>422</v>
      </c>
      <c r="F238" s="4">
        <v>37.7045669555664</v>
      </c>
      <c r="G238" s="4">
        <v>121.875450134277</v>
      </c>
    </row>
    <row r="239">
      <c r="A239" s="1">
        <v>236.0</v>
      </c>
      <c r="B239" s="3" t="s">
        <v>494</v>
      </c>
      <c r="C239" s="1">
        <v>4.0</v>
      </c>
      <c r="D239" s="1" t="s">
        <v>495</v>
      </c>
      <c r="E239" s="3" t="s">
        <v>422</v>
      </c>
      <c r="F239" s="4">
        <v>37.7050599999999</v>
      </c>
      <c r="G239" s="4">
        <v>121.934869999999</v>
      </c>
    </row>
    <row r="240">
      <c r="A240" s="1">
        <v>237.0</v>
      </c>
      <c r="B240" s="3" t="s">
        <v>496</v>
      </c>
      <c r="C240" s="1">
        <v>3.5</v>
      </c>
      <c r="D240" s="1" t="s">
        <v>497</v>
      </c>
      <c r="E240" s="3" t="s">
        <v>422</v>
      </c>
      <c r="F240" s="4">
        <v>37.7056511022749</v>
      </c>
      <c r="G240" s="4">
        <v>121.933658346534</v>
      </c>
    </row>
    <row r="241">
      <c r="A241" s="1">
        <v>238.0</v>
      </c>
      <c r="B241" s="3" t="s">
        <v>498</v>
      </c>
      <c r="C241" s="1">
        <v>3.5</v>
      </c>
      <c r="D241" s="1" t="s">
        <v>499</v>
      </c>
      <c r="E241" s="3" t="s">
        <v>447</v>
      </c>
      <c r="F241" s="4">
        <v>37.7293891906737</v>
      </c>
      <c r="G241" s="4">
        <v>121.931442260742</v>
      </c>
    </row>
    <row r="242">
      <c r="A242" s="1">
        <v>239.0</v>
      </c>
      <c r="B242" s="3" t="s">
        <v>500</v>
      </c>
      <c r="C242" s="1">
        <v>3.5</v>
      </c>
      <c r="D242" s="1" t="s">
        <v>501</v>
      </c>
      <c r="E242" s="3" t="s">
        <v>20</v>
      </c>
      <c r="F242" s="4">
        <v>37.54772</v>
      </c>
      <c r="G242" s="4">
        <v>122.0466</v>
      </c>
    </row>
    <row r="243">
      <c r="A243" s="1">
        <v>240.0</v>
      </c>
      <c r="B243" s="3" t="s">
        <v>502</v>
      </c>
      <c r="C243" s="1">
        <v>3.5</v>
      </c>
      <c r="D243" s="1" t="s">
        <v>503</v>
      </c>
      <c r="E243" s="3" t="s">
        <v>61</v>
      </c>
      <c r="F243" s="4">
        <v>37.5866447999999</v>
      </c>
      <c r="G243" s="4">
        <v>122.0201868</v>
      </c>
    </row>
    <row r="244">
      <c r="A244" s="1">
        <v>241.0</v>
      </c>
      <c r="B244" s="3" t="s">
        <v>504</v>
      </c>
      <c r="C244" s="1">
        <v>4.0</v>
      </c>
      <c r="D244" s="1" t="s">
        <v>505</v>
      </c>
      <c r="E244" s="3" t="s">
        <v>20</v>
      </c>
      <c r="F244" s="4">
        <v>37.5508</v>
      </c>
      <c r="G244" s="4">
        <v>122.0509</v>
      </c>
    </row>
    <row r="245">
      <c r="A245" s="1">
        <v>242.0</v>
      </c>
      <c r="B245" s="3" t="s">
        <v>506</v>
      </c>
      <c r="C245" s="1">
        <v>4.0</v>
      </c>
      <c r="D245" s="1" t="s">
        <v>507</v>
      </c>
      <c r="E245" s="3" t="s">
        <v>20</v>
      </c>
      <c r="F245" s="4">
        <v>37.52314</v>
      </c>
      <c r="G245" s="4">
        <v>122.00792</v>
      </c>
    </row>
    <row r="246">
      <c r="A246" s="1">
        <v>243.0</v>
      </c>
      <c r="B246" s="3" t="s">
        <v>508</v>
      </c>
      <c r="C246" s="1">
        <v>5.0</v>
      </c>
      <c r="D246" s="1" t="s">
        <v>509</v>
      </c>
      <c r="E246" s="3" t="s">
        <v>61</v>
      </c>
      <c r="F246" s="4">
        <v>37.5895628278523</v>
      </c>
      <c r="G246" s="4">
        <v>122.022492714298</v>
      </c>
    </row>
    <row r="247">
      <c r="A247" s="1">
        <v>244.0</v>
      </c>
      <c r="B247" s="3" t="s">
        <v>510</v>
      </c>
      <c r="C247" s="1">
        <v>4.5</v>
      </c>
      <c r="D247" s="1" t="s">
        <v>511</v>
      </c>
      <c r="E247" s="3" t="s">
        <v>9</v>
      </c>
      <c r="F247" s="4">
        <v>37.5436017856673</v>
      </c>
      <c r="G247" s="4">
        <v>121.984061099299</v>
      </c>
    </row>
    <row r="248">
      <c r="A248" s="1">
        <v>245.0</v>
      </c>
      <c r="B248" s="3" t="s">
        <v>512</v>
      </c>
      <c r="C248" s="1">
        <v>4.0</v>
      </c>
      <c r="D248" s="1" t="s">
        <v>513</v>
      </c>
      <c r="E248" s="3" t="s">
        <v>20</v>
      </c>
      <c r="F248" s="4">
        <v>37.5282307999999</v>
      </c>
      <c r="G248" s="4">
        <v>122.000245799999</v>
      </c>
    </row>
    <row r="249">
      <c r="A249" s="1">
        <v>246.0</v>
      </c>
      <c r="B249" s="3" t="s">
        <v>514</v>
      </c>
      <c r="C249" s="1">
        <v>3.0</v>
      </c>
      <c r="D249" s="1" t="s">
        <v>515</v>
      </c>
      <c r="E249" s="3" t="s">
        <v>9</v>
      </c>
      <c r="F249" s="4">
        <v>37.5461699480404</v>
      </c>
      <c r="G249" s="4">
        <v>121.987401525697</v>
      </c>
    </row>
    <row r="250">
      <c r="A250" s="1">
        <v>247.0</v>
      </c>
      <c r="B250" s="3" t="s">
        <v>516</v>
      </c>
      <c r="C250" s="1">
        <v>3.5</v>
      </c>
      <c r="D250" s="1" t="s">
        <v>517</v>
      </c>
      <c r="E250" s="3" t="s">
        <v>20</v>
      </c>
      <c r="F250" s="4">
        <v>37.5236587144356</v>
      </c>
      <c r="G250" s="4">
        <v>122.007144735602</v>
      </c>
    </row>
    <row r="251">
      <c r="A251" s="1">
        <v>248.0</v>
      </c>
      <c r="B251" s="3" t="s">
        <v>518</v>
      </c>
      <c r="C251" s="1">
        <v>3.5</v>
      </c>
      <c r="D251" s="1" t="s">
        <v>519</v>
      </c>
      <c r="E251" s="3" t="s">
        <v>61</v>
      </c>
      <c r="F251" s="4">
        <v>37.5914603130932</v>
      </c>
      <c r="G251" s="4">
        <v>122.071111434568</v>
      </c>
    </row>
    <row r="252">
      <c r="A252" s="1">
        <v>249.0</v>
      </c>
      <c r="B252" s="3" t="s">
        <v>520</v>
      </c>
      <c r="C252" s="1">
        <v>4.5</v>
      </c>
      <c r="D252" s="1" t="s">
        <v>521</v>
      </c>
      <c r="E252" s="3" t="s">
        <v>20</v>
      </c>
      <c r="F252" s="4">
        <v>37.5218169879729</v>
      </c>
      <c r="G252" s="4">
        <v>121.997366492815</v>
      </c>
    </row>
    <row r="253">
      <c r="A253" s="1">
        <v>250.0</v>
      </c>
      <c r="B253" s="3" t="s">
        <v>522</v>
      </c>
      <c r="C253" s="1">
        <v>4.5</v>
      </c>
      <c r="D253" s="1" t="s">
        <v>48</v>
      </c>
      <c r="E253" s="3" t="s">
        <v>9</v>
      </c>
      <c r="F253" s="4">
        <v>37.5751187606321</v>
      </c>
      <c r="G253" s="4">
        <v>122.038859706704</v>
      </c>
    </row>
    <row r="254">
      <c r="A254" s="1">
        <v>251.0</v>
      </c>
      <c r="B254" s="3" t="s">
        <v>523</v>
      </c>
      <c r="C254" s="1">
        <v>4.0</v>
      </c>
      <c r="D254" s="1" t="s">
        <v>524</v>
      </c>
      <c r="E254" s="3" t="s">
        <v>61</v>
      </c>
      <c r="F254" s="4">
        <v>37.589058513675</v>
      </c>
      <c r="G254" s="4">
        <v>122.01876368886</v>
      </c>
    </row>
    <row r="255">
      <c r="A255" s="1">
        <v>252.0</v>
      </c>
      <c r="B255" s="3" t="s">
        <v>525</v>
      </c>
      <c r="C255" s="1">
        <v>4.0</v>
      </c>
      <c r="D255" s="1" t="s">
        <v>526</v>
      </c>
      <c r="E255" s="3" t="s">
        <v>9</v>
      </c>
      <c r="F255" s="4">
        <v>37.570362</v>
      </c>
      <c r="G255" s="4">
        <v>122.0318791</v>
      </c>
    </row>
    <row r="256">
      <c r="A256" s="1">
        <v>253.0</v>
      </c>
      <c r="B256" s="3" t="s">
        <v>527</v>
      </c>
      <c r="C256" s="1">
        <v>3.5</v>
      </c>
      <c r="D256" s="1" t="s">
        <v>528</v>
      </c>
      <c r="E256" s="3" t="s">
        <v>9</v>
      </c>
      <c r="F256" s="4">
        <v>37.50466</v>
      </c>
      <c r="G256" s="4">
        <v>121.97634</v>
      </c>
    </row>
    <row r="257">
      <c r="A257" s="1">
        <v>254.0</v>
      </c>
      <c r="B257" s="3" t="s">
        <v>529</v>
      </c>
      <c r="C257" s="1">
        <v>4.0</v>
      </c>
      <c r="D257" s="1" t="s">
        <v>530</v>
      </c>
      <c r="E257" s="3" t="s">
        <v>531</v>
      </c>
      <c r="F257" s="4">
        <v>37.5027402543983</v>
      </c>
      <c r="G257" s="4">
        <v>122.256980158539</v>
      </c>
    </row>
    <row r="258">
      <c r="A258" s="1">
        <v>255.0</v>
      </c>
      <c r="B258" s="3" t="s">
        <v>532</v>
      </c>
      <c r="C258" s="1">
        <v>4.5</v>
      </c>
      <c r="D258" s="1" t="s">
        <v>533</v>
      </c>
      <c r="E258" s="3" t="s">
        <v>534</v>
      </c>
      <c r="F258" s="4">
        <v>37.4839509441577</v>
      </c>
      <c r="G258" s="4">
        <v>122.232653501548</v>
      </c>
    </row>
    <row r="259">
      <c r="A259" s="1">
        <v>256.0</v>
      </c>
      <c r="B259" s="3" t="s">
        <v>535</v>
      </c>
      <c r="C259" s="1">
        <v>3.5</v>
      </c>
      <c r="D259" s="1" t="s">
        <v>536</v>
      </c>
      <c r="E259" s="3" t="s">
        <v>537</v>
      </c>
      <c r="F259" s="4">
        <v>37.6731435370977</v>
      </c>
      <c r="G259" s="4">
        <v>122.082034402975</v>
      </c>
    </row>
    <row r="260">
      <c r="A260" s="1">
        <v>257.0</v>
      </c>
      <c r="B260" s="3" t="s">
        <v>538</v>
      </c>
      <c r="C260" s="1">
        <v>4.5</v>
      </c>
      <c r="D260" s="1" t="s">
        <v>539</v>
      </c>
      <c r="E260" s="3" t="s">
        <v>85</v>
      </c>
      <c r="F260" s="4">
        <v>37.6960964188897</v>
      </c>
      <c r="G260" s="4">
        <v>122.078565023838</v>
      </c>
    </row>
    <row r="261">
      <c r="A261" s="1">
        <v>258.0</v>
      </c>
      <c r="B261" s="3" t="s">
        <v>540</v>
      </c>
      <c r="C261" s="1">
        <v>3.5</v>
      </c>
      <c r="D261" s="1" t="s">
        <v>541</v>
      </c>
      <c r="E261" s="3" t="s">
        <v>537</v>
      </c>
      <c r="F261" s="4">
        <v>37.6660188062353</v>
      </c>
      <c r="G261" s="4">
        <v>122.108395027727</v>
      </c>
    </row>
    <row r="262">
      <c r="A262" s="1">
        <v>259.0</v>
      </c>
      <c r="B262" s="3" t="s">
        <v>542</v>
      </c>
      <c r="C262" s="1">
        <v>4.0</v>
      </c>
      <c r="D262" s="1" t="s">
        <v>543</v>
      </c>
      <c r="E262" s="3" t="s">
        <v>95</v>
      </c>
      <c r="F262" s="4">
        <v>37.445381</v>
      </c>
      <c r="G262" s="4">
        <v>122.160993999999</v>
      </c>
    </row>
    <row r="263">
      <c r="A263" s="1">
        <v>260.0</v>
      </c>
      <c r="B263" s="3" t="s">
        <v>544</v>
      </c>
      <c r="C263" s="1">
        <v>4.0</v>
      </c>
      <c r="D263" s="1" t="s">
        <v>545</v>
      </c>
      <c r="E263" s="3" t="s">
        <v>534</v>
      </c>
      <c r="F263" s="4">
        <v>37.487118</v>
      </c>
      <c r="G263" s="4">
        <v>122.229624</v>
      </c>
    </row>
    <row r="264">
      <c r="A264" s="1">
        <v>261.0</v>
      </c>
      <c r="B264" s="3" t="s">
        <v>546</v>
      </c>
      <c r="C264" s="1">
        <v>4.0</v>
      </c>
      <c r="D264" s="1" t="s">
        <v>547</v>
      </c>
      <c r="E264" s="3" t="s">
        <v>537</v>
      </c>
      <c r="F264" s="4">
        <v>37.6737070083617</v>
      </c>
      <c r="G264" s="4">
        <v>122.081397101283</v>
      </c>
    </row>
    <row r="265">
      <c r="A265" s="1">
        <v>262.0</v>
      </c>
      <c r="B265" s="3" t="s">
        <v>548</v>
      </c>
      <c r="C265" s="1">
        <v>4.0</v>
      </c>
      <c r="D265" s="1" t="s">
        <v>549</v>
      </c>
      <c r="E265" s="3" t="s">
        <v>341</v>
      </c>
      <c r="F265" s="4">
        <v>37.3371504153713</v>
      </c>
      <c r="G265" s="4">
        <v>122.040352492869</v>
      </c>
    </row>
    <row r="266">
      <c r="A266" s="1">
        <v>263.0</v>
      </c>
      <c r="B266" s="3" t="s">
        <v>550</v>
      </c>
      <c r="C266" s="1">
        <v>4.0</v>
      </c>
      <c r="D266" s="1" t="s">
        <v>551</v>
      </c>
      <c r="E266" s="3" t="s">
        <v>341</v>
      </c>
      <c r="F266" s="4">
        <v>37.3361159244324</v>
      </c>
      <c r="G266" s="4">
        <v>122.015890307528</v>
      </c>
    </row>
    <row r="267">
      <c r="A267" s="1">
        <v>264.0</v>
      </c>
      <c r="B267" s="3" t="s">
        <v>552</v>
      </c>
      <c r="C267" s="1">
        <v>3.5</v>
      </c>
      <c r="D267" s="1" t="s">
        <v>553</v>
      </c>
      <c r="E267" s="3" t="s">
        <v>341</v>
      </c>
      <c r="F267" s="4">
        <v>37.3232384288673</v>
      </c>
      <c r="G267" s="4">
        <v>122.022949657147</v>
      </c>
    </row>
    <row r="268">
      <c r="A268" s="1">
        <v>265.0</v>
      </c>
      <c r="B268" s="3" t="s">
        <v>554</v>
      </c>
      <c r="C268" s="1">
        <v>3.5</v>
      </c>
      <c r="D268" s="1" t="s">
        <v>555</v>
      </c>
      <c r="E268" s="3" t="s">
        <v>341</v>
      </c>
      <c r="F268" s="4">
        <v>37.3223942970538</v>
      </c>
      <c r="G268" s="4">
        <v>122.016749576721</v>
      </c>
    </row>
    <row r="269">
      <c r="A269" s="1">
        <v>266.0</v>
      </c>
      <c r="B269" s="3" t="s">
        <v>556</v>
      </c>
      <c r="C269" s="1">
        <v>4.5</v>
      </c>
      <c r="D269" s="1" t="s">
        <v>557</v>
      </c>
      <c r="E269" s="3" t="s">
        <v>341</v>
      </c>
      <c r="F269" s="4">
        <v>37.3362175002018</v>
      </c>
      <c r="G269" s="4">
        <v>122.015137771311</v>
      </c>
    </row>
    <row r="270">
      <c r="A270" s="1">
        <v>267.0</v>
      </c>
      <c r="B270" s="3" t="s">
        <v>558</v>
      </c>
      <c r="C270" s="1">
        <v>4.0</v>
      </c>
      <c r="D270" s="1" t="s">
        <v>559</v>
      </c>
      <c r="E270" s="3" t="s">
        <v>341</v>
      </c>
      <c r="F270" s="4">
        <v>37.3356484303065</v>
      </c>
      <c r="G270" s="4">
        <v>122.014956682871</v>
      </c>
    </row>
    <row r="271">
      <c r="A271" s="1">
        <v>268.0</v>
      </c>
      <c r="B271" s="3" t="s">
        <v>560</v>
      </c>
      <c r="C271" s="1">
        <v>3.0</v>
      </c>
      <c r="D271" s="1" t="s">
        <v>561</v>
      </c>
      <c r="E271" s="3" t="s">
        <v>341</v>
      </c>
      <c r="F271" s="4">
        <v>37.3243651</v>
      </c>
      <c r="G271" s="4">
        <v>122.0105533</v>
      </c>
    </row>
    <row r="272">
      <c r="A272" s="1">
        <v>269.0</v>
      </c>
      <c r="B272" s="3" t="s">
        <v>562</v>
      </c>
      <c r="C272" s="1">
        <v>3.5</v>
      </c>
      <c r="D272" s="1" t="s">
        <v>563</v>
      </c>
      <c r="E272" s="3" t="s">
        <v>341</v>
      </c>
      <c r="F272" s="4">
        <v>37.31361</v>
      </c>
      <c r="G272" s="4">
        <v>122.03263</v>
      </c>
    </row>
    <row r="273">
      <c r="A273" s="1">
        <v>270.0</v>
      </c>
      <c r="B273" s="3" t="s">
        <v>564</v>
      </c>
      <c r="C273" s="1">
        <v>4.5</v>
      </c>
      <c r="D273" s="1" t="s">
        <v>565</v>
      </c>
      <c r="E273" s="3" t="s">
        <v>566</v>
      </c>
      <c r="F273" s="4">
        <v>37.35065</v>
      </c>
      <c r="G273" s="4">
        <v>122.049619999999</v>
      </c>
    </row>
    <row r="274">
      <c r="A274" s="1">
        <v>271.0</v>
      </c>
      <c r="B274" s="3" t="s">
        <v>567</v>
      </c>
      <c r="C274" s="1">
        <v>5.0</v>
      </c>
      <c r="D274" s="1" t="s">
        <v>568</v>
      </c>
      <c r="E274" s="3" t="s">
        <v>566</v>
      </c>
      <c r="F274" s="4">
        <v>37.36189</v>
      </c>
      <c r="G274" s="4">
        <v>122.024539999999</v>
      </c>
    </row>
    <row r="275">
      <c r="A275" s="1">
        <v>272.0</v>
      </c>
      <c r="B275" s="3" t="s">
        <v>569</v>
      </c>
      <c r="C275" s="1">
        <v>3.5</v>
      </c>
      <c r="D275" s="1" t="s">
        <v>570</v>
      </c>
      <c r="E275" s="3" t="s">
        <v>341</v>
      </c>
      <c r="F275" s="4">
        <v>37.324498742943</v>
      </c>
      <c r="G275" s="4">
        <v>122.03407823789</v>
      </c>
    </row>
    <row r="276">
      <c r="A276" s="1">
        <v>273.0</v>
      </c>
      <c r="B276" s="3" t="s">
        <v>571</v>
      </c>
      <c r="C276" s="1">
        <v>4.5</v>
      </c>
      <c r="D276" s="1" t="s">
        <v>572</v>
      </c>
      <c r="E276" s="3" t="s">
        <v>566</v>
      </c>
      <c r="F276" s="4">
        <v>37.33929</v>
      </c>
      <c r="G276" s="4">
        <v>122.04255</v>
      </c>
    </row>
    <row r="277">
      <c r="A277" s="1">
        <v>274.0</v>
      </c>
      <c r="B277" s="3" t="s">
        <v>573</v>
      </c>
      <c r="C277" s="1">
        <v>3.5</v>
      </c>
      <c r="D277" s="1" t="s">
        <v>574</v>
      </c>
      <c r="E277" s="3" t="s">
        <v>341</v>
      </c>
      <c r="F277" s="4">
        <v>37.323241317778</v>
      </c>
      <c r="G277" s="4">
        <v>122.012261466162</v>
      </c>
    </row>
    <row r="278">
      <c r="A278" s="1">
        <v>275.0</v>
      </c>
      <c r="B278" s="3" t="s">
        <v>575</v>
      </c>
      <c r="C278" s="1">
        <v>4.0</v>
      </c>
      <c r="D278" s="1" t="s">
        <v>576</v>
      </c>
      <c r="E278" s="3" t="s">
        <v>341</v>
      </c>
      <c r="F278" s="4">
        <v>37.32328</v>
      </c>
      <c r="G278" s="4">
        <v>122.01283</v>
      </c>
    </row>
    <row r="279">
      <c r="A279" s="1">
        <v>276.0</v>
      </c>
      <c r="B279" s="3" t="s">
        <v>577</v>
      </c>
      <c r="C279" s="1">
        <v>4.0</v>
      </c>
      <c r="D279" s="1" t="s">
        <v>578</v>
      </c>
      <c r="E279" s="3" t="s">
        <v>566</v>
      </c>
      <c r="F279" s="4">
        <v>37.3623572836214</v>
      </c>
      <c r="G279" s="4">
        <v>122.027256087022</v>
      </c>
    </row>
    <row r="280">
      <c r="A280" s="1">
        <v>277.0</v>
      </c>
      <c r="B280" s="3" t="s">
        <v>579</v>
      </c>
      <c r="C280" s="1">
        <v>3.0</v>
      </c>
      <c r="D280" s="1" t="s">
        <v>561</v>
      </c>
      <c r="E280" s="3" t="s">
        <v>341</v>
      </c>
      <c r="F280" s="4">
        <v>37.3243989340148</v>
      </c>
      <c r="G280" s="4">
        <v>122.011138269321</v>
      </c>
    </row>
    <row r="281">
      <c r="A281" s="1">
        <v>278.0</v>
      </c>
      <c r="B281" s="3" t="s">
        <v>580</v>
      </c>
      <c r="C281" s="1">
        <v>3.5</v>
      </c>
      <c r="D281" s="1" t="s">
        <v>581</v>
      </c>
      <c r="E281" s="3" t="s">
        <v>341</v>
      </c>
      <c r="F281" s="4">
        <v>37.3162384033203</v>
      </c>
      <c r="G281" s="4">
        <v>122.032508850098</v>
      </c>
    </row>
    <row r="282">
      <c r="A282" s="1">
        <v>279.0</v>
      </c>
      <c r="B282" s="3" t="s">
        <v>582</v>
      </c>
      <c r="C282" s="1">
        <v>4.0</v>
      </c>
      <c r="D282" s="1" t="s">
        <v>583</v>
      </c>
      <c r="E282" s="3" t="s">
        <v>584</v>
      </c>
      <c r="F282" s="4">
        <v>37.29165</v>
      </c>
      <c r="G282" s="4">
        <v>121.99636</v>
      </c>
    </row>
    <row r="283">
      <c r="A283" s="1">
        <v>280.0</v>
      </c>
      <c r="B283" s="3" t="s">
        <v>585</v>
      </c>
      <c r="C283" s="1">
        <v>4.5</v>
      </c>
      <c r="D283" s="1" t="s">
        <v>586</v>
      </c>
      <c r="E283" s="3" t="s">
        <v>66</v>
      </c>
      <c r="F283" s="4">
        <v>37.38565</v>
      </c>
      <c r="G283" s="4">
        <v>122.08442</v>
      </c>
    </row>
    <row r="284">
      <c r="A284" s="1">
        <v>281.0</v>
      </c>
      <c r="B284" s="3" t="s">
        <v>587</v>
      </c>
      <c r="C284" s="1">
        <v>4.0</v>
      </c>
      <c r="D284" s="1" t="s">
        <v>588</v>
      </c>
      <c r="E284" s="3" t="s">
        <v>348</v>
      </c>
      <c r="F284" s="4">
        <v>37.3519877135188</v>
      </c>
      <c r="G284" s="4">
        <v>121.991230201809</v>
      </c>
    </row>
    <row r="285">
      <c r="A285" s="1">
        <v>282.0</v>
      </c>
      <c r="B285" s="3" t="s">
        <v>589</v>
      </c>
      <c r="C285" s="1">
        <v>4.0</v>
      </c>
      <c r="D285" s="1" t="s">
        <v>590</v>
      </c>
      <c r="E285" s="3" t="s">
        <v>348</v>
      </c>
      <c r="F285" s="4">
        <v>37.35297</v>
      </c>
      <c r="G285" s="4">
        <v>121.97705</v>
      </c>
    </row>
    <row r="286">
      <c r="A286" s="1">
        <v>283.0</v>
      </c>
      <c r="B286" s="3" t="s">
        <v>591</v>
      </c>
      <c r="C286" s="1">
        <v>3.5</v>
      </c>
      <c r="D286" s="1" t="s">
        <v>592</v>
      </c>
      <c r="E286" s="3" t="s">
        <v>66</v>
      </c>
      <c r="F286" s="4">
        <v>37.3934799</v>
      </c>
      <c r="G286" s="4">
        <v>122.07956</v>
      </c>
    </row>
    <row r="287">
      <c r="A287" s="1">
        <v>284.0</v>
      </c>
      <c r="B287" s="3" t="s">
        <v>593</v>
      </c>
      <c r="C287" s="1">
        <v>4.0</v>
      </c>
      <c r="D287" s="1" t="s">
        <v>594</v>
      </c>
      <c r="E287" s="3" t="s">
        <v>66</v>
      </c>
      <c r="F287" s="4">
        <v>37.3723</v>
      </c>
      <c r="G287" s="4">
        <v>122.08801</v>
      </c>
    </row>
    <row r="288">
      <c r="A288" s="1">
        <v>285.0</v>
      </c>
      <c r="B288" s="3" t="s">
        <v>595</v>
      </c>
      <c r="C288" s="1">
        <v>3.5</v>
      </c>
      <c r="D288" s="1" t="s">
        <v>596</v>
      </c>
      <c r="E288" s="3" t="s">
        <v>66</v>
      </c>
      <c r="F288" s="4">
        <v>37.3941710599454</v>
      </c>
      <c r="G288" s="4">
        <v>122.079548804006</v>
      </c>
    </row>
    <row r="289">
      <c r="A289" s="1">
        <v>286.0</v>
      </c>
      <c r="B289" s="3" t="s">
        <v>597</v>
      </c>
      <c r="C289" s="1">
        <v>3.5</v>
      </c>
      <c r="D289" s="1" t="s">
        <v>598</v>
      </c>
      <c r="E289" s="3" t="s">
        <v>566</v>
      </c>
      <c r="F289" s="4">
        <v>37.3813698999999</v>
      </c>
      <c r="G289" s="4">
        <v>122.00808</v>
      </c>
    </row>
    <row r="290">
      <c r="A290" s="1">
        <v>287.0</v>
      </c>
      <c r="B290" s="3" t="s">
        <v>599</v>
      </c>
      <c r="C290" s="1">
        <v>3.5</v>
      </c>
      <c r="D290" s="1" t="s">
        <v>600</v>
      </c>
      <c r="E290" s="3" t="s">
        <v>82</v>
      </c>
      <c r="F290" s="4">
        <v>37.3035809397697</v>
      </c>
      <c r="G290" s="4">
        <v>122.032403200865</v>
      </c>
    </row>
    <row r="291">
      <c r="A291" s="1">
        <v>288.0</v>
      </c>
      <c r="B291" s="3" t="s">
        <v>601</v>
      </c>
      <c r="C291" s="1">
        <v>4.0</v>
      </c>
      <c r="D291" s="1" t="s">
        <v>602</v>
      </c>
      <c r="E291" s="3" t="s">
        <v>82</v>
      </c>
      <c r="F291" s="4">
        <v>37.31496320599</v>
      </c>
      <c r="G291" s="4">
        <v>121.978095221495</v>
      </c>
    </row>
    <row r="292">
      <c r="A292" s="1">
        <v>289.0</v>
      </c>
      <c r="B292" s="3" t="s">
        <v>603</v>
      </c>
      <c r="C292" s="1">
        <v>3.5</v>
      </c>
      <c r="D292" s="1" t="s">
        <v>604</v>
      </c>
      <c r="E292" s="3" t="s">
        <v>566</v>
      </c>
      <c r="F292" s="4">
        <v>37.3763175470854</v>
      </c>
      <c r="G292" s="4">
        <v>122.031325878136</v>
      </c>
    </row>
    <row r="293">
      <c r="A293" s="1">
        <v>290.0</v>
      </c>
      <c r="B293" s="3" t="s">
        <v>605</v>
      </c>
      <c r="C293" s="1">
        <v>4.0</v>
      </c>
      <c r="D293" s="1" t="s">
        <v>606</v>
      </c>
      <c r="E293" s="3" t="s">
        <v>341</v>
      </c>
      <c r="F293" s="4">
        <v>37.3225177360044</v>
      </c>
      <c r="G293" s="4">
        <v>122.017925500033</v>
      </c>
    </row>
    <row r="294">
      <c r="A294" s="1">
        <v>291.0</v>
      </c>
      <c r="B294" s="3" t="s">
        <v>607</v>
      </c>
      <c r="C294" s="1">
        <v>4.5</v>
      </c>
      <c r="D294" s="1" t="s">
        <v>608</v>
      </c>
      <c r="E294" s="3" t="s">
        <v>566</v>
      </c>
      <c r="F294" s="4">
        <v>37.3878822408982</v>
      </c>
      <c r="G294" s="4">
        <v>122.024536281978</v>
      </c>
    </row>
    <row r="295">
      <c r="A295" s="1">
        <v>292.0</v>
      </c>
      <c r="B295" s="3" t="s">
        <v>609</v>
      </c>
      <c r="C295" s="1">
        <v>3.5</v>
      </c>
      <c r="D295" s="1" t="s">
        <v>610</v>
      </c>
      <c r="E295" s="3" t="s">
        <v>66</v>
      </c>
      <c r="F295" s="4">
        <v>37.3770405227974</v>
      </c>
      <c r="G295" s="4">
        <v>122.076683293475</v>
      </c>
    </row>
    <row r="296">
      <c r="A296" s="1">
        <v>293.0</v>
      </c>
      <c r="B296" s="3" t="s">
        <v>611</v>
      </c>
      <c r="C296" s="1">
        <v>3.5</v>
      </c>
      <c r="D296" s="1" t="s">
        <v>612</v>
      </c>
      <c r="E296" s="3" t="s">
        <v>348</v>
      </c>
      <c r="F296" s="4">
        <v>37.3928752137833</v>
      </c>
      <c r="G296" s="4">
        <v>121.977391160277</v>
      </c>
    </row>
    <row r="297">
      <c r="A297" s="1">
        <v>294.0</v>
      </c>
      <c r="B297" s="3" t="s">
        <v>613</v>
      </c>
      <c r="C297" s="1">
        <v>3.5</v>
      </c>
      <c r="D297" s="1" t="s">
        <v>614</v>
      </c>
      <c r="E297" s="3" t="s">
        <v>82</v>
      </c>
      <c r="F297" s="4">
        <v>37.3065638999999</v>
      </c>
      <c r="G297" s="4">
        <v>122.0328361</v>
      </c>
    </row>
    <row r="298">
      <c r="A298" s="1">
        <v>295.0</v>
      </c>
      <c r="B298" s="3" t="s">
        <v>615</v>
      </c>
      <c r="C298" s="1">
        <v>3.5</v>
      </c>
      <c r="D298" s="1" t="s">
        <v>616</v>
      </c>
      <c r="E298" s="3" t="s">
        <v>348</v>
      </c>
      <c r="F298" s="4">
        <v>37.3822051</v>
      </c>
      <c r="G298" s="4">
        <v>121.9761898</v>
      </c>
    </row>
    <row r="299">
      <c r="A299" s="1">
        <v>296.0</v>
      </c>
      <c r="B299" s="3" t="s">
        <v>617</v>
      </c>
      <c r="C299" s="1">
        <v>3.5</v>
      </c>
      <c r="D299" s="1" t="s">
        <v>618</v>
      </c>
      <c r="E299" s="3" t="s">
        <v>82</v>
      </c>
      <c r="F299" s="4">
        <v>37.30529</v>
      </c>
      <c r="G299" s="4">
        <v>122.031669999999</v>
      </c>
    </row>
    <row r="300">
      <c r="A300" s="1">
        <v>297.0</v>
      </c>
      <c r="B300" s="3" t="s">
        <v>619</v>
      </c>
      <c r="C300" s="1">
        <v>3.5</v>
      </c>
      <c r="D300" s="1" t="s">
        <v>620</v>
      </c>
      <c r="E300" s="3" t="s">
        <v>348</v>
      </c>
      <c r="F300" s="4">
        <v>37.3882893</v>
      </c>
      <c r="G300" s="4">
        <v>121.983559599999</v>
      </c>
    </row>
    <row r="301">
      <c r="A301" s="1">
        <v>298.0</v>
      </c>
      <c r="B301" s="3" t="s">
        <v>621</v>
      </c>
      <c r="C301" s="1">
        <v>4.0</v>
      </c>
      <c r="D301" s="1" t="s">
        <v>622</v>
      </c>
      <c r="E301" s="3" t="s">
        <v>348</v>
      </c>
      <c r="F301" s="4">
        <v>37.3503116</v>
      </c>
      <c r="G301" s="4">
        <v>121.9438457</v>
      </c>
    </row>
    <row r="302">
      <c r="A302" s="1">
        <v>299.0</v>
      </c>
      <c r="B302" s="3" t="s">
        <v>623</v>
      </c>
      <c r="C302" s="1">
        <v>3.0</v>
      </c>
      <c r="D302" s="1" t="s">
        <v>624</v>
      </c>
      <c r="E302" s="3" t="s">
        <v>341</v>
      </c>
      <c r="F302" s="4">
        <v>37.32349</v>
      </c>
      <c r="G302" s="4">
        <v>122.047397</v>
      </c>
    </row>
    <row r="303">
      <c r="A303" s="1">
        <v>300.0</v>
      </c>
      <c r="B303" s="3" t="s">
        <v>625</v>
      </c>
      <c r="C303" s="1">
        <v>4.0</v>
      </c>
      <c r="D303" s="1" t="s">
        <v>626</v>
      </c>
      <c r="E303" s="3" t="s">
        <v>348</v>
      </c>
      <c r="F303" s="4">
        <v>37.3517723083496</v>
      </c>
      <c r="G303" s="4">
        <v>121.98119354248</v>
      </c>
    </row>
    <row r="304">
      <c r="A304" s="1">
        <v>301.0</v>
      </c>
      <c r="B304" s="3" t="s">
        <v>627</v>
      </c>
      <c r="C304" s="1">
        <v>4.0</v>
      </c>
      <c r="D304" s="1" t="s">
        <v>628</v>
      </c>
      <c r="E304" s="3" t="s">
        <v>482</v>
      </c>
      <c r="F304" s="4">
        <v>37.68077</v>
      </c>
      <c r="G304" s="4">
        <v>121.748039999999</v>
      </c>
    </row>
    <row r="305">
      <c r="A305" s="1">
        <v>302.0</v>
      </c>
      <c r="B305" s="3" t="s">
        <v>629</v>
      </c>
      <c r="C305" s="1">
        <v>4.5</v>
      </c>
      <c r="D305" s="1" t="s">
        <v>630</v>
      </c>
      <c r="E305" s="3" t="s">
        <v>482</v>
      </c>
      <c r="F305" s="4">
        <v>37.7119101458667</v>
      </c>
      <c r="G305" s="4">
        <v>121.723351532745</v>
      </c>
    </row>
    <row r="306">
      <c r="A306" s="1">
        <v>303.0</v>
      </c>
      <c r="B306" s="3" t="s">
        <v>631</v>
      </c>
      <c r="C306" s="1">
        <v>4.0</v>
      </c>
      <c r="D306" s="1" t="s">
        <v>632</v>
      </c>
      <c r="E306" s="3" t="s">
        <v>482</v>
      </c>
      <c r="F306" s="4">
        <v>37.6761474995967</v>
      </c>
      <c r="G306" s="4">
        <v>121.785110675949</v>
      </c>
    </row>
    <row r="307">
      <c r="A307" s="1">
        <v>304.0</v>
      </c>
      <c r="B307" s="3" t="s">
        <v>633</v>
      </c>
      <c r="C307" s="1">
        <v>4.0</v>
      </c>
      <c r="D307" s="1" t="s">
        <v>634</v>
      </c>
      <c r="E307" s="3" t="s">
        <v>482</v>
      </c>
      <c r="F307" s="4">
        <v>37.6807479858397</v>
      </c>
      <c r="G307" s="4">
        <v>121.770835876465</v>
      </c>
    </row>
    <row r="308">
      <c r="A308" s="1">
        <v>305.0</v>
      </c>
      <c r="B308" s="3" t="s">
        <v>635</v>
      </c>
      <c r="C308" s="1">
        <v>3.0</v>
      </c>
      <c r="D308" s="1" t="s">
        <v>636</v>
      </c>
      <c r="E308" s="3" t="s">
        <v>447</v>
      </c>
      <c r="F308" s="4">
        <v>37.7749533109683</v>
      </c>
      <c r="G308" s="4">
        <v>121.924073739228</v>
      </c>
    </row>
    <row r="309">
      <c r="A309" s="1">
        <v>306.0</v>
      </c>
      <c r="B309" s="3" t="s">
        <v>637</v>
      </c>
      <c r="C309" s="1">
        <v>4.0</v>
      </c>
      <c r="D309" s="1" t="s">
        <v>638</v>
      </c>
      <c r="E309" s="3" t="s">
        <v>482</v>
      </c>
      <c r="F309" s="4">
        <v>37.68</v>
      </c>
      <c r="G309" s="4">
        <v>121.77058</v>
      </c>
    </row>
    <row r="310">
      <c r="A310" s="1">
        <v>307.0</v>
      </c>
      <c r="B310" s="3" t="s">
        <v>639</v>
      </c>
      <c r="C310" s="1">
        <v>3.5</v>
      </c>
      <c r="D310" s="1" t="s">
        <v>640</v>
      </c>
      <c r="E310" s="3" t="s">
        <v>482</v>
      </c>
      <c r="F310" s="4">
        <v>37.7181756552264</v>
      </c>
      <c r="G310" s="4">
        <v>121.724808264734</v>
      </c>
    </row>
    <row r="311">
      <c r="A311" s="1">
        <v>308.0</v>
      </c>
      <c r="B311" s="3" t="s">
        <v>641</v>
      </c>
      <c r="C311" s="1">
        <v>4.0</v>
      </c>
      <c r="D311" s="1" t="s">
        <v>642</v>
      </c>
      <c r="E311" s="3" t="s">
        <v>482</v>
      </c>
      <c r="F311" s="4">
        <v>37.6783516</v>
      </c>
      <c r="G311" s="4">
        <v>121.784120699999</v>
      </c>
    </row>
    <row r="312">
      <c r="A312" s="1">
        <v>309.0</v>
      </c>
      <c r="B312" s="3" t="s">
        <v>643</v>
      </c>
      <c r="C312" s="1">
        <v>4.0</v>
      </c>
      <c r="D312" s="1" t="s">
        <v>644</v>
      </c>
      <c r="E312" s="3" t="s">
        <v>9</v>
      </c>
      <c r="F312" s="4">
        <v>37.5566932750951</v>
      </c>
      <c r="G312" s="4">
        <v>121.952448293212</v>
      </c>
    </row>
    <row r="313">
      <c r="A313" s="1">
        <v>310.0</v>
      </c>
      <c r="B313" s="3" t="s">
        <v>645</v>
      </c>
      <c r="C313" s="1">
        <v>4.0</v>
      </c>
      <c r="D313" s="1" t="s">
        <v>646</v>
      </c>
      <c r="E313" s="3" t="s">
        <v>9</v>
      </c>
      <c r="F313" s="4">
        <v>37.556529</v>
      </c>
      <c r="G313" s="4">
        <v>121.952556</v>
      </c>
    </row>
    <row r="314">
      <c r="A314" s="1">
        <v>311.0</v>
      </c>
      <c r="B314" s="3" t="s">
        <v>647</v>
      </c>
      <c r="C314" s="1">
        <v>4.0</v>
      </c>
      <c r="D314" s="1" t="s">
        <v>648</v>
      </c>
      <c r="E314" s="3" t="s">
        <v>649</v>
      </c>
      <c r="F314" s="4">
        <v>37.7986554</v>
      </c>
      <c r="G314" s="4">
        <v>121.918740599999</v>
      </c>
    </row>
    <row r="315">
      <c r="A315" s="1">
        <v>312.0</v>
      </c>
      <c r="B315" s="3" t="s">
        <v>650</v>
      </c>
      <c r="C315" s="1">
        <v>4.0</v>
      </c>
      <c r="D315" s="1" t="s">
        <v>651</v>
      </c>
      <c r="E315" s="3" t="s">
        <v>9</v>
      </c>
      <c r="F315" s="4">
        <v>37.5327289999999</v>
      </c>
      <c r="G315" s="4">
        <v>121.95934</v>
      </c>
    </row>
    <row r="316">
      <c r="A316" s="1">
        <v>313.0</v>
      </c>
      <c r="B316" s="3" t="s">
        <v>652</v>
      </c>
      <c r="C316" s="1">
        <v>4.0</v>
      </c>
      <c r="D316" s="1" t="s">
        <v>653</v>
      </c>
      <c r="E316" s="3" t="s">
        <v>447</v>
      </c>
      <c r="F316" s="4">
        <v>37.7624177187681</v>
      </c>
      <c r="G316" s="4">
        <v>121.960900202394</v>
      </c>
    </row>
    <row r="317">
      <c r="A317" s="1">
        <v>314.0</v>
      </c>
      <c r="B317" s="3" t="s">
        <v>654</v>
      </c>
      <c r="C317" s="1">
        <v>4.5</v>
      </c>
      <c r="D317" s="1" t="s">
        <v>655</v>
      </c>
      <c r="E317" s="3" t="s">
        <v>66</v>
      </c>
      <c r="F317" s="4">
        <v>37.4068109566105</v>
      </c>
      <c r="G317" s="4">
        <v>122.106984711639</v>
      </c>
    </row>
    <row r="318">
      <c r="A318" s="1">
        <v>315.0</v>
      </c>
      <c r="B318" s="3" t="s">
        <v>656</v>
      </c>
      <c r="C318" s="1">
        <v>3.0</v>
      </c>
      <c r="D318" s="1" t="s">
        <v>657</v>
      </c>
      <c r="E318" s="3" t="s">
        <v>66</v>
      </c>
      <c r="F318" s="4">
        <v>37.3936614990234</v>
      </c>
      <c r="G318" s="4">
        <v>122.079444885254</v>
      </c>
    </row>
    <row r="319">
      <c r="A319" s="1">
        <v>316.0</v>
      </c>
      <c r="B319" s="3" t="s">
        <v>658</v>
      </c>
      <c r="C319" s="1">
        <v>3.5</v>
      </c>
      <c r="D319" s="1" t="s">
        <v>659</v>
      </c>
      <c r="E319" s="3" t="s">
        <v>95</v>
      </c>
      <c r="F319" s="4">
        <v>37.44451</v>
      </c>
      <c r="G319" s="4">
        <v>122.16337</v>
      </c>
    </row>
    <row r="320">
      <c r="A320" s="1">
        <v>317.0</v>
      </c>
      <c r="B320" s="3" t="s">
        <v>660</v>
      </c>
      <c r="C320" s="1">
        <v>3.5</v>
      </c>
      <c r="D320" s="1" t="s">
        <v>661</v>
      </c>
      <c r="E320" s="3" t="s">
        <v>66</v>
      </c>
      <c r="F320" s="4">
        <v>37.402982863672</v>
      </c>
      <c r="G320" s="4">
        <v>122.10676106228</v>
      </c>
    </row>
    <row r="321">
      <c r="A321" s="1">
        <v>318.0</v>
      </c>
      <c r="B321" s="3" t="s">
        <v>662</v>
      </c>
      <c r="C321" s="1">
        <v>3.0</v>
      </c>
      <c r="D321" s="1" t="s">
        <v>663</v>
      </c>
      <c r="E321" s="3" t="s">
        <v>66</v>
      </c>
      <c r="F321" s="4">
        <v>37.39379</v>
      </c>
      <c r="G321" s="4">
        <v>122.078389999999</v>
      </c>
    </row>
    <row r="322">
      <c r="A322" s="1">
        <v>319.0</v>
      </c>
      <c r="B322" s="3" t="s">
        <v>664</v>
      </c>
      <c r="C322" s="1">
        <v>4.5</v>
      </c>
      <c r="D322" s="1" t="s">
        <v>665</v>
      </c>
      <c r="E322" s="3" t="s">
        <v>95</v>
      </c>
      <c r="F322" s="4">
        <v>37.4340849999999</v>
      </c>
      <c r="G322" s="4">
        <v>122.129446</v>
      </c>
    </row>
    <row r="323">
      <c r="A323" s="1">
        <v>320.0</v>
      </c>
      <c r="B323" s="3" t="s">
        <v>666</v>
      </c>
      <c r="C323" s="1">
        <v>4.0</v>
      </c>
      <c r="D323" s="1" t="s">
        <v>667</v>
      </c>
      <c r="E323" s="3" t="s">
        <v>90</v>
      </c>
      <c r="F323" s="4">
        <v>37.42868</v>
      </c>
      <c r="G323" s="4">
        <v>121.911319999999</v>
      </c>
    </row>
    <row r="324">
      <c r="A324" s="1">
        <v>321.0</v>
      </c>
      <c r="B324" s="3" t="s">
        <v>668</v>
      </c>
      <c r="C324" s="1">
        <v>3.5</v>
      </c>
      <c r="D324" s="1" t="s">
        <v>669</v>
      </c>
      <c r="E324" s="3" t="s">
        <v>90</v>
      </c>
      <c r="F324" s="4">
        <v>37.4341782</v>
      </c>
      <c r="G324" s="4">
        <v>121.9007438</v>
      </c>
    </row>
    <row r="325">
      <c r="A325" s="1">
        <v>322.0</v>
      </c>
      <c r="B325" s="3" t="s">
        <v>670</v>
      </c>
      <c r="C325" s="1">
        <v>3.5</v>
      </c>
      <c r="D325" s="1" t="s">
        <v>671</v>
      </c>
      <c r="E325" s="3" t="s">
        <v>90</v>
      </c>
      <c r="F325" s="4">
        <v>37.4207404131486</v>
      </c>
      <c r="G325" s="4">
        <v>121.91664888892</v>
      </c>
    </row>
    <row r="326">
      <c r="A326" s="1">
        <v>323.0</v>
      </c>
      <c r="B326" s="3" t="s">
        <v>672</v>
      </c>
      <c r="C326" s="1">
        <v>4.0</v>
      </c>
      <c r="D326" s="1" t="s">
        <v>673</v>
      </c>
      <c r="E326" s="3" t="s">
        <v>90</v>
      </c>
      <c r="F326" s="4">
        <v>37.4264901499098</v>
      </c>
      <c r="G326" s="4">
        <v>121.909996320473</v>
      </c>
    </row>
    <row r="327">
      <c r="A327" s="1">
        <v>324.0</v>
      </c>
      <c r="B327" s="3" t="s">
        <v>674</v>
      </c>
      <c r="C327" s="1">
        <v>4.5</v>
      </c>
      <c r="D327" s="1" t="s">
        <v>675</v>
      </c>
      <c r="E327" s="3" t="s">
        <v>90</v>
      </c>
      <c r="F327" s="4">
        <v>37.4128099773883</v>
      </c>
      <c r="G327" s="4">
        <v>121.902977563441</v>
      </c>
    </row>
    <row r="328">
      <c r="A328" s="1">
        <v>325.0</v>
      </c>
      <c r="B328" s="3" t="s">
        <v>676</v>
      </c>
      <c r="C328" s="1">
        <v>4.0</v>
      </c>
      <c r="D328" s="1" t="s">
        <v>677</v>
      </c>
      <c r="E328" s="3" t="s">
        <v>90</v>
      </c>
      <c r="F328" s="4">
        <v>37.4274706596526</v>
      </c>
      <c r="G328" s="4">
        <v>121.91078242325</v>
      </c>
    </row>
    <row r="329">
      <c r="A329" s="1">
        <v>326.0</v>
      </c>
      <c r="B329" s="3" t="s">
        <v>678</v>
      </c>
      <c r="C329" s="1">
        <v>4.0</v>
      </c>
      <c r="D329" s="1" t="s">
        <v>679</v>
      </c>
      <c r="E329" s="3" t="s">
        <v>82</v>
      </c>
      <c r="F329" s="4">
        <v>37.414925</v>
      </c>
      <c r="G329" s="4">
        <v>121.875899</v>
      </c>
    </row>
    <row r="330">
      <c r="A330" s="1">
        <v>327.0</v>
      </c>
      <c r="B330" s="3" t="s">
        <v>680</v>
      </c>
      <c r="C330" s="1">
        <v>3.5</v>
      </c>
      <c r="D330" s="1" t="s">
        <v>681</v>
      </c>
      <c r="E330" s="3" t="s">
        <v>90</v>
      </c>
      <c r="F330" s="4">
        <v>37.4558077007532</v>
      </c>
      <c r="G330" s="4">
        <v>121.911192834377</v>
      </c>
    </row>
    <row r="331">
      <c r="A331" s="1">
        <v>328.0</v>
      </c>
      <c r="B331" s="3" t="s">
        <v>682</v>
      </c>
      <c r="C331" s="1">
        <v>3.5</v>
      </c>
      <c r="D331" s="1" t="s">
        <v>683</v>
      </c>
      <c r="E331" s="3" t="s">
        <v>90</v>
      </c>
      <c r="F331" s="4">
        <v>37.4464966</v>
      </c>
      <c r="G331" s="4">
        <v>121.904016099999</v>
      </c>
    </row>
    <row r="332">
      <c r="A332" s="1">
        <v>329.0</v>
      </c>
      <c r="B332" s="3" t="s">
        <v>684</v>
      </c>
      <c r="C332" s="1">
        <v>3.5</v>
      </c>
      <c r="D332" s="1" t="s">
        <v>685</v>
      </c>
      <c r="E332" s="3" t="s">
        <v>90</v>
      </c>
      <c r="F332" s="4">
        <v>37.4551887512207</v>
      </c>
      <c r="G332" s="4">
        <v>121.911521911621</v>
      </c>
    </row>
    <row r="333">
      <c r="A333" s="1">
        <v>330.0</v>
      </c>
      <c r="B333" s="3" t="s">
        <v>686</v>
      </c>
      <c r="C333" s="1">
        <v>3.5</v>
      </c>
      <c r="D333" s="1" t="s">
        <v>687</v>
      </c>
      <c r="E333" s="3" t="s">
        <v>82</v>
      </c>
      <c r="F333" s="4">
        <v>37.3973731994629</v>
      </c>
      <c r="G333" s="4">
        <v>121.873687744141</v>
      </c>
    </row>
    <row r="334">
      <c r="A334" s="1">
        <v>331.0</v>
      </c>
      <c r="B334" s="3" t="s">
        <v>688</v>
      </c>
      <c r="C334" s="1">
        <v>3.5</v>
      </c>
      <c r="D334" s="1" t="s">
        <v>689</v>
      </c>
      <c r="E334" s="3" t="s">
        <v>90</v>
      </c>
      <c r="F334" s="4">
        <v>37.4224649523506</v>
      </c>
      <c r="G334" s="4">
        <v>121.916673478539</v>
      </c>
    </row>
    <row r="335">
      <c r="A335" s="1">
        <v>332.0</v>
      </c>
      <c r="B335" s="3" t="s">
        <v>690</v>
      </c>
      <c r="C335" s="1">
        <v>4.0</v>
      </c>
      <c r="D335" s="1" t="s">
        <v>691</v>
      </c>
      <c r="E335" s="3" t="s">
        <v>82</v>
      </c>
      <c r="F335" s="4">
        <v>37.40685</v>
      </c>
      <c r="G335" s="4">
        <v>121.88672</v>
      </c>
    </row>
    <row r="336">
      <c r="A336" s="1">
        <v>333.0</v>
      </c>
      <c r="B336" s="3" t="s">
        <v>692</v>
      </c>
      <c r="C336" s="1">
        <v>4.0</v>
      </c>
      <c r="D336" s="1" t="s">
        <v>693</v>
      </c>
      <c r="E336" s="3" t="s">
        <v>82</v>
      </c>
      <c r="F336" s="4">
        <v>37.3862088776267</v>
      </c>
      <c r="G336" s="4">
        <v>121.884416049074</v>
      </c>
    </row>
    <row r="337">
      <c r="A337" s="1">
        <v>334.0</v>
      </c>
      <c r="B337" s="3" t="s">
        <v>694</v>
      </c>
      <c r="C337" s="1">
        <v>3.0</v>
      </c>
      <c r="D337" s="1" t="s">
        <v>695</v>
      </c>
      <c r="E337" s="3" t="s">
        <v>82</v>
      </c>
      <c r="F337" s="4">
        <v>37.3843159241917</v>
      </c>
      <c r="G337" s="4">
        <v>121.89744169577</v>
      </c>
    </row>
    <row r="338">
      <c r="A338" s="1">
        <v>335.0</v>
      </c>
      <c r="B338" s="3" t="s">
        <v>696</v>
      </c>
      <c r="C338" s="1">
        <v>4.5</v>
      </c>
      <c r="D338" s="1" t="s">
        <v>693</v>
      </c>
      <c r="E338" s="3" t="s">
        <v>82</v>
      </c>
      <c r="F338" s="4">
        <v>37.3863881481701</v>
      </c>
      <c r="G338" s="4">
        <v>121.884803238097</v>
      </c>
    </row>
    <row r="339">
      <c r="A339" s="1">
        <v>336.0</v>
      </c>
      <c r="B339" s="3" t="s">
        <v>697</v>
      </c>
      <c r="C339" s="1">
        <v>3.5</v>
      </c>
      <c r="D339" s="1" t="s">
        <v>698</v>
      </c>
      <c r="E339" s="3" t="s">
        <v>90</v>
      </c>
      <c r="F339" s="4">
        <v>37.419465</v>
      </c>
      <c r="G339" s="4">
        <v>121.915568</v>
      </c>
    </row>
    <row r="340">
      <c r="A340" s="1">
        <v>337.0</v>
      </c>
      <c r="B340" s="3" t="s">
        <v>699</v>
      </c>
      <c r="C340" s="1">
        <v>3.5</v>
      </c>
      <c r="D340" s="1" t="s">
        <v>700</v>
      </c>
      <c r="E340" s="3" t="s">
        <v>90</v>
      </c>
      <c r="F340" s="4">
        <v>37.416848</v>
      </c>
      <c r="G340" s="4">
        <v>121.8768983</v>
      </c>
    </row>
    <row r="341">
      <c r="A341" s="1">
        <v>338.0</v>
      </c>
      <c r="B341" s="3" t="s">
        <v>701</v>
      </c>
      <c r="C341" s="1">
        <v>3.5</v>
      </c>
      <c r="D341" s="1" t="s">
        <v>702</v>
      </c>
      <c r="E341" s="3" t="s">
        <v>90</v>
      </c>
      <c r="F341" s="4">
        <v>37.433926</v>
      </c>
      <c r="G341" s="4">
        <v>121.884259</v>
      </c>
    </row>
    <row r="342">
      <c r="A342" s="1">
        <v>339.0</v>
      </c>
      <c r="B342" s="3" t="s">
        <v>703</v>
      </c>
      <c r="C342" s="1">
        <v>3.0</v>
      </c>
      <c r="D342" s="1" t="s">
        <v>704</v>
      </c>
      <c r="E342" s="3" t="s">
        <v>348</v>
      </c>
      <c r="F342" s="4">
        <v>37.3953035880334</v>
      </c>
      <c r="G342" s="4">
        <v>121.946540661156</v>
      </c>
    </row>
    <row r="343">
      <c r="A343" s="1">
        <v>340.0</v>
      </c>
      <c r="B343" s="3" t="s">
        <v>705</v>
      </c>
      <c r="C343" s="1">
        <v>4.0</v>
      </c>
      <c r="D343" s="1" t="s">
        <v>706</v>
      </c>
      <c r="E343" s="3" t="s">
        <v>90</v>
      </c>
      <c r="F343" s="4">
        <v>37.420773</v>
      </c>
      <c r="G343" s="4">
        <v>121.916405</v>
      </c>
    </row>
    <row r="344">
      <c r="A344" s="1">
        <v>341.0</v>
      </c>
      <c r="B344" s="3" t="s">
        <v>707</v>
      </c>
      <c r="C344" s="1">
        <v>2.5</v>
      </c>
      <c r="D344" s="1" t="s">
        <v>708</v>
      </c>
      <c r="E344" s="3" t="s">
        <v>90</v>
      </c>
      <c r="F344" s="4">
        <v>37.4178751788897</v>
      </c>
      <c r="G344" s="4">
        <v>121.874392975463</v>
      </c>
    </row>
    <row r="345">
      <c r="A345" s="1">
        <v>342.0</v>
      </c>
      <c r="B345" s="3" t="s">
        <v>709</v>
      </c>
      <c r="C345" s="1">
        <v>4.5</v>
      </c>
      <c r="D345" s="1" t="s">
        <v>710</v>
      </c>
      <c r="E345" s="3" t="s">
        <v>82</v>
      </c>
      <c r="F345" s="4">
        <v>37.4093138578249</v>
      </c>
      <c r="G345" s="4">
        <v>121.945219193046</v>
      </c>
    </row>
    <row r="346">
      <c r="A346" s="1">
        <v>343.0</v>
      </c>
      <c r="B346" s="3" t="s">
        <v>711</v>
      </c>
      <c r="C346" s="1">
        <v>4.0</v>
      </c>
      <c r="D346" s="1" t="s">
        <v>700</v>
      </c>
      <c r="E346" s="3" t="s">
        <v>90</v>
      </c>
      <c r="F346" s="4">
        <v>37.4168459526991</v>
      </c>
      <c r="G346" s="4">
        <v>121.876774057745</v>
      </c>
    </row>
    <row r="347">
      <c r="A347" s="1">
        <v>344.0</v>
      </c>
      <c r="B347" s="3" t="s">
        <v>712</v>
      </c>
      <c r="C347" s="1">
        <v>4.0</v>
      </c>
      <c r="D347" s="1" t="s">
        <v>713</v>
      </c>
      <c r="E347" s="3" t="s">
        <v>534</v>
      </c>
      <c r="F347" s="4">
        <v>37.4846042071457</v>
      </c>
      <c r="G347" s="4">
        <v>122.232427139501</v>
      </c>
    </row>
    <row r="348">
      <c r="A348" s="1">
        <v>345.0</v>
      </c>
      <c r="B348" s="3" t="s">
        <v>714</v>
      </c>
      <c r="C348" s="1">
        <v>4.0</v>
      </c>
      <c r="D348" s="1" t="s">
        <v>715</v>
      </c>
      <c r="E348" s="3" t="s">
        <v>534</v>
      </c>
      <c r="F348" s="4">
        <v>37.4868</v>
      </c>
      <c r="G348" s="4">
        <v>122.22766</v>
      </c>
    </row>
    <row r="349">
      <c r="A349" s="1">
        <v>346.0</v>
      </c>
      <c r="B349" s="3" t="s">
        <v>716</v>
      </c>
      <c r="C349" s="1">
        <v>4.0</v>
      </c>
      <c r="D349" s="1" t="s">
        <v>717</v>
      </c>
      <c r="E349" s="3" t="s">
        <v>534</v>
      </c>
      <c r="F349" s="4">
        <v>37.4861601263273</v>
      </c>
      <c r="G349" s="4">
        <v>122.230740152299</v>
      </c>
    </row>
    <row r="350">
      <c r="A350" s="1">
        <v>347.0</v>
      </c>
      <c r="B350" s="3" t="s">
        <v>718</v>
      </c>
      <c r="C350" s="1">
        <v>4.5</v>
      </c>
      <c r="D350" s="1" t="s">
        <v>719</v>
      </c>
      <c r="E350" s="3" t="s">
        <v>95</v>
      </c>
      <c r="F350" s="4">
        <v>37.4461057</v>
      </c>
      <c r="G350" s="4">
        <v>122.1610267</v>
      </c>
    </row>
    <row r="351">
      <c r="A351" s="1">
        <v>348.0</v>
      </c>
      <c r="B351" s="3" t="s">
        <v>720</v>
      </c>
      <c r="C351" s="1">
        <v>3.5</v>
      </c>
      <c r="D351" s="1" t="s">
        <v>721</v>
      </c>
      <c r="E351" s="3" t="s">
        <v>95</v>
      </c>
      <c r="F351" s="4">
        <v>37.438632</v>
      </c>
      <c r="G351" s="4">
        <v>122.160532</v>
      </c>
    </row>
    <row r="352">
      <c r="A352" s="1">
        <v>349.0</v>
      </c>
      <c r="B352" s="3" t="s">
        <v>722</v>
      </c>
      <c r="C352" s="1">
        <v>4.0</v>
      </c>
      <c r="D352" s="1" t="s">
        <v>723</v>
      </c>
      <c r="E352" s="3" t="s">
        <v>95</v>
      </c>
      <c r="F352" s="4">
        <v>37.44413</v>
      </c>
      <c r="G352" s="4">
        <v>122.16237</v>
      </c>
    </row>
    <row r="353">
      <c r="A353" s="1">
        <v>350.0</v>
      </c>
      <c r="B353" s="3" t="s">
        <v>724</v>
      </c>
      <c r="C353" s="1">
        <v>3.5</v>
      </c>
      <c r="D353" s="1" t="s">
        <v>725</v>
      </c>
      <c r="E353" s="3" t="s">
        <v>95</v>
      </c>
      <c r="F353" s="4">
        <v>37.4446105957031</v>
      </c>
      <c r="G353" s="4">
        <v>122.161544799804</v>
      </c>
    </row>
    <row r="354">
      <c r="A354" s="1">
        <v>351.0</v>
      </c>
      <c r="B354" s="3" t="s">
        <v>726</v>
      </c>
      <c r="C354" s="1">
        <v>4.5</v>
      </c>
      <c r="D354" s="1" t="s">
        <v>727</v>
      </c>
      <c r="E354" s="3" t="s">
        <v>95</v>
      </c>
      <c r="F354" s="4">
        <v>37.44752</v>
      </c>
      <c r="G354" s="4">
        <v>122.15965</v>
      </c>
    </row>
    <row r="355">
      <c r="A355" s="1">
        <v>352.0</v>
      </c>
      <c r="B355" s="3" t="s">
        <v>728</v>
      </c>
      <c r="C355" s="1">
        <v>3.5</v>
      </c>
      <c r="D355" s="1" t="s">
        <v>729</v>
      </c>
      <c r="E355" s="3" t="s">
        <v>95</v>
      </c>
      <c r="F355" s="4">
        <v>37.41643</v>
      </c>
      <c r="G355" s="4">
        <v>122.13004</v>
      </c>
    </row>
    <row r="356">
      <c r="A356" s="1">
        <v>353.0</v>
      </c>
      <c r="B356" s="3" t="s">
        <v>730</v>
      </c>
      <c r="C356" s="1">
        <v>3.5</v>
      </c>
      <c r="D356" s="1" t="s">
        <v>731</v>
      </c>
      <c r="E356" s="3" t="s">
        <v>566</v>
      </c>
      <c r="F356" s="4">
        <v>37.390076192143</v>
      </c>
      <c r="G356" s="4">
        <v>122.042184743589</v>
      </c>
    </row>
    <row r="357">
      <c r="A357" s="1">
        <v>354.0</v>
      </c>
      <c r="B357" s="3" t="s">
        <v>732</v>
      </c>
      <c r="C357" s="1">
        <v>4.0</v>
      </c>
      <c r="D357" s="1" t="s">
        <v>733</v>
      </c>
      <c r="E357" s="3" t="s">
        <v>95</v>
      </c>
      <c r="F357" s="4">
        <v>37.4438754674247</v>
      </c>
      <c r="G357" s="4">
        <v>122.161595821381</v>
      </c>
    </row>
    <row r="358">
      <c r="A358" s="1">
        <v>355.0</v>
      </c>
      <c r="B358" s="3" t="s">
        <v>734</v>
      </c>
      <c r="C358" s="1">
        <v>3.0</v>
      </c>
      <c r="D358" s="1" t="s">
        <v>735</v>
      </c>
      <c r="E358" s="3" t="s">
        <v>534</v>
      </c>
      <c r="F358" s="4">
        <v>37.4917931901457</v>
      </c>
      <c r="G358" s="4">
        <v>122.224192531476</v>
      </c>
    </row>
    <row r="359">
      <c r="A359" s="1">
        <v>356.0</v>
      </c>
      <c r="B359" s="3" t="s">
        <v>736</v>
      </c>
      <c r="C359" s="1">
        <v>3.5</v>
      </c>
      <c r="D359" s="1" t="s">
        <v>737</v>
      </c>
      <c r="E359" s="3" t="s">
        <v>95</v>
      </c>
      <c r="F359" s="4">
        <v>37.444682</v>
      </c>
      <c r="G359" s="4">
        <v>122.161533</v>
      </c>
    </row>
    <row r="360">
      <c r="A360" s="1">
        <v>357.0</v>
      </c>
      <c r="B360" s="3" t="s">
        <v>738</v>
      </c>
      <c r="C360" s="1">
        <v>3.5</v>
      </c>
      <c r="D360" s="1" t="s">
        <v>739</v>
      </c>
      <c r="E360" s="3" t="s">
        <v>95</v>
      </c>
      <c r="F360" s="4">
        <v>37.447555</v>
      </c>
      <c r="G360" s="4">
        <v>122.159804</v>
      </c>
    </row>
    <row r="361">
      <c r="A361" s="1">
        <v>358.0</v>
      </c>
      <c r="B361" s="3" t="s">
        <v>740</v>
      </c>
      <c r="C361" s="1">
        <v>4.0</v>
      </c>
      <c r="D361" s="1" t="s">
        <v>741</v>
      </c>
      <c r="E361" s="3" t="s">
        <v>534</v>
      </c>
      <c r="F361" s="4">
        <v>37.46868</v>
      </c>
      <c r="G361" s="4">
        <v>122.223999999999</v>
      </c>
    </row>
    <row r="362">
      <c r="A362" s="1">
        <v>359.0</v>
      </c>
      <c r="B362" s="3" t="s">
        <v>742</v>
      </c>
      <c r="C362" s="1">
        <v>4.0</v>
      </c>
      <c r="D362" s="1" t="s">
        <v>743</v>
      </c>
      <c r="E362" s="3" t="s">
        <v>95</v>
      </c>
      <c r="F362" s="4">
        <v>37.4480657</v>
      </c>
      <c r="G362" s="4">
        <v>122.159221</v>
      </c>
    </row>
    <row r="363">
      <c r="A363" s="1">
        <v>360.0</v>
      </c>
      <c r="B363" s="3" t="s">
        <v>744</v>
      </c>
      <c r="C363" s="1">
        <v>3.5</v>
      </c>
      <c r="D363" s="1" t="s">
        <v>745</v>
      </c>
      <c r="E363" s="3" t="s">
        <v>95</v>
      </c>
      <c r="F363" s="4">
        <v>37.4444718383711</v>
      </c>
      <c r="G363" s="4">
        <v>122.165222240072</v>
      </c>
    </row>
    <row r="364">
      <c r="A364" s="1">
        <v>361.0</v>
      </c>
      <c r="B364" s="3" t="s">
        <v>746</v>
      </c>
      <c r="C364" s="1">
        <v>3.5</v>
      </c>
      <c r="D364" s="1" t="s">
        <v>747</v>
      </c>
      <c r="E364" s="3" t="s">
        <v>69</v>
      </c>
      <c r="F364" s="4">
        <v>37.3604672926655</v>
      </c>
      <c r="G364" s="4">
        <v>122.096757004484</v>
      </c>
    </row>
    <row r="365">
      <c r="A365" s="1">
        <v>362.0</v>
      </c>
      <c r="B365" s="3" t="s">
        <v>748</v>
      </c>
      <c r="C365" s="1">
        <v>3.5</v>
      </c>
      <c r="D365" s="1" t="s">
        <v>749</v>
      </c>
      <c r="E365" s="3" t="s">
        <v>750</v>
      </c>
      <c r="F365" s="4">
        <v>37.42398</v>
      </c>
      <c r="G365" s="4">
        <v>122.19693</v>
      </c>
    </row>
    <row r="366">
      <c r="A366" s="1">
        <v>363.0</v>
      </c>
      <c r="B366" s="3" t="s">
        <v>751</v>
      </c>
      <c r="C366" s="1">
        <v>3.5</v>
      </c>
      <c r="D366" s="1" t="s">
        <v>752</v>
      </c>
      <c r="E366" s="3" t="s">
        <v>69</v>
      </c>
      <c r="F366" s="4">
        <v>37.3783798</v>
      </c>
      <c r="G366" s="4">
        <v>122.117019699999</v>
      </c>
    </row>
    <row r="367">
      <c r="A367" s="1">
        <v>364.0</v>
      </c>
      <c r="B367" s="3" t="s">
        <v>753</v>
      </c>
      <c r="C367" s="1">
        <v>3.5</v>
      </c>
      <c r="D367" s="1" t="s">
        <v>754</v>
      </c>
      <c r="E367" s="3" t="s">
        <v>95</v>
      </c>
      <c r="F367" s="4">
        <v>37.4471969604492</v>
      </c>
      <c r="G367" s="4">
        <v>122.160781860352</v>
      </c>
    </row>
    <row r="368">
      <c r="A368" s="1">
        <v>365.0</v>
      </c>
      <c r="B368" s="3" t="s">
        <v>755</v>
      </c>
      <c r="C368" s="1">
        <v>5.0</v>
      </c>
      <c r="D368" s="1" t="s">
        <v>756</v>
      </c>
      <c r="E368" s="3" t="s">
        <v>534</v>
      </c>
      <c r="F368" s="4">
        <v>37.4868656</v>
      </c>
      <c r="G368" s="4">
        <v>122.223413299999</v>
      </c>
    </row>
    <row r="369">
      <c r="A369" s="1">
        <v>366.0</v>
      </c>
      <c r="B369" s="3" t="s">
        <v>757</v>
      </c>
      <c r="C369" s="1">
        <v>3.5</v>
      </c>
      <c r="D369" s="1" t="s">
        <v>758</v>
      </c>
      <c r="E369" s="3" t="s">
        <v>95</v>
      </c>
      <c r="F369" s="4">
        <v>37.41883</v>
      </c>
      <c r="G369" s="4">
        <v>122.1099</v>
      </c>
    </row>
    <row r="370">
      <c r="A370" s="1">
        <v>367.0</v>
      </c>
      <c r="B370" s="3" t="s">
        <v>759</v>
      </c>
      <c r="C370" s="1">
        <v>4.0</v>
      </c>
      <c r="D370" s="1" t="s">
        <v>760</v>
      </c>
      <c r="E370" s="3" t="s">
        <v>534</v>
      </c>
      <c r="F370" s="4">
        <v>37.4867482944358</v>
      </c>
      <c r="G370" s="4">
        <v>122.229360103705</v>
      </c>
    </row>
    <row r="371">
      <c r="A371" s="1">
        <v>368.0</v>
      </c>
      <c r="B371" s="3" t="s">
        <v>761</v>
      </c>
      <c r="C371" s="1">
        <v>5.0</v>
      </c>
      <c r="D371" s="1" t="s">
        <v>762</v>
      </c>
      <c r="E371" s="3" t="s">
        <v>566</v>
      </c>
      <c r="F371" s="4">
        <v>37.35338</v>
      </c>
      <c r="G371" s="4">
        <v>122.05071</v>
      </c>
    </row>
    <row r="372">
      <c r="A372" s="1">
        <v>369.0</v>
      </c>
      <c r="B372" s="3" t="s">
        <v>763</v>
      </c>
      <c r="C372" s="1">
        <v>3.5</v>
      </c>
      <c r="D372" s="1" t="s">
        <v>764</v>
      </c>
      <c r="E372" s="3" t="s">
        <v>765</v>
      </c>
      <c r="F372" s="4">
        <v>37.426249336151</v>
      </c>
      <c r="G372" s="4">
        <v>122.16706752777</v>
      </c>
    </row>
    <row r="373">
      <c r="A373" s="1">
        <v>370.0</v>
      </c>
      <c r="B373" s="3" t="s">
        <v>766</v>
      </c>
      <c r="C373" s="1">
        <v>3.5</v>
      </c>
      <c r="D373" s="1" t="s">
        <v>767</v>
      </c>
      <c r="E373" s="3" t="s">
        <v>95</v>
      </c>
      <c r="F373" s="4">
        <v>37.4203109741211</v>
      </c>
      <c r="G373" s="4">
        <v>122.102348327637</v>
      </c>
    </row>
    <row r="374">
      <c r="A374" s="1">
        <v>371.0</v>
      </c>
      <c r="B374" s="3" t="s">
        <v>768</v>
      </c>
      <c r="C374" s="1">
        <v>2.0</v>
      </c>
      <c r="D374" s="1" t="s">
        <v>769</v>
      </c>
      <c r="E374" s="3" t="s">
        <v>66</v>
      </c>
      <c r="F374" s="4">
        <v>37.390983766688</v>
      </c>
      <c r="G374" s="4">
        <v>122.095294088778</v>
      </c>
    </row>
    <row r="375">
      <c r="A375" s="1">
        <v>372.0</v>
      </c>
      <c r="B375" s="3" t="s">
        <v>770</v>
      </c>
      <c r="C375" s="1">
        <v>3.5</v>
      </c>
      <c r="D375" s="1" t="s">
        <v>771</v>
      </c>
      <c r="E375" s="3" t="s">
        <v>66</v>
      </c>
      <c r="F375" s="4">
        <v>37.4015598999999</v>
      </c>
      <c r="G375" s="4">
        <v>122.1132477</v>
      </c>
    </row>
    <row r="376">
      <c r="A376" s="1">
        <v>373.0</v>
      </c>
      <c r="B376" s="3">
        <v>2.0</v>
      </c>
      <c r="C376" s="1">
        <v>4.0</v>
      </c>
      <c r="D376" s="1" t="s">
        <v>772</v>
      </c>
      <c r="E376" s="3" t="s">
        <v>534</v>
      </c>
      <c r="F376" s="4">
        <v>37.4857502210641</v>
      </c>
      <c r="G376" s="4">
        <v>122.228834925786</v>
      </c>
    </row>
    <row r="377">
      <c r="A377" s="1">
        <v>374.0</v>
      </c>
      <c r="B377" s="3"/>
      <c r="C377" s="1">
        <v>3.5</v>
      </c>
      <c r="D377" s="1" t="s">
        <v>773</v>
      </c>
      <c r="E377" s="3" t="s">
        <v>750</v>
      </c>
      <c r="F377" s="4">
        <v>37.4483544</v>
      </c>
      <c r="G377" s="4">
        <v>122.174376799999</v>
      </c>
    </row>
    <row r="378">
      <c r="A378" s="1">
        <v>375.0</v>
      </c>
      <c r="B378" s="3"/>
      <c r="C378" s="1">
        <v>2.5</v>
      </c>
      <c r="D378" s="1" t="s">
        <v>774</v>
      </c>
      <c r="E378" s="3" t="s">
        <v>765</v>
      </c>
      <c r="F378" s="4">
        <v>37.425371754743</v>
      </c>
      <c r="G378" s="4">
        <v>122.170543670654</v>
      </c>
    </row>
    <row r="379">
      <c r="A379" s="1">
        <v>376.0</v>
      </c>
      <c r="B379" s="3"/>
      <c r="C379" s="1">
        <v>4.0</v>
      </c>
      <c r="D379" s="1" t="s">
        <v>775</v>
      </c>
      <c r="E379" s="3" t="s">
        <v>566</v>
      </c>
      <c r="F379" s="4">
        <v>37.3517264451999</v>
      </c>
      <c r="G379" s="4">
        <v>122.002505609904</v>
      </c>
    </row>
    <row r="380">
      <c r="A380" s="1">
        <v>377.0</v>
      </c>
      <c r="B380" s="3"/>
      <c r="C380" s="1">
        <v>3.5</v>
      </c>
      <c r="D380" s="1" t="s">
        <v>776</v>
      </c>
      <c r="E380" s="3" t="s">
        <v>566</v>
      </c>
      <c r="F380" s="4">
        <v>37.3973885</v>
      </c>
      <c r="G380" s="4">
        <v>121.9967194</v>
      </c>
    </row>
    <row r="381">
      <c r="A381" s="1">
        <v>378.0</v>
      </c>
      <c r="B381" s="3"/>
      <c r="C381" s="1">
        <v>3.5</v>
      </c>
      <c r="D381" s="1" t="s">
        <v>777</v>
      </c>
      <c r="E381" s="3" t="s">
        <v>566</v>
      </c>
      <c r="F381" s="4">
        <v>37.3761833999999</v>
      </c>
      <c r="G381" s="4">
        <v>122.0301825</v>
      </c>
    </row>
    <row r="382">
      <c r="A382" s="1">
        <v>379.0</v>
      </c>
      <c r="B382" s="3"/>
      <c r="C382" s="1">
        <v>3.5</v>
      </c>
      <c r="D382" s="1" t="s">
        <v>778</v>
      </c>
      <c r="E382" s="3" t="s">
        <v>348</v>
      </c>
      <c r="F382" s="4">
        <v>37.3255099999999</v>
      </c>
      <c r="G382" s="4">
        <v>121.94462</v>
      </c>
    </row>
    <row r="383">
      <c r="A383" s="1">
        <v>380.0</v>
      </c>
      <c r="B383" s="3"/>
      <c r="C383" s="1">
        <v>2.5</v>
      </c>
      <c r="D383" s="1" t="s">
        <v>779</v>
      </c>
      <c r="E383" s="3" t="s">
        <v>348</v>
      </c>
      <c r="F383" s="4">
        <v>37.3515863912687</v>
      </c>
      <c r="G383" s="4">
        <v>121.99270148474</v>
      </c>
    </row>
    <row r="384">
      <c r="A384" s="1">
        <v>381.0</v>
      </c>
      <c r="B384" s="3"/>
      <c r="C384" s="1">
        <v>3.5</v>
      </c>
      <c r="D384" s="1" t="s">
        <v>780</v>
      </c>
      <c r="E384" s="3" t="s">
        <v>348</v>
      </c>
      <c r="F384" s="4">
        <v>37.3515681496377</v>
      </c>
      <c r="G384" s="4">
        <v>121.992844729458</v>
      </c>
    </row>
    <row r="385">
      <c r="A385" s="1">
        <v>382.0</v>
      </c>
      <c r="B385" s="3"/>
      <c r="C385" s="1">
        <v>4.5</v>
      </c>
      <c r="D385" s="1" t="s">
        <v>781</v>
      </c>
      <c r="E385" s="3" t="s">
        <v>348</v>
      </c>
      <c r="F385" s="4">
        <v>37.38919</v>
      </c>
      <c r="G385" s="4">
        <v>121.983389999999</v>
      </c>
    </row>
    <row r="386">
      <c r="A386" s="1">
        <v>383.0</v>
      </c>
      <c r="B386" s="3"/>
      <c r="C386" s="1">
        <v>2.5</v>
      </c>
      <c r="D386" s="1" t="s">
        <v>778</v>
      </c>
      <c r="E386" s="3" t="s">
        <v>348</v>
      </c>
      <c r="F386" s="4">
        <v>37.326036489104</v>
      </c>
      <c r="G386" s="4">
        <v>121.944165208983</v>
      </c>
    </row>
    <row r="387">
      <c r="A387" s="1">
        <v>384.0</v>
      </c>
      <c r="B387" s="3"/>
      <c r="C387" s="1">
        <v>3.5</v>
      </c>
      <c r="D387" s="1" t="s">
        <v>622</v>
      </c>
      <c r="E387" s="3" t="s">
        <v>348</v>
      </c>
      <c r="F387" s="4">
        <v>37.3503848</v>
      </c>
      <c r="G387" s="4">
        <v>121.9437883</v>
      </c>
    </row>
    <row r="388">
      <c r="A388" s="1">
        <v>385.0</v>
      </c>
      <c r="B388" s="3"/>
      <c r="C388" s="1">
        <v>3.5</v>
      </c>
      <c r="D388" s="1" t="s">
        <v>782</v>
      </c>
      <c r="E388" s="3" t="s">
        <v>783</v>
      </c>
      <c r="F388" s="4">
        <v>37.6492551499593</v>
      </c>
      <c r="G388" s="4">
        <v>122.429556883872</v>
      </c>
    </row>
    <row r="389">
      <c r="A389" s="1">
        <v>386.0</v>
      </c>
      <c r="B389" s="3"/>
      <c r="C389" s="1">
        <v>4.5</v>
      </c>
      <c r="D389" s="1" t="s">
        <v>784</v>
      </c>
      <c r="E389" s="3" t="s">
        <v>785</v>
      </c>
      <c r="F389" s="4">
        <v>37.594114</v>
      </c>
      <c r="G389" s="4">
        <v>122.384605</v>
      </c>
    </row>
    <row r="390">
      <c r="A390" s="1">
        <v>387.0</v>
      </c>
      <c r="B390" s="3"/>
      <c r="C390" s="1">
        <v>4.5</v>
      </c>
      <c r="D390" s="1" t="s">
        <v>786</v>
      </c>
      <c r="E390" s="3" t="s">
        <v>787</v>
      </c>
      <c r="F390" s="4">
        <v>37.622566</v>
      </c>
      <c r="G390" s="4">
        <v>122.410941999999</v>
      </c>
    </row>
    <row r="391">
      <c r="A391" s="1">
        <v>388.0</v>
      </c>
      <c r="B391" s="3"/>
      <c r="C391" s="1">
        <v>4.0</v>
      </c>
      <c r="D391" s="1" t="s">
        <v>788</v>
      </c>
      <c r="E391" s="3" t="s">
        <v>789</v>
      </c>
      <c r="F391" s="4">
        <v>37.5671987999999</v>
      </c>
      <c r="G391" s="4">
        <v>122.3253964</v>
      </c>
    </row>
    <row r="392">
      <c r="A392" s="1">
        <v>389.0</v>
      </c>
      <c r="B392" s="3"/>
      <c r="C392" s="1">
        <v>4.0</v>
      </c>
      <c r="D392" s="1" t="s">
        <v>790</v>
      </c>
      <c r="E392" s="3" t="s">
        <v>785</v>
      </c>
      <c r="F392" s="4">
        <v>37.5773026</v>
      </c>
      <c r="G392" s="4">
        <v>122.3486125</v>
      </c>
    </row>
    <row r="393">
      <c r="A393" s="1">
        <v>390.0</v>
      </c>
      <c r="B393" s="3"/>
      <c r="C393" s="1">
        <v>4.0</v>
      </c>
      <c r="D393" s="1" t="s">
        <v>791</v>
      </c>
      <c r="E393" s="3" t="s">
        <v>783</v>
      </c>
      <c r="F393" s="4">
        <v>37.6492265</v>
      </c>
      <c r="G393" s="4">
        <v>122.430214299999</v>
      </c>
    </row>
    <row r="394">
      <c r="A394" s="1">
        <v>391.0</v>
      </c>
      <c r="B394" s="3"/>
      <c r="C394" s="1">
        <v>4.0</v>
      </c>
      <c r="D394" s="1" t="s">
        <v>792</v>
      </c>
      <c r="E394" s="3" t="s">
        <v>785</v>
      </c>
      <c r="F394" s="4">
        <v>37.5794379623736</v>
      </c>
      <c r="G394" s="4">
        <v>122.345903012389</v>
      </c>
    </row>
    <row r="395">
      <c r="A395" s="1">
        <v>392.0</v>
      </c>
      <c r="B395" s="3"/>
      <c r="C395" s="1">
        <v>4.0</v>
      </c>
      <c r="D395" s="1" t="s">
        <v>793</v>
      </c>
      <c r="E395" s="3" t="s">
        <v>789</v>
      </c>
      <c r="F395" s="4">
        <v>37.564318</v>
      </c>
      <c r="G395" s="4">
        <v>122.323843099999</v>
      </c>
    </row>
    <row r="396">
      <c r="A396" s="1">
        <v>393.0</v>
      </c>
      <c r="B396" s="3"/>
      <c r="C396" s="1">
        <v>4.0</v>
      </c>
      <c r="D396" s="1" t="s">
        <v>794</v>
      </c>
      <c r="E396" s="3" t="s">
        <v>789</v>
      </c>
      <c r="F396" s="4">
        <v>37.5649712999999</v>
      </c>
      <c r="G396" s="4">
        <v>122.3228903</v>
      </c>
    </row>
    <row r="397">
      <c r="A397" s="1">
        <v>394.0</v>
      </c>
      <c r="B397" s="3"/>
      <c r="C397" s="1">
        <v>4.0</v>
      </c>
      <c r="D397" s="1" t="s">
        <v>795</v>
      </c>
      <c r="E397" s="3" t="s">
        <v>796</v>
      </c>
      <c r="F397" s="4">
        <v>37.61218</v>
      </c>
      <c r="G397" s="4">
        <v>122.404</v>
      </c>
    </row>
    <row r="398">
      <c r="A398" s="1">
        <v>395.0</v>
      </c>
      <c r="B398" s="3"/>
      <c r="C398" s="1">
        <v>4.0</v>
      </c>
      <c r="D398" s="1" t="s">
        <v>797</v>
      </c>
      <c r="E398" s="3" t="s">
        <v>798</v>
      </c>
      <c r="F398" s="4">
        <v>37.6337492</v>
      </c>
      <c r="G398" s="4">
        <v>122.4887216</v>
      </c>
    </row>
    <row r="399">
      <c r="A399" s="1">
        <v>396.0</v>
      </c>
      <c r="B399" s="3"/>
      <c r="C399" s="1">
        <v>3.5</v>
      </c>
      <c r="D399" s="1" t="s">
        <v>799</v>
      </c>
      <c r="E399" s="3" t="s">
        <v>796</v>
      </c>
      <c r="F399" s="4">
        <v>37.601183</v>
      </c>
      <c r="G399" s="4">
        <v>122.392173</v>
      </c>
    </row>
    <row r="400">
      <c r="A400" s="1">
        <v>397.0</v>
      </c>
      <c r="B400" s="3"/>
      <c r="C400" s="1">
        <v>5.0</v>
      </c>
      <c r="D400" s="1" t="s">
        <v>800</v>
      </c>
      <c r="E400" s="3" t="s">
        <v>785</v>
      </c>
      <c r="F400" s="4">
        <v>37.5801206</v>
      </c>
      <c r="G400" s="4">
        <v>122.346889099999</v>
      </c>
    </row>
    <row r="401">
      <c r="A401" s="1">
        <v>398.0</v>
      </c>
      <c r="B401" s="3"/>
      <c r="C401" s="1">
        <v>3.5</v>
      </c>
      <c r="D401" s="1" t="s">
        <v>801</v>
      </c>
      <c r="E401" s="3" t="s">
        <v>802</v>
      </c>
      <c r="F401" s="4">
        <v>37.4702203984019</v>
      </c>
      <c r="G401" s="4">
        <v>122.435569055378</v>
      </c>
    </row>
    <row r="402">
      <c r="A402" s="1">
        <v>399.0</v>
      </c>
      <c r="B402" s="3"/>
      <c r="C402" s="1">
        <v>4.0</v>
      </c>
      <c r="D402" s="1" t="s">
        <v>803</v>
      </c>
      <c r="E402" s="3" t="s">
        <v>796</v>
      </c>
      <c r="F402" s="4">
        <v>37.6048409390981</v>
      </c>
      <c r="G402" s="4">
        <v>122.397278312931</v>
      </c>
    </row>
    <row r="403">
      <c r="A403" s="1">
        <v>400.0</v>
      </c>
      <c r="B403" s="3"/>
      <c r="C403" s="1">
        <v>3.5</v>
      </c>
      <c r="D403" s="1" t="s">
        <v>804</v>
      </c>
      <c r="E403" s="3" t="s">
        <v>789</v>
      </c>
      <c r="F403" s="4">
        <v>37.5667191</v>
      </c>
      <c r="G403" s="4">
        <v>122.3239517</v>
      </c>
    </row>
    <row r="404">
      <c r="A404" s="1">
        <v>401.0</v>
      </c>
      <c r="B404" s="3"/>
      <c r="C404" s="1">
        <v>3.5</v>
      </c>
      <c r="D404" s="1" t="s">
        <v>805</v>
      </c>
      <c r="E404" s="3" t="s">
        <v>783</v>
      </c>
      <c r="F404" s="4">
        <v>37.649195</v>
      </c>
      <c r="G404" s="4">
        <v>122.4530236</v>
      </c>
    </row>
    <row r="405">
      <c r="A405" s="1">
        <v>402.0</v>
      </c>
      <c r="B405" s="3"/>
      <c r="C405" s="1">
        <v>3.5</v>
      </c>
      <c r="D405" s="1" t="s">
        <v>806</v>
      </c>
      <c r="E405" s="3" t="s">
        <v>789</v>
      </c>
      <c r="F405" s="4">
        <v>37.5444733117821</v>
      </c>
      <c r="G405" s="4">
        <v>122.28505220123</v>
      </c>
    </row>
    <row r="406">
      <c r="A406" s="1">
        <v>403.0</v>
      </c>
      <c r="B406" s="3"/>
      <c r="C406" s="1">
        <v>4.0</v>
      </c>
      <c r="D406" s="1" t="s">
        <v>807</v>
      </c>
      <c r="E406" s="3" t="s">
        <v>789</v>
      </c>
      <c r="F406" s="4">
        <v>37.5665365</v>
      </c>
      <c r="G406" s="4">
        <v>122.3232678</v>
      </c>
    </row>
    <row r="407">
      <c r="A407" s="1">
        <v>404.0</v>
      </c>
      <c r="B407" s="3"/>
      <c r="C407" s="1">
        <v>4.0</v>
      </c>
      <c r="D407" s="1" t="s">
        <v>808</v>
      </c>
      <c r="E407" s="3" t="s">
        <v>789</v>
      </c>
      <c r="F407" s="4">
        <v>37.5674099999999</v>
      </c>
      <c r="G407" s="4">
        <v>122.324069999999</v>
      </c>
    </row>
    <row r="408">
      <c r="A408" s="1">
        <v>405.0</v>
      </c>
      <c r="B408" s="3"/>
      <c r="C408" s="1">
        <v>3.5</v>
      </c>
      <c r="D408" s="1" t="s">
        <v>809</v>
      </c>
      <c r="E408" s="3" t="s">
        <v>789</v>
      </c>
      <c r="F408" s="4">
        <v>37.56413</v>
      </c>
      <c r="G408" s="4">
        <v>122.322939999999</v>
      </c>
    </row>
    <row r="409">
      <c r="A409" s="1">
        <v>406.0</v>
      </c>
      <c r="B409" s="3"/>
      <c r="C409" s="1">
        <v>4.0</v>
      </c>
      <c r="D409" s="1" t="s">
        <v>810</v>
      </c>
      <c r="E409" s="3" t="s">
        <v>811</v>
      </c>
      <c r="F409" s="4">
        <v>37.5573531403401</v>
      </c>
      <c r="G409" s="4">
        <v>122.274742340384</v>
      </c>
    </row>
    <row r="410">
      <c r="A410" s="1">
        <v>407.0</v>
      </c>
      <c r="B410" s="3"/>
      <c r="C410" s="1">
        <v>4.0</v>
      </c>
      <c r="D410" s="1" t="s">
        <v>812</v>
      </c>
      <c r="E410" s="3" t="s">
        <v>789</v>
      </c>
      <c r="F410" s="4">
        <v>37.5448989862154</v>
      </c>
      <c r="G410" s="4">
        <v>122.28502356257</v>
      </c>
    </row>
    <row r="411">
      <c r="A411" s="1">
        <v>408.0</v>
      </c>
      <c r="B411" s="3"/>
      <c r="C411" s="1">
        <v>3.5</v>
      </c>
      <c r="D411" s="1" t="s">
        <v>813</v>
      </c>
      <c r="E411" s="3" t="s">
        <v>811</v>
      </c>
      <c r="F411" s="4">
        <v>37.544739</v>
      </c>
      <c r="G411" s="4">
        <v>122.271085</v>
      </c>
    </row>
    <row r="412">
      <c r="A412" s="1">
        <v>409.0</v>
      </c>
      <c r="B412" s="3"/>
      <c r="C412" s="1">
        <v>3.5</v>
      </c>
      <c r="D412" s="1" t="s">
        <v>814</v>
      </c>
      <c r="E412" s="3" t="s">
        <v>789</v>
      </c>
      <c r="F412" s="4">
        <v>37.5643615722656</v>
      </c>
      <c r="G412" s="4">
        <v>122.323524475098</v>
      </c>
    </row>
    <row r="413">
      <c r="A413" s="1">
        <v>410.0</v>
      </c>
      <c r="B413" s="3"/>
      <c r="C413" s="1">
        <v>3.0</v>
      </c>
      <c r="D413" s="1" t="s">
        <v>815</v>
      </c>
      <c r="E413" s="3" t="s">
        <v>789</v>
      </c>
      <c r="F413" s="4">
        <v>37.5633809</v>
      </c>
      <c r="G413" s="4">
        <v>122.3251999</v>
      </c>
    </row>
    <row r="414">
      <c r="A414" s="1">
        <v>411.0</v>
      </c>
      <c r="B414" s="3"/>
      <c r="C414" s="1">
        <v>4.0</v>
      </c>
      <c r="D414" s="1" t="s">
        <v>816</v>
      </c>
      <c r="E414" s="3" t="s">
        <v>817</v>
      </c>
      <c r="F414" s="4">
        <v>37.5102232</v>
      </c>
      <c r="G414" s="4">
        <v>122.293820799999</v>
      </c>
    </row>
    <row r="415">
      <c r="A415" s="1">
        <v>412.0</v>
      </c>
      <c r="B415" s="3"/>
      <c r="C415" s="1">
        <v>4.5</v>
      </c>
      <c r="D415" s="1" t="s">
        <v>818</v>
      </c>
      <c r="E415" s="3" t="s">
        <v>789</v>
      </c>
      <c r="F415" s="4">
        <v>37.5683427999999</v>
      </c>
      <c r="G415" s="4">
        <v>122.3254578</v>
      </c>
    </row>
    <row r="416">
      <c r="A416" s="1">
        <v>413.0</v>
      </c>
      <c r="B416" s="3"/>
      <c r="C416" s="1">
        <v>3.5</v>
      </c>
      <c r="D416" s="1" t="s">
        <v>819</v>
      </c>
      <c r="E416" s="3" t="s">
        <v>789</v>
      </c>
      <c r="F416" s="4">
        <v>37.5669003999999</v>
      </c>
      <c r="G416" s="4">
        <v>122.3234145</v>
      </c>
    </row>
    <row r="417">
      <c r="A417" s="1">
        <v>414.0</v>
      </c>
      <c r="B417" s="3"/>
      <c r="C417" s="1">
        <v>4.5</v>
      </c>
      <c r="D417" s="1" t="s">
        <v>820</v>
      </c>
      <c r="E417" s="3" t="s">
        <v>531</v>
      </c>
      <c r="F417" s="4">
        <v>37.49613</v>
      </c>
      <c r="G417" s="4">
        <v>122.2477</v>
      </c>
    </row>
    <row r="418">
      <c r="A418" s="1">
        <v>415.0</v>
      </c>
      <c r="B418" s="3"/>
      <c r="C418" s="1">
        <v>4.5</v>
      </c>
      <c r="D418" s="1" t="s">
        <v>821</v>
      </c>
      <c r="E418" s="3" t="s">
        <v>796</v>
      </c>
      <c r="F418" s="4">
        <v>37.6003797</v>
      </c>
      <c r="G418" s="4">
        <v>122.3900105</v>
      </c>
    </row>
    <row r="419">
      <c r="A419" s="1">
        <v>416.0</v>
      </c>
      <c r="B419" s="3"/>
      <c r="C419" s="1">
        <v>4.0</v>
      </c>
      <c r="D419" s="1" t="s">
        <v>822</v>
      </c>
      <c r="E419" s="3" t="s">
        <v>789</v>
      </c>
      <c r="F419" s="4">
        <v>37.5652198999999</v>
      </c>
      <c r="G419" s="4">
        <v>122.3225</v>
      </c>
    </row>
    <row r="420">
      <c r="A420" s="1">
        <v>417.0</v>
      </c>
      <c r="B420" s="3"/>
      <c r="C420" s="1">
        <v>4.5</v>
      </c>
      <c r="D420" s="1" t="s">
        <v>823</v>
      </c>
      <c r="E420" s="3" t="s">
        <v>789</v>
      </c>
      <c r="F420" s="4">
        <v>37.54368</v>
      </c>
      <c r="G420" s="4">
        <v>122.30661</v>
      </c>
    </row>
    <row r="421">
      <c r="A421" s="1">
        <v>418.0</v>
      </c>
      <c r="B421" s="3"/>
      <c r="C421" s="1">
        <v>3.5</v>
      </c>
      <c r="D421" s="1" t="s">
        <v>824</v>
      </c>
      <c r="E421" s="3" t="s">
        <v>785</v>
      </c>
      <c r="F421" s="4">
        <v>37.5771875948767</v>
      </c>
      <c r="G421" s="4">
        <v>122.34879302025</v>
      </c>
    </row>
    <row r="422">
      <c r="A422" s="1">
        <v>419.0</v>
      </c>
      <c r="B422" s="3"/>
      <c r="C422" s="1">
        <v>4.5</v>
      </c>
      <c r="D422" s="1" t="s">
        <v>825</v>
      </c>
      <c r="E422" s="3" t="s">
        <v>789</v>
      </c>
      <c r="F422" s="4">
        <v>37.5659547999999</v>
      </c>
      <c r="G422" s="4">
        <v>122.3233725</v>
      </c>
    </row>
    <row r="423">
      <c r="A423" s="1">
        <v>420.0</v>
      </c>
      <c r="B423" s="3"/>
      <c r="C423" s="1">
        <v>3.0</v>
      </c>
      <c r="D423" s="1" t="s">
        <v>826</v>
      </c>
      <c r="E423" s="3" t="s">
        <v>811</v>
      </c>
      <c r="F423" s="4">
        <v>37.5447598999999</v>
      </c>
      <c r="G423" s="4">
        <v>122.271039999999</v>
      </c>
    </row>
    <row r="424">
      <c r="A424" s="1">
        <v>421.0</v>
      </c>
      <c r="B424" s="3"/>
      <c r="C424" s="1">
        <v>4.0</v>
      </c>
      <c r="D424" s="1" t="s">
        <v>827</v>
      </c>
      <c r="E424" s="3" t="s">
        <v>811</v>
      </c>
      <c r="F424" s="4">
        <v>37.5441112400917</v>
      </c>
      <c r="G424" s="4">
        <v>122.270671007271</v>
      </c>
    </row>
    <row r="425">
      <c r="A425" s="1">
        <v>422.0</v>
      </c>
      <c r="B425" s="3"/>
      <c r="C425" s="1">
        <v>4.0</v>
      </c>
      <c r="D425" s="1" t="s">
        <v>828</v>
      </c>
      <c r="E425" s="3" t="s">
        <v>789</v>
      </c>
      <c r="F425" s="4">
        <v>37.5643</v>
      </c>
      <c r="G425" s="4">
        <v>122.32361</v>
      </c>
    </row>
    <row r="426">
      <c r="A426" s="1">
        <v>423.0</v>
      </c>
      <c r="B426" s="3"/>
      <c r="C426" s="1">
        <v>3.0</v>
      </c>
      <c r="D426" s="1" t="s">
        <v>829</v>
      </c>
      <c r="E426" s="3" t="s">
        <v>789</v>
      </c>
      <c r="F426" s="4">
        <v>37.56386</v>
      </c>
      <c r="G426" s="4">
        <v>122.32335</v>
      </c>
    </row>
    <row r="427">
      <c r="A427" s="1">
        <v>424.0</v>
      </c>
      <c r="B427" s="3"/>
      <c r="C427" s="1">
        <v>4.0</v>
      </c>
      <c r="D427" s="1" t="s">
        <v>830</v>
      </c>
      <c r="E427" s="3" t="s">
        <v>789</v>
      </c>
      <c r="F427" s="4">
        <v>37.5665107999999</v>
      </c>
      <c r="G427" s="4">
        <v>122.3237287</v>
      </c>
    </row>
    <row r="428">
      <c r="A428" s="1">
        <v>425.0</v>
      </c>
      <c r="B428" s="3"/>
      <c r="C428" s="1">
        <v>4.0</v>
      </c>
      <c r="D428" s="1" t="s">
        <v>831</v>
      </c>
      <c r="E428" s="3" t="s">
        <v>789</v>
      </c>
      <c r="F428" s="4">
        <v>37.5674055</v>
      </c>
      <c r="G428" s="4">
        <v>122.324276099999</v>
      </c>
    </row>
    <row r="429">
      <c r="A429" s="1">
        <v>426.0</v>
      </c>
      <c r="B429" s="3"/>
      <c r="C429" s="1">
        <v>5.0</v>
      </c>
      <c r="D429" s="1" t="s">
        <v>832</v>
      </c>
      <c r="E429" s="3" t="s">
        <v>785</v>
      </c>
      <c r="F429" s="4">
        <v>37.590323</v>
      </c>
      <c r="G429" s="4">
        <v>122.34142</v>
      </c>
    </row>
    <row r="430">
      <c r="A430" s="1">
        <v>427.0</v>
      </c>
      <c r="B430" s="3"/>
      <c r="C430" s="1">
        <v>3.5</v>
      </c>
      <c r="D430" s="1" t="s">
        <v>833</v>
      </c>
      <c r="E430" s="3" t="s">
        <v>787</v>
      </c>
      <c r="F430" s="4">
        <v>37.6241</v>
      </c>
      <c r="G430" s="4">
        <v>122.41095</v>
      </c>
    </row>
    <row r="431">
      <c r="A431" s="1">
        <v>428.0</v>
      </c>
      <c r="B431" s="3"/>
      <c r="C431" s="1">
        <v>4.5</v>
      </c>
      <c r="D431" s="1" t="s">
        <v>834</v>
      </c>
      <c r="E431" s="3" t="s">
        <v>785</v>
      </c>
      <c r="F431" s="4">
        <v>37.5793126</v>
      </c>
      <c r="G431" s="4">
        <v>122.345740099999</v>
      </c>
    </row>
    <row r="432">
      <c r="A432" s="1">
        <v>429.0</v>
      </c>
      <c r="B432" s="3"/>
      <c r="C432" s="1">
        <v>4.0</v>
      </c>
      <c r="D432" s="1" t="s">
        <v>835</v>
      </c>
      <c r="E432" s="3" t="s">
        <v>789</v>
      </c>
      <c r="F432" s="4">
        <v>37.56167</v>
      </c>
      <c r="G432" s="4">
        <v>122.31891</v>
      </c>
    </row>
    <row r="433">
      <c r="A433" s="1">
        <v>430.0</v>
      </c>
      <c r="B433" s="3"/>
      <c r="C433" s="1">
        <v>3.0</v>
      </c>
      <c r="D433" s="1" t="s">
        <v>836</v>
      </c>
      <c r="E433" s="3" t="s">
        <v>796</v>
      </c>
      <c r="F433" s="4">
        <v>37.6007901</v>
      </c>
      <c r="G433" s="4">
        <v>122.3914315</v>
      </c>
    </row>
    <row r="434">
      <c r="A434" s="1">
        <v>431.0</v>
      </c>
      <c r="B434" s="3"/>
      <c r="C434" s="1">
        <v>4.0</v>
      </c>
      <c r="D434" s="1" t="s">
        <v>837</v>
      </c>
      <c r="E434" s="3" t="s">
        <v>789</v>
      </c>
      <c r="F434" s="4">
        <v>37.5621429</v>
      </c>
      <c r="G434" s="4">
        <v>122.3185051</v>
      </c>
    </row>
    <row r="435">
      <c r="A435" s="1">
        <v>432.0</v>
      </c>
      <c r="B435" s="3"/>
      <c r="C435" s="1">
        <v>4.5</v>
      </c>
      <c r="D435" s="1" t="s">
        <v>838</v>
      </c>
      <c r="E435" s="3" t="s">
        <v>796</v>
      </c>
      <c r="F435" s="4">
        <v>37.60147</v>
      </c>
      <c r="G435" s="4">
        <v>122.39148</v>
      </c>
    </row>
    <row r="436">
      <c r="A436" s="1">
        <v>433.0</v>
      </c>
      <c r="B436" s="3"/>
      <c r="C436" s="1">
        <v>3.5</v>
      </c>
      <c r="D436" s="1" t="s">
        <v>839</v>
      </c>
      <c r="E436" s="3" t="s">
        <v>408</v>
      </c>
      <c r="F436" s="4">
        <v>38.2640655855632</v>
      </c>
      <c r="G436" s="4">
        <v>122.050264324325</v>
      </c>
    </row>
    <row r="437">
      <c r="A437" s="1">
        <v>434.0</v>
      </c>
      <c r="B437" s="3"/>
      <c r="C437" s="1">
        <v>3.0</v>
      </c>
      <c r="D437" s="1" t="s">
        <v>840</v>
      </c>
      <c r="E437" s="3" t="s">
        <v>408</v>
      </c>
      <c r="F437" s="4">
        <v>38.2767099999999</v>
      </c>
      <c r="G437" s="4">
        <v>122.03353</v>
      </c>
    </row>
    <row r="438">
      <c r="A438" s="1">
        <v>435.0</v>
      </c>
      <c r="B438" s="3"/>
      <c r="C438" s="1">
        <v>4.0</v>
      </c>
      <c r="D438" s="1" t="s">
        <v>841</v>
      </c>
      <c r="E438" s="3" t="s">
        <v>842</v>
      </c>
      <c r="F438" s="4">
        <v>38.3353873467452</v>
      </c>
      <c r="G438" s="4">
        <v>121.954629868269</v>
      </c>
    </row>
    <row r="439">
      <c r="A439" s="1">
        <v>436.0</v>
      </c>
      <c r="B439" s="3"/>
      <c r="C439" s="1">
        <v>4.0</v>
      </c>
      <c r="D439" s="1" t="s">
        <v>843</v>
      </c>
      <c r="E439" s="3" t="s">
        <v>844</v>
      </c>
      <c r="F439" s="4">
        <v>38.24225</v>
      </c>
      <c r="G439" s="4">
        <v>122.01803</v>
      </c>
    </row>
    <row r="440">
      <c r="A440" s="1">
        <v>437.0</v>
      </c>
      <c r="B440" s="3"/>
      <c r="C440" s="1">
        <v>2.5</v>
      </c>
      <c r="D440" s="1" t="s">
        <v>845</v>
      </c>
      <c r="E440" s="3" t="s">
        <v>408</v>
      </c>
      <c r="F440" s="4">
        <v>38.2603729</v>
      </c>
      <c r="G440" s="4">
        <v>122.054640099999</v>
      </c>
    </row>
    <row r="441">
      <c r="A441" s="1">
        <v>438.0</v>
      </c>
      <c r="B441" s="3"/>
      <c r="C441" s="1">
        <v>4.0</v>
      </c>
      <c r="D441" s="1" t="s">
        <v>846</v>
      </c>
      <c r="E441" s="3" t="s">
        <v>408</v>
      </c>
      <c r="F441" s="4">
        <v>38.2890102925701</v>
      </c>
      <c r="G441" s="4">
        <v>122.033686637877</v>
      </c>
    </row>
    <row r="442">
      <c r="A442" s="1">
        <v>439.0</v>
      </c>
      <c r="B442" s="3"/>
      <c r="C442" s="1">
        <v>4.0</v>
      </c>
      <c r="D442" s="1" t="s">
        <v>847</v>
      </c>
      <c r="E442" s="3" t="s">
        <v>848</v>
      </c>
      <c r="F442" s="4">
        <v>37.9761596024036</v>
      </c>
      <c r="G442" s="4">
        <v>122.033636346459</v>
      </c>
    </row>
    <row r="443">
      <c r="A443" s="1">
        <v>440.0</v>
      </c>
      <c r="B443" s="3"/>
      <c r="C443" s="1">
        <v>4.0</v>
      </c>
      <c r="D443" s="1" t="s">
        <v>849</v>
      </c>
      <c r="E443" s="3" t="s">
        <v>850</v>
      </c>
      <c r="F443" s="4">
        <v>38.0108707398176</v>
      </c>
      <c r="G443" s="4">
        <v>121.868887022138</v>
      </c>
    </row>
    <row r="444">
      <c r="A444" s="1">
        <v>441.0</v>
      </c>
      <c r="B444" s="3"/>
      <c r="C444" s="1">
        <v>3.5</v>
      </c>
      <c r="D444" s="1" t="s">
        <v>851</v>
      </c>
      <c r="E444" s="3" t="s">
        <v>405</v>
      </c>
      <c r="F444" s="4">
        <v>38.1340827941895</v>
      </c>
      <c r="G444" s="4">
        <v>122.21915435791</v>
      </c>
    </row>
    <row r="445">
      <c r="A445" s="1">
        <v>442.0</v>
      </c>
      <c r="B445" s="3"/>
      <c r="C445" s="1">
        <v>4.5</v>
      </c>
      <c r="D445" s="1" t="s">
        <v>852</v>
      </c>
      <c r="E445" s="3" t="s">
        <v>853</v>
      </c>
      <c r="F445" s="4">
        <v>37.9369147127279</v>
      </c>
      <c r="G445" s="4">
        <v>121.698112115264</v>
      </c>
    </row>
    <row r="446">
      <c r="A446" s="1">
        <v>443.0</v>
      </c>
      <c r="B446" s="3"/>
      <c r="C446" s="1">
        <v>2.5</v>
      </c>
      <c r="D446" s="1" t="s">
        <v>854</v>
      </c>
      <c r="E446" s="3" t="s">
        <v>842</v>
      </c>
      <c r="F446" s="4">
        <v>38.3700576</v>
      </c>
      <c r="G446" s="4">
        <v>121.961772</v>
      </c>
    </row>
    <row r="447">
      <c r="A447" s="1">
        <v>444.0</v>
      </c>
      <c r="B447" s="3"/>
      <c r="C447" s="1">
        <v>4.0</v>
      </c>
      <c r="D447" s="1" t="s">
        <v>855</v>
      </c>
      <c r="E447" s="3" t="s">
        <v>856</v>
      </c>
      <c r="F447" s="4">
        <v>38.5541889</v>
      </c>
      <c r="G447" s="4">
        <v>121.7869827</v>
      </c>
    </row>
    <row r="448">
      <c r="A448" s="1">
        <v>445.0</v>
      </c>
      <c r="B448" s="3"/>
      <c r="C448" s="1">
        <v>3.0</v>
      </c>
      <c r="D448" s="1" t="s">
        <v>857</v>
      </c>
      <c r="E448" s="3" t="s">
        <v>405</v>
      </c>
      <c r="F448" s="4">
        <v>38.125256896019</v>
      </c>
      <c r="G448" s="4">
        <v>122.255262583494</v>
      </c>
    </row>
    <row r="449">
      <c r="A449" s="1">
        <v>446.0</v>
      </c>
      <c r="B449" s="3"/>
      <c r="C449" s="1">
        <v>4.5</v>
      </c>
      <c r="D449" s="1" t="s">
        <v>858</v>
      </c>
      <c r="E449" s="3" t="s">
        <v>842</v>
      </c>
      <c r="F449" s="4">
        <v>38.3703303337097</v>
      </c>
      <c r="G449" s="4">
        <v>121.959481313825</v>
      </c>
    </row>
    <row r="450">
      <c r="A450" s="1">
        <v>447.0</v>
      </c>
      <c r="B450" s="3"/>
      <c r="C450" s="1">
        <v>4.0</v>
      </c>
      <c r="D450" s="1" t="s">
        <v>859</v>
      </c>
      <c r="E450" s="3" t="s">
        <v>860</v>
      </c>
      <c r="F450" s="4">
        <v>38.00996</v>
      </c>
      <c r="G450" s="4">
        <v>122.270604</v>
      </c>
    </row>
    <row r="451">
      <c r="A451" s="1">
        <v>448.0</v>
      </c>
      <c r="B451" s="3"/>
      <c r="C451" s="1">
        <v>4.0</v>
      </c>
      <c r="D451" s="1" t="s">
        <v>861</v>
      </c>
      <c r="E451" s="3" t="s">
        <v>408</v>
      </c>
      <c r="F451" s="4">
        <v>38.26504</v>
      </c>
      <c r="G451" s="4">
        <v>122.033139999999</v>
      </c>
    </row>
    <row r="452">
      <c r="A452" s="1">
        <v>449.0</v>
      </c>
      <c r="B452" s="3"/>
      <c r="C452" s="1">
        <v>4.0</v>
      </c>
      <c r="D452" s="1" t="s">
        <v>862</v>
      </c>
      <c r="E452" s="3" t="s">
        <v>856</v>
      </c>
      <c r="F452" s="4">
        <v>38.5465253999999</v>
      </c>
      <c r="G452" s="4">
        <v>121.7607466</v>
      </c>
    </row>
    <row r="453">
      <c r="A453" s="1">
        <v>450.0</v>
      </c>
      <c r="B453" s="3"/>
      <c r="C453" s="1">
        <v>4.0</v>
      </c>
      <c r="D453" s="1" t="s">
        <v>863</v>
      </c>
      <c r="E453" s="3" t="s">
        <v>864</v>
      </c>
      <c r="F453" s="4">
        <v>37.9659262678636</v>
      </c>
      <c r="G453" s="4">
        <v>121.780671279596</v>
      </c>
    </row>
    <row r="454">
      <c r="A454" s="1">
        <v>451.0</v>
      </c>
      <c r="B454" s="3"/>
      <c r="C454" s="1">
        <v>3.5</v>
      </c>
      <c r="D454" s="1" t="s">
        <v>865</v>
      </c>
      <c r="E454" s="3" t="s">
        <v>848</v>
      </c>
      <c r="F454" s="4">
        <v>37.9749903198783</v>
      </c>
      <c r="G454" s="4">
        <v>122.038871629666</v>
      </c>
    </row>
    <row r="455">
      <c r="A455" s="1">
        <v>452.0</v>
      </c>
      <c r="B455" s="3"/>
      <c r="C455" s="1">
        <v>3.5</v>
      </c>
      <c r="D455" s="1" t="s">
        <v>866</v>
      </c>
      <c r="E455" s="3" t="s">
        <v>856</v>
      </c>
      <c r="F455" s="4">
        <v>38.5407655197016</v>
      </c>
      <c r="G455" s="4">
        <v>121.724717874066</v>
      </c>
    </row>
    <row r="456">
      <c r="A456" s="1">
        <v>453.0</v>
      </c>
      <c r="B456" s="3"/>
      <c r="C456" s="1">
        <v>3.5</v>
      </c>
      <c r="D456" s="1" t="s">
        <v>867</v>
      </c>
      <c r="E456" s="3" t="s">
        <v>856</v>
      </c>
      <c r="F456" s="4">
        <v>38.5465</v>
      </c>
      <c r="G456" s="4">
        <v>121.74006</v>
      </c>
    </row>
    <row r="457">
      <c r="A457" s="1">
        <v>454.0</v>
      </c>
      <c r="B457" s="3"/>
      <c r="C457" s="1">
        <v>4.0</v>
      </c>
      <c r="D457" s="1" t="s">
        <v>868</v>
      </c>
      <c r="E457" s="3" t="s">
        <v>869</v>
      </c>
      <c r="F457" s="4">
        <v>37.954766898894</v>
      </c>
      <c r="G457" s="4">
        <v>122.334166861144</v>
      </c>
    </row>
    <row r="458">
      <c r="A458" s="1">
        <v>455.0</v>
      </c>
      <c r="B458" s="3"/>
      <c r="C458" s="1">
        <v>3.5</v>
      </c>
      <c r="D458" s="1" t="s">
        <v>870</v>
      </c>
      <c r="E458" s="3" t="s">
        <v>848</v>
      </c>
      <c r="F458" s="4">
        <v>37.9776375471723</v>
      </c>
      <c r="G458" s="4">
        <v>122.034577466548</v>
      </c>
    </row>
    <row r="459">
      <c r="A459" s="1">
        <v>456.0</v>
      </c>
      <c r="B459" s="3"/>
      <c r="C459" s="1">
        <v>3.5</v>
      </c>
      <c r="D459" s="1" t="s">
        <v>871</v>
      </c>
      <c r="E459" s="3" t="s">
        <v>872</v>
      </c>
      <c r="F459" s="4">
        <v>37.96301</v>
      </c>
      <c r="G459" s="4">
        <v>122.31987</v>
      </c>
    </row>
    <row r="460">
      <c r="A460" s="1">
        <v>457.0</v>
      </c>
      <c r="B460" s="3"/>
      <c r="C460" s="1">
        <v>3.5</v>
      </c>
      <c r="D460" s="1" t="s">
        <v>873</v>
      </c>
      <c r="E460" s="3" t="s">
        <v>408</v>
      </c>
      <c r="F460" s="4">
        <v>38.25803</v>
      </c>
      <c r="G460" s="4">
        <v>122.03509</v>
      </c>
    </row>
    <row r="461">
      <c r="A461" s="1">
        <v>458.0</v>
      </c>
      <c r="B461" s="3"/>
      <c r="C461" s="1">
        <v>3.5</v>
      </c>
      <c r="D461" s="1" t="s">
        <v>874</v>
      </c>
      <c r="E461" s="3" t="s">
        <v>856</v>
      </c>
      <c r="F461" s="4">
        <v>38.5620003834934</v>
      </c>
      <c r="G461" s="4">
        <v>121.765583911777</v>
      </c>
    </row>
    <row r="462">
      <c r="A462" s="1">
        <v>459.0</v>
      </c>
      <c r="B462" s="3"/>
      <c r="C462" s="1">
        <v>3.5</v>
      </c>
      <c r="D462" s="1" t="s">
        <v>875</v>
      </c>
      <c r="E462" s="3" t="s">
        <v>844</v>
      </c>
      <c r="F462" s="4">
        <v>38.24225</v>
      </c>
      <c r="G462" s="4">
        <v>122.01803</v>
      </c>
    </row>
    <row r="463">
      <c r="A463" s="1">
        <v>460.0</v>
      </c>
      <c r="B463" s="3"/>
      <c r="C463" s="1">
        <v>3.5</v>
      </c>
      <c r="D463" s="1" t="s">
        <v>876</v>
      </c>
      <c r="E463" s="3" t="s">
        <v>856</v>
      </c>
      <c r="F463" s="4">
        <v>38.5436287</v>
      </c>
      <c r="G463" s="4">
        <v>121.7415001</v>
      </c>
    </row>
    <row r="464">
      <c r="A464" s="1">
        <v>461.0</v>
      </c>
      <c r="B464" s="3"/>
      <c r="C464" s="1">
        <v>4.5</v>
      </c>
      <c r="D464" s="1" t="s">
        <v>877</v>
      </c>
      <c r="E464" s="3" t="s">
        <v>853</v>
      </c>
      <c r="F464" s="4">
        <v>37.9603143999999</v>
      </c>
      <c r="G464" s="4">
        <v>121.7326581</v>
      </c>
    </row>
    <row r="465">
      <c r="A465" s="1">
        <v>462.0</v>
      </c>
      <c r="B465" s="3"/>
      <c r="C465" s="1">
        <v>4.0</v>
      </c>
      <c r="D465" s="1" t="s">
        <v>878</v>
      </c>
      <c r="E465" s="3" t="s">
        <v>856</v>
      </c>
      <c r="F465" s="4">
        <v>38.5430607163953</v>
      </c>
      <c r="G465" s="4">
        <v>121.740498058498</v>
      </c>
    </row>
    <row r="466">
      <c r="A466" s="1">
        <v>463.0</v>
      </c>
      <c r="B466" s="3"/>
      <c r="C466" s="1">
        <v>4.0</v>
      </c>
      <c r="D466" s="1" t="s">
        <v>879</v>
      </c>
      <c r="E466" s="3" t="s">
        <v>408</v>
      </c>
      <c r="F466" s="4">
        <v>38.29174</v>
      </c>
      <c r="G466" s="4">
        <v>122.03293</v>
      </c>
    </row>
    <row r="467">
      <c r="A467" s="1">
        <v>464.0</v>
      </c>
      <c r="B467" s="3"/>
      <c r="C467" s="1">
        <v>4.5</v>
      </c>
      <c r="D467" s="1" t="s">
        <v>880</v>
      </c>
      <c r="E467" s="3" t="s">
        <v>856</v>
      </c>
      <c r="F467" s="4">
        <v>38.5603285349925</v>
      </c>
      <c r="G467" s="4">
        <v>121.757062978432</v>
      </c>
    </row>
    <row r="468">
      <c r="A468" s="1">
        <v>465.0</v>
      </c>
      <c r="B468" s="3"/>
      <c r="C468" s="1">
        <v>3.5</v>
      </c>
      <c r="D468" s="1" t="s">
        <v>881</v>
      </c>
      <c r="E468" s="3" t="s">
        <v>856</v>
      </c>
      <c r="F468" s="4">
        <v>38.5436861078294</v>
      </c>
      <c r="G468" s="4">
        <v>121.746784233134</v>
      </c>
    </row>
    <row r="469">
      <c r="A469" s="1">
        <v>466.0</v>
      </c>
      <c r="B469" s="3"/>
      <c r="C469" s="1">
        <v>4.0</v>
      </c>
      <c r="D469" s="1" t="s">
        <v>862</v>
      </c>
      <c r="E469" s="3" t="s">
        <v>856</v>
      </c>
      <c r="F469" s="4">
        <v>38.5465253999999</v>
      </c>
      <c r="G469" s="4">
        <v>121.7607466</v>
      </c>
    </row>
    <row r="470">
      <c r="A470" s="1">
        <v>467.0</v>
      </c>
      <c r="B470" s="3"/>
      <c r="C470" s="1">
        <v>3.5</v>
      </c>
      <c r="D470" s="1" t="s">
        <v>882</v>
      </c>
      <c r="E470" s="3" t="s">
        <v>408</v>
      </c>
      <c r="F470" s="4">
        <v>38.2583578295892</v>
      </c>
      <c r="G470" s="4">
        <v>122.020811644487</v>
      </c>
    </row>
    <row r="471">
      <c r="A471" s="1">
        <v>468.0</v>
      </c>
      <c r="B471" s="3"/>
      <c r="C471" s="1">
        <v>4.5</v>
      </c>
      <c r="D471" s="1" t="s">
        <v>883</v>
      </c>
      <c r="E471" s="3" t="s">
        <v>850</v>
      </c>
      <c r="F471" s="4">
        <v>38.0329401103612</v>
      </c>
      <c r="G471" s="4">
        <v>121.882134117186</v>
      </c>
    </row>
    <row r="472">
      <c r="A472" s="1">
        <v>469.0</v>
      </c>
      <c r="B472" s="3"/>
      <c r="C472" s="1">
        <v>3.0</v>
      </c>
      <c r="D472" s="1" t="s">
        <v>839</v>
      </c>
      <c r="E472" s="3" t="s">
        <v>408</v>
      </c>
      <c r="F472" s="4">
        <v>38.263944</v>
      </c>
      <c r="G472" s="4">
        <v>122.050281</v>
      </c>
    </row>
    <row r="473">
      <c r="A473" s="1">
        <v>470.0</v>
      </c>
      <c r="B473" s="3"/>
      <c r="C473" s="1">
        <v>3.0</v>
      </c>
      <c r="D473" s="1" t="s">
        <v>875</v>
      </c>
      <c r="E473" s="3" t="s">
        <v>844</v>
      </c>
      <c r="F473" s="4">
        <v>38.24225</v>
      </c>
      <c r="G473" s="4">
        <v>122.01803</v>
      </c>
    </row>
    <row r="474">
      <c r="A474" s="1">
        <v>471.0</v>
      </c>
      <c r="B474" s="3"/>
      <c r="C474" s="1">
        <v>4.5</v>
      </c>
      <c r="D474" s="1" t="s">
        <v>884</v>
      </c>
      <c r="E474" s="3" t="s">
        <v>885</v>
      </c>
      <c r="F474" s="4">
        <v>38.0543339252472</v>
      </c>
      <c r="G474" s="4">
        <v>122.152609080076</v>
      </c>
    </row>
    <row r="475">
      <c r="A475" s="1">
        <v>472.0</v>
      </c>
      <c r="B475" s="3"/>
      <c r="C475" s="1">
        <v>4.0</v>
      </c>
      <c r="D475" s="1" t="s">
        <v>886</v>
      </c>
      <c r="E475" s="3" t="s">
        <v>887</v>
      </c>
      <c r="F475" s="4">
        <v>37.9952735900879</v>
      </c>
      <c r="G475" s="4">
        <v>122.285331726074</v>
      </c>
    </row>
    <row r="476">
      <c r="A476" s="1">
        <v>473.0</v>
      </c>
      <c r="B476" s="3"/>
      <c r="C476" s="1">
        <v>3.0</v>
      </c>
      <c r="D476" s="1" t="s">
        <v>888</v>
      </c>
      <c r="E476" s="3" t="s">
        <v>853</v>
      </c>
      <c r="F476" s="4">
        <v>37.946219</v>
      </c>
      <c r="G476" s="4">
        <v>121.738762</v>
      </c>
    </row>
    <row r="477">
      <c r="A477" s="1">
        <v>474.0</v>
      </c>
      <c r="B477" s="3"/>
      <c r="C477" s="1">
        <v>4.5</v>
      </c>
      <c r="D477" s="1" t="s">
        <v>889</v>
      </c>
      <c r="E477" s="3" t="s">
        <v>890</v>
      </c>
      <c r="F477" s="4">
        <v>37.9934616</v>
      </c>
      <c r="G477" s="4">
        <v>122.1024094</v>
      </c>
    </row>
    <row r="478">
      <c r="A478" s="1">
        <v>475.0</v>
      </c>
      <c r="B478" s="3"/>
      <c r="C478" s="1">
        <v>3.5</v>
      </c>
      <c r="D478" s="1" t="s">
        <v>891</v>
      </c>
      <c r="E478" s="3" t="s">
        <v>864</v>
      </c>
      <c r="F478" s="4">
        <v>38.004497387479</v>
      </c>
      <c r="G478" s="4">
        <v>121.799923304048</v>
      </c>
    </row>
    <row r="479">
      <c r="A479" s="1">
        <v>476.0</v>
      </c>
      <c r="B479" s="3"/>
      <c r="C479" s="1">
        <v>3.5</v>
      </c>
      <c r="D479" s="1" t="s">
        <v>892</v>
      </c>
      <c r="E479" s="3" t="s">
        <v>842</v>
      </c>
      <c r="F479" s="4">
        <v>38.3539886474609</v>
      </c>
      <c r="G479" s="4">
        <v>121.978248596191</v>
      </c>
    </row>
    <row r="480">
      <c r="A480" s="1">
        <v>477.0</v>
      </c>
      <c r="B480" s="3"/>
      <c r="C480" s="1">
        <v>4.0</v>
      </c>
      <c r="D480" s="1" t="s">
        <v>893</v>
      </c>
      <c r="E480" s="3" t="s">
        <v>255</v>
      </c>
      <c r="F480" s="4">
        <v>37.9297795146704</v>
      </c>
      <c r="G480" s="4">
        <v>122.016731053591</v>
      </c>
    </row>
    <row r="481">
      <c r="A481" s="1">
        <v>478.0</v>
      </c>
      <c r="B481" s="3"/>
      <c r="C481" s="1">
        <v>3.5</v>
      </c>
      <c r="D481" s="1" t="s">
        <v>894</v>
      </c>
      <c r="E481" s="3" t="s">
        <v>255</v>
      </c>
      <c r="F481" s="4">
        <v>37.9174137</v>
      </c>
      <c r="G481" s="4">
        <v>122.0375497</v>
      </c>
    </row>
    <row r="482">
      <c r="A482" s="1">
        <v>479.0</v>
      </c>
      <c r="B482" s="3"/>
      <c r="C482" s="1">
        <v>3.5</v>
      </c>
      <c r="D482" s="1" t="s">
        <v>895</v>
      </c>
      <c r="E482" s="3" t="s">
        <v>255</v>
      </c>
      <c r="F482" s="4">
        <v>37.8981</v>
      </c>
      <c r="G482" s="4">
        <v>122.06206</v>
      </c>
    </row>
    <row r="483">
      <c r="A483" s="1">
        <v>480.0</v>
      </c>
      <c r="B483" s="3"/>
      <c r="C483" s="1">
        <v>3.5</v>
      </c>
      <c r="D483" s="1" t="s">
        <v>896</v>
      </c>
      <c r="E483" s="3" t="s">
        <v>255</v>
      </c>
      <c r="F483" s="4">
        <v>37.9000639934234</v>
      </c>
      <c r="G483" s="4">
        <v>122.062495370938</v>
      </c>
    </row>
    <row r="484">
      <c r="A484" s="1">
        <v>481.0</v>
      </c>
      <c r="B484" s="3"/>
      <c r="C484" s="1">
        <v>4.0</v>
      </c>
      <c r="D484" s="1" t="s">
        <v>897</v>
      </c>
      <c r="E484" s="3" t="s">
        <v>649</v>
      </c>
      <c r="F484" s="4">
        <v>37.8227538431367</v>
      </c>
      <c r="G484" s="4">
        <v>122.001181084905</v>
      </c>
    </row>
    <row r="485">
      <c r="A485" s="1">
        <v>482.0</v>
      </c>
      <c r="B485" s="3"/>
      <c r="C485" s="1">
        <v>3.0</v>
      </c>
      <c r="D485" s="1" t="s">
        <v>898</v>
      </c>
      <c r="E485" s="3" t="s">
        <v>848</v>
      </c>
      <c r="F485" s="4">
        <v>37.97879750393</v>
      </c>
      <c r="G485" s="4">
        <v>121.992360118227</v>
      </c>
    </row>
    <row r="486">
      <c r="A486" s="1">
        <v>483.0</v>
      </c>
      <c r="B486" s="3"/>
      <c r="C486" s="1">
        <v>2.5</v>
      </c>
      <c r="D486" s="1" t="s">
        <v>899</v>
      </c>
      <c r="E486" s="3" t="s">
        <v>848</v>
      </c>
      <c r="F486" s="4">
        <v>37.9728660583496</v>
      </c>
      <c r="G486" s="4">
        <v>122.043716430664</v>
      </c>
    </row>
    <row r="487">
      <c r="A487" s="1">
        <v>484.0</v>
      </c>
      <c r="B487" s="3"/>
      <c r="C487" s="1">
        <v>3.5</v>
      </c>
      <c r="D487" s="1" t="s">
        <v>900</v>
      </c>
      <c r="E487" s="3" t="s">
        <v>255</v>
      </c>
      <c r="F487" s="4">
        <v>37.89883</v>
      </c>
      <c r="G487" s="4">
        <v>122.06105</v>
      </c>
    </row>
    <row r="488">
      <c r="A488" s="1">
        <v>485.0</v>
      </c>
      <c r="B488" s="3"/>
      <c r="C488" s="1">
        <v>4.5</v>
      </c>
      <c r="D488" s="1" t="s">
        <v>901</v>
      </c>
      <c r="E488" s="3" t="s">
        <v>902</v>
      </c>
      <c r="F488" s="4">
        <v>37.8353491</v>
      </c>
      <c r="G488" s="4">
        <v>122.1264706</v>
      </c>
    </row>
    <row r="489">
      <c r="A489" s="1">
        <v>486.0</v>
      </c>
      <c r="B489" s="3"/>
      <c r="C489" s="1">
        <v>4.0</v>
      </c>
      <c r="D489" s="1" t="s">
        <v>903</v>
      </c>
      <c r="E489" s="3" t="s">
        <v>904</v>
      </c>
      <c r="F489" s="4">
        <v>37.8906068</v>
      </c>
      <c r="G489" s="4">
        <v>122.127733299999</v>
      </c>
    </row>
    <row r="490">
      <c r="A490" s="1">
        <v>487.0</v>
      </c>
      <c r="B490" s="3"/>
      <c r="C490" s="1">
        <v>4.0</v>
      </c>
      <c r="D490" s="1" t="s">
        <v>905</v>
      </c>
      <c r="E490" s="3" t="s">
        <v>244</v>
      </c>
      <c r="F490" s="4">
        <v>37.94665</v>
      </c>
      <c r="G490" s="4">
        <v>122.061619999999</v>
      </c>
    </row>
    <row r="491">
      <c r="A491" s="1">
        <v>488.0</v>
      </c>
      <c r="B491" s="3"/>
      <c r="C491" s="1">
        <v>3.5</v>
      </c>
      <c r="D491" s="1" t="s">
        <v>906</v>
      </c>
      <c r="E491" s="3" t="s">
        <v>848</v>
      </c>
      <c r="F491" s="4">
        <v>37.9672766</v>
      </c>
      <c r="G491" s="4">
        <v>122.0621762</v>
      </c>
    </row>
    <row r="492">
      <c r="A492" s="1">
        <v>489.0</v>
      </c>
      <c r="B492" s="3"/>
      <c r="C492" s="1">
        <v>4.0</v>
      </c>
      <c r="D492" s="1" t="s">
        <v>907</v>
      </c>
      <c r="E492" s="3" t="s">
        <v>848</v>
      </c>
      <c r="F492" s="4">
        <v>37.95516</v>
      </c>
      <c r="G492" s="4">
        <v>122.04158</v>
      </c>
    </row>
    <row r="493">
      <c r="A493" s="1">
        <v>490.0</v>
      </c>
      <c r="B493" s="3"/>
      <c r="C493" s="1">
        <v>4.0</v>
      </c>
      <c r="D493" s="1" t="s">
        <v>908</v>
      </c>
      <c r="E493" s="3" t="s">
        <v>848</v>
      </c>
      <c r="F493" s="4">
        <v>37.9603599999999</v>
      </c>
      <c r="G493" s="4">
        <v>122.03578</v>
      </c>
    </row>
    <row r="494">
      <c r="A494" s="1">
        <v>491.0</v>
      </c>
      <c r="B494" s="3"/>
      <c r="C494" s="1">
        <v>3.5</v>
      </c>
      <c r="D494" s="1" t="s">
        <v>909</v>
      </c>
      <c r="E494" s="3" t="s">
        <v>848</v>
      </c>
      <c r="F494" s="4">
        <v>37.9762523253409</v>
      </c>
      <c r="G494" s="4">
        <v>122.037221553584</v>
      </c>
    </row>
    <row r="495">
      <c r="A495" s="1">
        <v>492.0</v>
      </c>
      <c r="B495" s="3"/>
      <c r="C495" s="1">
        <v>4.5</v>
      </c>
      <c r="D495" s="1" t="s">
        <v>895</v>
      </c>
      <c r="E495" s="3" t="s">
        <v>255</v>
      </c>
      <c r="F495" s="4">
        <v>37.8981</v>
      </c>
      <c r="G495" s="4">
        <v>122.06206</v>
      </c>
    </row>
    <row r="496">
      <c r="A496" s="1">
        <v>493.0</v>
      </c>
      <c r="B496" s="3"/>
      <c r="C496" s="1">
        <v>3.5</v>
      </c>
      <c r="D496" s="1" t="s">
        <v>910</v>
      </c>
      <c r="E496" s="3" t="s">
        <v>848</v>
      </c>
      <c r="F496" s="4">
        <v>37.974103</v>
      </c>
      <c r="G496" s="4">
        <v>122.041692</v>
      </c>
    </row>
    <row r="497">
      <c r="A497" s="1">
        <v>494.0</v>
      </c>
      <c r="B497" s="3"/>
      <c r="C497" s="1">
        <v>3.5</v>
      </c>
      <c r="D497" s="1" t="s">
        <v>911</v>
      </c>
      <c r="E497" s="3" t="s">
        <v>848</v>
      </c>
      <c r="F497" s="4">
        <v>37.974712</v>
      </c>
      <c r="G497" s="4">
        <v>122.039859</v>
      </c>
    </row>
    <row r="498">
      <c r="A498" s="1">
        <v>495.0</v>
      </c>
      <c r="B498" s="3"/>
      <c r="C498" s="1">
        <v>3.5</v>
      </c>
      <c r="D498" s="1" t="s">
        <v>912</v>
      </c>
      <c r="E498" s="3" t="s">
        <v>885</v>
      </c>
      <c r="F498" s="4">
        <v>38.04837</v>
      </c>
      <c r="G498" s="4">
        <v>122.15871</v>
      </c>
    </row>
    <row r="499">
      <c r="A499" s="1">
        <v>496.0</v>
      </c>
      <c r="B499" s="3"/>
      <c r="C499" s="1">
        <v>4.5</v>
      </c>
      <c r="D499" s="1" t="s">
        <v>913</v>
      </c>
      <c r="E499" s="3" t="s">
        <v>850</v>
      </c>
      <c r="F499" s="4">
        <v>38.0134741</v>
      </c>
      <c r="G499" s="4">
        <v>121.8905534</v>
      </c>
    </row>
    <row r="500">
      <c r="A500" s="1">
        <v>497.0</v>
      </c>
      <c r="B500" s="3"/>
      <c r="C500" s="1">
        <v>3.0</v>
      </c>
      <c r="D500" s="1" t="s">
        <v>914</v>
      </c>
      <c r="E500" s="3" t="s">
        <v>848</v>
      </c>
      <c r="F500" s="4">
        <v>37.97341</v>
      </c>
      <c r="G500" s="4">
        <v>122.0557</v>
      </c>
    </row>
    <row r="501">
      <c r="A501" s="1">
        <v>498.0</v>
      </c>
      <c r="B501" s="3"/>
      <c r="C501" s="1">
        <v>3.5</v>
      </c>
      <c r="D501" s="1" t="s">
        <v>915</v>
      </c>
      <c r="E501" s="3" t="s">
        <v>848</v>
      </c>
      <c r="F501" s="4">
        <v>37.97514</v>
      </c>
      <c r="G501" s="4">
        <v>122.03901</v>
      </c>
    </row>
    <row r="502">
      <c r="A502" s="1">
        <v>499.0</v>
      </c>
      <c r="B502" s="3"/>
      <c r="C502" s="1">
        <v>3.5</v>
      </c>
      <c r="D502" s="1" t="s">
        <v>916</v>
      </c>
      <c r="E502" s="3" t="s">
        <v>244</v>
      </c>
      <c r="F502" s="4">
        <v>37.980899</v>
      </c>
      <c r="G502" s="4">
        <v>122.068382</v>
      </c>
    </row>
    <row r="503">
      <c r="A503" s="1">
        <v>500.0</v>
      </c>
      <c r="B503" s="3" t="s">
        <v>917</v>
      </c>
      <c r="C503" s="1">
        <v>4.0</v>
      </c>
      <c r="D503" s="1" t="s">
        <v>918</v>
      </c>
      <c r="E503" s="3" t="s">
        <v>255</v>
      </c>
      <c r="F503" s="4">
        <v>37.9079856872558</v>
      </c>
      <c r="G503" s="4">
        <v>122.064300537108</v>
      </c>
    </row>
    <row r="504">
      <c r="A504" s="1">
        <v>501.0</v>
      </c>
      <c r="B504" s="3"/>
      <c r="C504" s="1">
        <v>3.5</v>
      </c>
      <c r="D504" s="1" t="s">
        <v>919</v>
      </c>
      <c r="E504" s="3" t="s">
        <v>904</v>
      </c>
      <c r="F504" s="4">
        <v>37.8916207</v>
      </c>
      <c r="G504" s="4">
        <v>122.1198696</v>
      </c>
    </row>
    <row r="505">
      <c r="A505" s="1">
        <v>502.0</v>
      </c>
      <c r="B505" s="3"/>
      <c r="C505" s="1">
        <v>4.5</v>
      </c>
      <c r="D505" s="1" t="s">
        <v>920</v>
      </c>
      <c r="E505" s="3" t="s">
        <v>885</v>
      </c>
      <c r="F505" s="4">
        <v>38.066112359505</v>
      </c>
      <c r="G505" s="4">
        <v>122.165491386026</v>
      </c>
    </row>
    <row r="506">
      <c r="A506" s="1">
        <v>503.0</v>
      </c>
      <c r="B506" s="3"/>
      <c r="C506" s="1">
        <v>4.5</v>
      </c>
      <c r="E506" s="3" t="s">
        <v>904</v>
      </c>
      <c r="F506" s="4">
        <v>37.89301</v>
      </c>
      <c r="G506" s="4">
        <v>122.12063</v>
      </c>
    </row>
    <row r="507">
      <c r="A507" s="1">
        <v>504.0</v>
      </c>
      <c r="B507" s="3"/>
      <c r="C507" s="1">
        <v>4.0</v>
      </c>
      <c r="D507" s="1" t="s">
        <v>921</v>
      </c>
      <c r="E507" s="3" t="s">
        <v>244</v>
      </c>
      <c r="F507" s="4">
        <v>37.9448334310086</v>
      </c>
      <c r="G507" s="4">
        <v>122.056119731669</v>
      </c>
    </row>
    <row r="508">
      <c r="A508" s="1">
        <v>505.0</v>
      </c>
      <c r="B508" s="3"/>
      <c r="C508" s="1">
        <v>5.0</v>
      </c>
      <c r="D508" s="1" t="s">
        <v>922</v>
      </c>
      <c r="E508" s="3" t="s">
        <v>850</v>
      </c>
      <c r="F508" s="4">
        <v>38.0136496</v>
      </c>
      <c r="G508" s="4">
        <v>121.8904874</v>
      </c>
    </row>
    <row r="509">
      <c r="A509" s="1">
        <v>506.0</v>
      </c>
      <c r="B509" s="3"/>
      <c r="C509" s="1">
        <v>4.0</v>
      </c>
      <c r="D509" s="1" t="s">
        <v>923</v>
      </c>
      <c r="E509" s="3" t="s">
        <v>220</v>
      </c>
      <c r="F509" s="4">
        <v>37.8261642</v>
      </c>
      <c r="G509" s="4">
        <v>122.209205599999</v>
      </c>
    </row>
    <row r="510">
      <c r="A510" s="1">
        <v>507.0</v>
      </c>
      <c r="B510" s="3"/>
      <c r="C510" s="1">
        <v>4.5</v>
      </c>
      <c r="D510" s="1" t="s">
        <v>924</v>
      </c>
      <c r="E510" s="3" t="s">
        <v>902</v>
      </c>
      <c r="F510" s="4">
        <v>37.8600274754793</v>
      </c>
      <c r="G510" s="4">
        <v>122.125603221525</v>
      </c>
    </row>
    <row r="511">
      <c r="A511" s="1">
        <v>508.0</v>
      </c>
      <c r="B511" s="3"/>
      <c r="C511" s="1">
        <v>3.5</v>
      </c>
      <c r="D511" s="1" t="s">
        <v>925</v>
      </c>
      <c r="E511" s="3" t="s">
        <v>864</v>
      </c>
      <c r="F511" s="4">
        <v>38.0000664</v>
      </c>
      <c r="G511" s="4">
        <v>121.841951799999</v>
      </c>
    </row>
    <row r="512">
      <c r="A512" s="1">
        <v>509.0</v>
      </c>
      <c r="B512" s="3"/>
      <c r="C512" s="1">
        <v>4.0</v>
      </c>
      <c r="D512" s="1" t="s">
        <v>926</v>
      </c>
      <c r="E512" s="3" t="s">
        <v>405</v>
      </c>
      <c r="F512" s="4">
        <v>38.1054840087891</v>
      </c>
      <c r="G512" s="4">
        <v>122.207710266113</v>
      </c>
    </row>
    <row r="513">
      <c r="A513" s="1">
        <v>510.0</v>
      </c>
      <c r="B513" s="3"/>
      <c r="C513" s="1">
        <v>4.0</v>
      </c>
      <c r="D513" s="1" t="s">
        <v>927</v>
      </c>
      <c r="E513" s="3" t="s">
        <v>848</v>
      </c>
      <c r="F513" s="4">
        <v>37.97514</v>
      </c>
      <c r="G513" s="4">
        <v>122.038739999999</v>
      </c>
    </row>
    <row r="514">
      <c r="A514" s="1">
        <v>511.0</v>
      </c>
      <c r="B514" s="3"/>
      <c r="C514" s="1">
        <v>3.5</v>
      </c>
      <c r="D514" s="1" t="s">
        <v>928</v>
      </c>
      <c r="E514" s="3" t="s">
        <v>890</v>
      </c>
      <c r="F514" s="4">
        <v>37.9969242</v>
      </c>
      <c r="G514" s="4">
        <v>122.1078972</v>
      </c>
    </row>
    <row r="515">
      <c r="A515" s="1">
        <v>512.0</v>
      </c>
      <c r="B515" s="3"/>
      <c r="C515" s="1">
        <v>4.0</v>
      </c>
      <c r="D515" s="1" t="s">
        <v>899</v>
      </c>
      <c r="E515" s="3" t="s">
        <v>848</v>
      </c>
      <c r="F515" s="4">
        <v>37.9728762316744</v>
      </c>
      <c r="G515" s="4">
        <v>122.043781183031</v>
      </c>
    </row>
    <row r="516">
      <c r="A516" s="1">
        <v>513.0</v>
      </c>
      <c r="B516" s="3"/>
      <c r="C516" s="1">
        <v>3.0</v>
      </c>
      <c r="D516" s="1" t="s">
        <v>929</v>
      </c>
      <c r="E516" s="3" t="s">
        <v>244</v>
      </c>
      <c r="F516" s="4">
        <v>37.9544806480407</v>
      </c>
      <c r="G516" s="4">
        <v>122.060296833515</v>
      </c>
    </row>
    <row r="517">
      <c r="A517" s="1">
        <v>514.0</v>
      </c>
      <c r="B517" s="3"/>
      <c r="C517" s="1">
        <v>3.5</v>
      </c>
      <c r="D517" s="1" t="s">
        <v>930</v>
      </c>
      <c r="E517" s="3" t="s">
        <v>850</v>
      </c>
      <c r="F517" s="4">
        <v>38.0068147913603</v>
      </c>
      <c r="G517" s="4">
        <v>121.841531507671</v>
      </c>
    </row>
    <row r="518">
      <c r="A518" s="1">
        <v>515.0</v>
      </c>
      <c r="B518" s="3"/>
      <c r="C518" s="1">
        <v>3.5</v>
      </c>
      <c r="D518" s="1" t="s">
        <v>931</v>
      </c>
      <c r="E518" s="3" t="s">
        <v>850</v>
      </c>
      <c r="F518" s="4">
        <v>38.0114778891117</v>
      </c>
      <c r="G518" s="4">
        <v>121.889719069004</v>
      </c>
    </row>
    <row r="519">
      <c r="A519" s="1">
        <v>516.0</v>
      </c>
      <c r="B519" s="3"/>
      <c r="C519" s="1">
        <v>4.0</v>
      </c>
      <c r="D519" s="1" t="s">
        <v>932</v>
      </c>
      <c r="E519" s="3" t="s">
        <v>864</v>
      </c>
      <c r="F519" s="4">
        <v>38.0040780947741</v>
      </c>
      <c r="G519" s="4">
        <v>121.844287128215</v>
      </c>
    </row>
    <row r="520">
      <c r="A520" s="1">
        <v>517.0</v>
      </c>
      <c r="B520" s="3"/>
      <c r="C520" s="1">
        <v>3.5</v>
      </c>
      <c r="D520" s="1" t="s">
        <v>933</v>
      </c>
      <c r="E520" s="3" t="s">
        <v>902</v>
      </c>
      <c r="F520" s="4">
        <v>37.8578085</v>
      </c>
      <c r="G520" s="4">
        <v>122.1258359</v>
      </c>
    </row>
    <row r="521">
      <c r="A521" s="1">
        <v>518.0</v>
      </c>
      <c r="B521" s="3"/>
      <c r="C521" s="1">
        <v>3.5</v>
      </c>
      <c r="D521" s="1" t="s">
        <v>934</v>
      </c>
      <c r="E521" s="3" t="s">
        <v>935</v>
      </c>
      <c r="F521" s="4">
        <v>37.8988113</v>
      </c>
      <c r="G521" s="4">
        <v>122.3075638</v>
      </c>
    </row>
    <row r="522">
      <c r="A522" s="1">
        <v>519.0</v>
      </c>
      <c r="B522" s="3"/>
      <c r="C522" s="1">
        <v>4.0</v>
      </c>
      <c r="D522" s="1" t="s">
        <v>934</v>
      </c>
      <c r="E522" s="3" t="s">
        <v>935</v>
      </c>
      <c r="F522" s="4">
        <v>37.8987543089592</v>
      </c>
      <c r="G522" s="4">
        <v>122.307458450512</v>
      </c>
    </row>
    <row r="523">
      <c r="A523" s="1">
        <v>520.0</v>
      </c>
      <c r="B523" s="3"/>
      <c r="C523" s="1">
        <v>3.5</v>
      </c>
      <c r="D523" s="1" t="s">
        <v>936</v>
      </c>
      <c r="E523" s="3" t="s">
        <v>937</v>
      </c>
      <c r="F523" s="4">
        <v>37.9131379268406</v>
      </c>
      <c r="G523" s="4">
        <v>122.309712024741</v>
      </c>
    </row>
    <row r="524">
      <c r="A524" s="1">
        <v>521.0</v>
      </c>
      <c r="B524" s="3"/>
      <c r="C524" s="1">
        <v>3.5</v>
      </c>
      <c r="D524" s="1" t="s">
        <v>938</v>
      </c>
      <c r="E524" s="3" t="s">
        <v>939</v>
      </c>
      <c r="F524" s="4">
        <v>37.9717057943344</v>
      </c>
      <c r="G524" s="4">
        <v>122.518760114908</v>
      </c>
    </row>
    <row r="525">
      <c r="A525" s="1">
        <v>522.0</v>
      </c>
      <c r="B525" s="3">
        <v>3.0</v>
      </c>
      <c r="C525" s="1">
        <v>3.5</v>
      </c>
      <c r="D525" s="1" t="s">
        <v>940</v>
      </c>
      <c r="E525" s="3" t="s">
        <v>939</v>
      </c>
      <c r="F525" s="4">
        <v>38.0039492652398</v>
      </c>
      <c r="G525" s="4">
        <v>122.5438844508</v>
      </c>
    </row>
    <row r="526">
      <c r="A526" s="1">
        <v>523.0</v>
      </c>
      <c r="B526" s="3"/>
      <c r="C526" s="1">
        <v>3.5</v>
      </c>
      <c r="D526" s="1" t="s">
        <v>934</v>
      </c>
      <c r="E526" s="3" t="s">
        <v>935</v>
      </c>
      <c r="F526" s="4">
        <v>37.89881</v>
      </c>
      <c r="G526" s="4">
        <v>122.30756</v>
      </c>
    </row>
    <row r="527">
      <c r="A527" s="1">
        <v>524.0</v>
      </c>
      <c r="B527" s="3"/>
      <c r="C527" s="1">
        <v>4.5</v>
      </c>
      <c r="D527" s="1" t="s">
        <v>941</v>
      </c>
      <c r="E527" s="3" t="s">
        <v>869</v>
      </c>
      <c r="F527" s="4">
        <v>37.966045</v>
      </c>
      <c r="G527" s="4">
        <v>122.343246</v>
      </c>
    </row>
    <row r="528">
      <c r="A528" s="1">
        <v>525.0</v>
      </c>
      <c r="B528" s="3"/>
      <c r="C528" s="1">
        <v>4.5</v>
      </c>
      <c r="D528" s="1" t="s">
        <v>942</v>
      </c>
      <c r="E528" s="3" t="s">
        <v>943</v>
      </c>
      <c r="F528" s="4">
        <v>37.9283378273249</v>
      </c>
      <c r="G528" s="4">
        <v>122.518047988414</v>
      </c>
    </row>
    <row r="529">
      <c r="A529" s="1">
        <v>526.0</v>
      </c>
      <c r="B529" s="3"/>
      <c r="C529" s="1">
        <v>3.0</v>
      </c>
      <c r="D529" s="1" t="s">
        <v>944</v>
      </c>
      <c r="E529" s="3" t="s">
        <v>937</v>
      </c>
      <c r="F529" s="4">
        <v>37.9012082234262</v>
      </c>
      <c r="G529" s="4">
        <v>122.299600839615</v>
      </c>
    </row>
    <row r="530">
      <c r="A530" s="1">
        <v>527.0</v>
      </c>
      <c r="B530" s="3"/>
      <c r="C530" s="1">
        <v>3.5</v>
      </c>
      <c r="D530" s="1" t="s">
        <v>945</v>
      </c>
      <c r="E530" s="3" t="s">
        <v>946</v>
      </c>
      <c r="F530" s="4">
        <v>37.8902299999999</v>
      </c>
      <c r="G530" s="4">
        <v>122.29626</v>
      </c>
    </row>
    <row r="531">
      <c r="A531" s="1">
        <v>528.0</v>
      </c>
      <c r="B531" s="3"/>
      <c r="C531" s="1">
        <v>3.5</v>
      </c>
      <c r="D531" s="1" t="s">
        <v>947</v>
      </c>
      <c r="E531" s="3" t="s">
        <v>227</v>
      </c>
      <c r="F531" s="4">
        <v>37.8680525</v>
      </c>
      <c r="G531" s="4">
        <v>122.258168</v>
      </c>
    </row>
    <row r="532">
      <c r="A532" s="1">
        <v>529.0</v>
      </c>
      <c r="B532" s="3"/>
      <c r="C532" s="1">
        <v>3.5</v>
      </c>
      <c r="D532" s="1" t="s">
        <v>948</v>
      </c>
      <c r="E532" s="3" t="s">
        <v>227</v>
      </c>
      <c r="F532" s="4">
        <v>37.86727</v>
      </c>
      <c r="G532" s="4">
        <v>122.25905</v>
      </c>
    </row>
    <row r="533">
      <c r="A533" s="1">
        <v>530.0</v>
      </c>
      <c r="B533" s="3"/>
      <c r="C533" s="1">
        <v>2.0</v>
      </c>
      <c r="D533" s="1" t="s">
        <v>934</v>
      </c>
      <c r="E533" s="3" t="s">
        <v>935</v>
      </c>
      <c r="F533" s="4">
        <v>37.8988979999999</v>
      </c>
      <c r="G533" s="4">
        <v>122.307341</v>
      </c>
    </row>
    <row r="534">
      <c r="A534" s="1">
        <v>531.0</v>
      </c>
      <c r="B534" s="3"/>
      <c r="C534" s="1">
        <v>3.0</v>
      </c>
      <c r="D534" s="1" t="s">
        <v>949</v>
      </c>
      <c r="E534" s="3" t="s">
        <v>939</v>
      </c>
      <c r="F534" s="4">
        <v>37.9733537</v>
      </c>
      <c r="G534" s="4">
        <v>122.528937999999</v>
      </c>
    </row>
    <row r="535">
      <c r="A535" s="1">
        <v>532.0</v>
      </c>
      <c r="B535" s="3"/>
      <c r="C535" s="1">
        <v>4.5</v>
      </c>
      <c r="D535" s="1" t="s">
        <v>950</v>
      </c>
      <c r="E535" s="3" t="s">
        <v>537</v>
      </c>
      <c r="F535" s="4">
        <v>37.67244</v>
      </c>
      <c r="G535" s="4">
        <v>122.08685</v>
      </c>
    </row>
    <row r="536">
      <c r="A536" s="1">
        <v>533.0</v>
      </c>
      <c r="B536" s="3"/>
      <c r="C536" s="1">
        <v>5.0</v>
      </c>
      <c r="D536" s="1" t="s">
        <v>951</v>
      </c>
      <c r="E536" s="3" t="s">
        <v>537</v>
      </c>
      <c r="F536" s="4">
        <v>37.6542332</v>
      </c>
      <c r="G536" s="4">
        <v>122.1048419</v>
      </c>
    </row>
    <row r="537">
      <c r="A537" s="1">
        <v>534.0</v>
      </c>
      <c r="B537" s="3"/>
      <c r="C537" s="1">
        <v>4.0</v>
      </c>
      <c r="D537" s="1" t="s">
        <v>952</v>
      </c>
      <c r="E537" s="3" t="s">
        <v>447</v>
      </c>
      <c r="F537" s="4">
        <v>37.7747421264647</v>
      </c>
      <c r="G537" s="4">
        <v>121.977684020996</v>
      </c>
    </row>
    <row r="538">
      <c r="A538" s="1">
        <v>535.0</v>
      </c>
      <c r="B538" s="3"/>
      <c r="C538" s="1">
        <v>3.5</v>
      </c>
      <c r="D538" s="1" t="s">
        <v>953</v>
      </c>
      <c r="E538" s="3" t="s">
        <v>85</v>
      </c>
      <c r="F538" s="4">
        <v>37.70864</v>
      </c>
      <c r="G538" s="4">
        <v>122.091339999999</v>
      </c>
    </row>
    <row r="539">
      <c r="A539" s="1">
        <v>536.0</v>
      </c>
      <c r="B539" s="3"/>
      <c r="C539" s="1">
        <v>2.5</v>
      </c>
      <c r="D539" s="1" t="s">
        <v>954</v>
      </c>
      <c r="E539" s="3" t="s">
        <v>537</v>
      </c>
      <c r="F539" s="4">
        <v>37.6443550220492</v>
      </c>
      <c r="G539" s="4">
        <v>122.104630560233</v>
      </c>
    </row>
    <row r="540">
      <c r="A540" s="1">
        <v>537.0</v>
      </c>
      <c r="B540" s="3"/>
      <c r="C540" s="1">
        <v>4.0</v>
      </c>
      <c r="D540" s="1" t="s">
        <v>955</v>
      </c>
      <c r="E540" s="3" t="s">
        <v>116</v>
      </c>
      <c r="F540" s="4">
        <v>37.7310477</v>
      </c>
      <c r="G540" s="4">
        <v>122.1605656</v>
      </c>
    </row>
    <row r="541">
      <c r="A541" s="1">
        <v>538.0</v>
      </c>
      <c r="B541" s="3"/>
      <c r="C541" s="1">
        <v>4.0</v>
      </c>
      <c r="D541" s="1" t="s">
        <v>956</v>
      </c>
      <c r="E541" s="3" t="s">
        <v>537</v>
      </c>
      <c r="F541" s="4">
        <v>37.652548372651</v>
      </c>
      <c r="G541" s="4">
        <v>122.106453901274</v>
      </c>
    </row>
    <row r="542">
      <c r="A542" s="1">
        <v>539.0</v>
      </c>
      <c r="B542" s="3"/>
      <c r="C542" s="1">
        <v>3.5</v>
      </c>
      <c r="D542" s="1" t="s">
        <v>957</v>
      </c>
      <c r="E542" s="3" t="s">
        <v>85</v>
      </c>
      <c r="F542" s="4">
        <v>37.69529</v>
      </c>
      <c r="G542" s="4">
        <v>122.07956</v>
      </c>
    </row>
    <row r="543">
      <c r="A543" s="1">
        <v>540.0</v>
      </c>
      <c r="B543" s="3"/>
      <c r="C543" s="1">
        <v>3.5</v>
      </c>
      <c r="D543" s="1" t="s">
        <v>958</v>
      </c>
      <c r="E543" s="3" t="s">
        <v>584</v>
      </c>
      <c r="F543" s="4">
        <v>37.2574696</v>
      </c>
      <c r="G543" s="4">
        <v>122.0335427</v>
      </c>
    </row>
    <row r="544">
      <c r="A544" s="1">
        <v>541.0</v>
      </c>
      <c r="B544" s="3"/>
      <c r="C544" s="1">
        <v>4.0</v>
      </c>
      <c r="E544" s="3" t="s">
        <v>82</v>
      </c>
      <c r="F544" s="4">
        <v>37.3136978149414</v>
      </c>
      <c r="G544" s="4">
        <v>121.946624755858</v>
      </c>
    </row>
    <row r="545">
      <c r="A545" s="1">
        <v>542.0</v>
      </c>
      <c r="B545" s="3"/>
      <c r="C545" s="1">
        <v>4.5</v>
      </c>
      <c r="D545" s="1" t="s">
        <v>959</v>
      </c>
      <c r="E545" s="3" t="s">
        <v>584</v>
      </c>
      <c r="F545" s="4">
        <v>37.282037944475</v>
      </c>
      <c r="G545" s="4">
        <v>122.03191663334</v>
      </c>
    </row>
    <row r="546">
      <c r="A546" s="1">
        <v>543.0</v>
      </c>
      <c r="B546" s="3"/>
      <c r="C546" s="1">
        <v>3.5</v>
      </c>
      <c r="D546" s="1" t="s">
        <v>960</v>
      </c>
      <c r="E546" s="3" t="s">
        <v>82</v>
      </c>
      <c r="F546" s="4">
        <v>37.3155981167824</v>
      </c>
      <c r="G546" s="4">
        <v>121.977282188172</v>
      </c>
    </row>
    <row r="547">
      <c r="A547" s="1">
        <v>544.0</v>
      </c>
      <c r="B547" s="3"/>
      <c r="C547" s="1">
        <v>4.5</v>
      </c>
      <c r="D547" s="1" t="s">
        <v>961</v>
      </c>
      <c r="E547" s="3" t="s">
        <v>962</v>
      </c>
      <c r="F547" s="4">
        <v>37.28691</v>
      </c>
      <c r="G547" s="4">
        <v>121.94397</v>
      </c>
    </row>
    <row r="548">
      <c r="A548" s="1">
        <v>545.0</v>
      </c>
      <c r="B548" s="3"/>
      <c r="C548" s="1">
        <v>3.5</v>
      </c>
      <c r="D548" s="1" t="s">
        <v>963</v>
      </c>
      <c r="E548" s="3" t="s">
        <v>962</v>
      </c>
      <c r="F548" s="4">
        <v>37.2784787</v>
      </c>
      <c r="G548" s="4">
        <v>121.9497792</v>
      </c>
    </row>
    <row r="549">
      <c r="A549" s="1">
        <v>546.0</v>
      </c>
      <c r="B549" s="3"/>
      <c r="C549" s="1">
        <v>2.5</v>
      </c>
      <c r="D549" s="1" t="s">
        <v>778</v>
      </c>
      <c r="E549" s="3" t="s">
        <v>348</v>
      </c>
      <c r="F549" s="4">
        <v>37.3260982962994</v>
      </c>
      <c r="G549" s="4">
        <v>121.944144442677</v>
      </c>
    </row>
    <row r="550">
      <c r="A550" s="1">
        <v>547.0</v>
      </c>
      <c r="B550" s="3"/>
      <c r="C550" s="1">
        <v>3.0</v>
      </c>
      <c r="D550" s="1" t="s">
        <v>964</v>
      </c>
      <c r="E550" s="3" t="s">
        <v>348</v>
      </c>
      <c r="F550" s="4">
        <v>37.3260983428105</v>
      </c>
      <c r="G550" s="4">
        <v>121.945618966269</v>
      </c>
    </row>
    <row r="551">
      <c r="A551" s="1">
        <v>548.0</v>
      </c>
      <c r="B551" s="3"/>
      <c r="C551" s="1">
        <v>3.5</v>
      </c>
      <c r="D551" s="1" t="s">
        <v>965</v>
      </c>
      <c r="E551" s="3" t="s">
        <v>962</v>
      </c>
      <c r="F551" s="4">
        <v>37.2878194445875</v>
      </c>
      <c r="G551" s="4">
        <v>121.975211858331</v>
      </c>
    </row>
    <row r="552">
      <c r="A552" s="1">
        <v>549.0</v>
      </c>
      <c r="B552" s="3"/>
      <c r="C552" s="1">
        <v>3.5</v>
      </c>
      <c r="D552" s="1" t="s">
        <v>966</v>
      </c>
      <c r="E552" s="3" t="s">
        <v>348</v>
      </c>
      <c r="F552" s="4">
        <v>37.33882</v>
      </c>
      <c r="G552" s="4">
        <v>121.99497</v>
      </c>
    </row>
    <row r="553">
      <c r="A553" s="1">
        <v>550.0</v>
      </c>
      <c r="B553" s="3"/>
      <c r="C553" s="1">
        <v>4.5</v>
      </c>
      <c r="D553" s="1" t="s">
        <v>967</v>
      </c>
      <c r="E553" s="3" t="s">
        <v>405</v>
      </c>
      <c r="F553" s="4">
        <v>38.133641</v>
      </c>
      <c r="G553" s="4">
        <v>122.222463999999</v>
      </c>
    </row>
    <row r="554">
      <c r="A554" s="1">
        <v>551.0</v>
      </c>
      <c r="B554" s="3"/>
      <c r="C554" s="1">
        <v>4.5</v>
      </c>
      <c r="D554" s="1" t="s">
        <v>968</v>
      </c>
      <c r="E554" s="3" t="s">
        <v>405</v>
      </c>
      <c r="F554" s="4">
        <v>38.1253132837656</v>
      </c>
      <c r="G554" s="4">
        <v>122.254159189761</v>
      </c>
    </row>
    <row r="555">
      <c r="A555" s="1">
        <v>552.0</v>
      </c>
      <c r="B555" s="3"/>
      <c r="C555" s="1">
        <v>4.0</v>
      </c>
      <c r="D555" s="1" t="s">
        <v>969</v>
      </c>
      <c r="E555" s="3" t="s">
        <v>405</v>
      </c>
      <c r="F555" s="4">
        <v>38.1266670227051</v>
      </c>
      <c r="G555" s="4">
        <v>122.256126403808</v>
      </c>
    </row>
    <row r="556">
      <c r="A556" s="1">
        <v>553.0</v>
      </c>
      <c r="B556" s="3"/>
      <c r="C556" s="1">
        <v>3.0</v>
      </c>
      <c r="D556" s="1" t="s">
        <v>970</v>
      </c>
      <c r="E556" s="3" t="s">
        <v>405</v>
      </c>
      <c r="F556" s="4">
        <v>38.1221466064453</v>
      </c>
      <c r="G556" s="4">
        <v>122.254501342773</v>
      </c>
    </row>
    <row r="557">
      <c r="A557" s="1">
        <v>554.0</v>
      </c>
      <c r="B557" s="3"/>
      <c r="C557" s="1">
        <v>3.0</v>
      </c>
      <c r="D557" s="1" t="s">
        <v>971</v>
      </c>
      <c r="E557" s="3" t="s">
        <v>405</v>
      </c>
      <c r="F557" s="4">
        <v>38.10589</v>
      </c>
      <c r="G557" s="4">
        <v>122.227089999999</v>
      </c>
    </row>
    <row r="558">
      <c r="A558" s="1">
        <v>555.0</v>
      </c>
      <c r="B558" s="3"/>
      <c r="C558" s="1">
        <v>3.5</v>
      </c>
      <c r="D558" s="1" t="s">
        <v>972</v>
      </c>
      <c r="E558" s="3" t="s">
        <v>405</v>
      </c>
      <c r="F558" s="4">
        <v>38.0837651342154</v>
      </c>
      <c r="G558" s="4">
        <v>122.211666628717</v>
      </c>
    </row>
    <row r="559">
      <c r="A559" s="1">
        <v>556.0</v>
      </c>
      <c r="B559" s="3"/>
      <c r="C559" s="1">
        <v>3.5</v>
      </c>
      <c r="D559" s="1" t="s">
        <v>973</v>
      </c>
      <c r="E559" s="3" t="s">
        <v>405</v>
      </c>
      <c r="F559" s="4">
        <v>38.1214397080506</v>
      </c>
      <c r="G559" s="4">
        <v>122.254726908082</v>
      </c>
    </row>
    <row r="560">
      <c r="A560" s="1">
        <v>557.0</v>
      </c>
      <c r="B560" s="3"/>
      <c r="C560" s="1">
        <v>3.0</v>
      </c>
      <c r="D560" s="1" t="s">
        <v>974</v>
      </c>
      <c r="E560" s="3" t="s">
        <v>405</v>
      </c>
      <c r="F560" s="4">
        <v>38.10499</v>
      </c>
      <c r="G560" s="4">
        <v>122.215319999999</v>
      </c>
    </row>
    <row r="561">
      <c r="A561" s="1">
        <v>558.0</v>
      </c>
      <c r="B561" s="3"/>
      <c r="C561" s="1">
        <v>4.5</v>
      </c>
      <c r="D561" s="1" t="s">
        <v>975</v>
      </c>
      <c r="E561" s="3" t="s">
        <v>405</v>
      </c>
      <c r="F561" s="4">
        <v>38.1238496636738</v>
      </c>
      <c r="G561" s="4">
        <v>122.253961014274</v>
      </c>
    </row>
    <row r="562">
      <c r="A562" s="1">
        <v>559.0</v>
      </c>
      <c r="B562" s="3"/>
      <c r="C562" s="1">
        <v>3.0</v>
      </c>
      <c r="D562" s="1" t="s">
        <v>976</v>
      </c>
      <c r="E562" s="3" t="s">
        <v>405</v>
      </c>
      <c r="F562" s="4">
        <v>38.1224127025498</v>
      </c>
      <c r="G562" s="4">
        <v>122.258621526624</v>
      </c>
    </row>
    <row r="563">
      <c r="A563" s="1">
        <v>560.0</v>
      </c>
      <c r="B563" s="3"/>
      <c r="C563" s="1">
        <v>3.0</v>
      </c>
      <c r="D563" s="1" t="s">
        <v>976</v>
      </c>
      <c r="E563" s="3" t="s">
        <v>405</v>
      </c>
      <c r="F563" s="4">
        <v>38.121818</v>
      </c>
      <c r="G563" s="4">
        <v>122.2554405</v>
      </c>
    </row>
    <row r="564">
      <c r="A564" s="1">
        <v>561.0</v>
      </c>
      <c r="B564" s="3"/>
      <c r="C564" s="1">
        <v>4.0</v>
      </c>
      <c r="D564" s="1" t="s">
        <v>977</v>
      </c>
      <c r="E564" s="3" t="s">
        <v>405</v>
      </c>
      <c r="F564" s="4">
        <v>38.1211891174316</v>
      </c>
      <c r="G564" s="4">
        <v>122.254600524902</v>
      </c>
    </row>
    <row r="565">
      <c r="A565" s="1">
        <v>562.0</v>
      </c>
      <c r="B565" s="3"/>
      <c r="C565" s="1">
        <v>4.0</v>
      </c>
      <c r="D565" s="1" t="s">
        <v>978</v>
      </c>
      <c r="E565" s="3" t="s">
        <v>817</v>
      </c>
      <c r="F565" s="4">
        <v>37.5189045</v>
      </c>
      <c r="G565" s="4">
        <v>122.2744648</v>
      </c>
    </row>
    <row r="566">
      <c r="A566" s="1">
        <v>563.0</v>
      </c>
      <c r="B566" s="3"/>
      <c r="C566" s="1">
        <v>4.0</v>
      </c>
      <c r="D566" s="1" t="s">
        <v>979</v>
      </c>
      <c r="E566" s="3" t="s">
        <v>811</v>
      </c>
      <c r="F566" s="4">
        <v>37.5452836454887</v>
      </c>
      <c r="G566" s="4">
        <v>122.27046500734</v>
      </c>
    </row>
    <row r="567">
      <c r="A567" s="1">
        <v>564.0</v>
      </c>
      <c r="B567" s="3"/>
      <c r="C567" s="1">
        <v>3.5</v>
      </c>
      <c r="D567" s="1" t="s">
        <v>980</v>
      </c>
      <c r="E567" s="3" t="s">
        <v>811</v>
      </c>
      <c r="F567" s="4">
        <v>37.5532937</v>
      </c>
      <c r="G567" s="4">
        <v>122.2565492</v>
      </c>
    </row>
    <row r="568">
      <c r="A568" s="1">
        <v>565.0</v>
      </c>
      <c r="B568" s="3"/>
      <c r="C568" s="1">
        <v>3.5</v>
      </c>
      <c r="E568" s="3" t="s">
        <v>817</v>
      </c>
      <c r="F568" s="4">
        <v>37.5240325927734</v>
      </c>
      <c r="G568" s="4">
        <v>122.279075622558</v>
      </c>
    </row>
    <row r="569">
      <c r="A569" s="1">
        <v>566.0</v>
      </c>
      <c r="B569" s="3"/>
      <c r="C569" s="1">
        <v>3.0</v>
      </c>
      <c r="D569" s="1" t="s">
        <v>981</v>
      </c>
      <c r="E569" s="3" t="s">
        <v>789</v>
      </c>
      <c r="F569" s="4">
        <v>37.5444118546376</v>
      </c>
      <c r="G569" s="4">
        <v>122.284796650842</v>
      </c>
    </row>
    <row r="570">
      <c r="A570" s="1">
        <v>567.0</v>
      </c>
      <c r="B570" s="3"/>
      <c r="C570" s="1">
        <v>3.5</v>
      </c>
      <c r="D570" s="1" t="s">
        <v>982</v>
      </c>
      <c r="E570" s="3" t="s">
        <v>811</v>
      </c>
      <c r="F570" s="4">
        <v>37.5446131174646</v>
      </c>
      <c r="G570" s="4">
        <v>122.270425803511</v>
      </c>
    </row>
    <row r="571">
      <c r="A571" s="1">
        <v>568.0</v>
      </c>
      <c r="B571" s="3"/>
      <c r="C571" s="1">
        <v>3.0</v>
      </c>
      <c r="D571" s="1" t="s">
        <v>983</v>
      </c>
      <c r="E571" s="3" t="s">
        <v>789</v>
      </c>
      <c r="F571" s="4">
        <v>37.5452652</v>
      </c>
      <c r="G571" s="4">
        <v>122.284477099999</v>
      </c>
    </row>
    <row r="572">
      <c r="A572" s="1">
        <v>569.0</v>
      </c>
      <c r="B572" s="3"/>
      <c r="C572" s="1">
        <v>4.5</v>
      </c>
      <c r="E572" s="3" t="s">
        <v>66</v>
      </c>
      <c r="F572" s="4">
        <v>37.3931694030762</v>
      </c>
      <c r="G572" s="4">
        <v>122.085517883301</v>
      </c>
    </row>
    <row r="573">
      <c r="A573" s="1">
        <v>570.0</v>
      </c>
      <c r="B573" s="3"/>
      <c r="C573" s="1">
        <v>3.0</v>
      </c>
      <c r="D573" s="1" t="s">
        <v>984</v>
      </c>
      <c r="E573" s="3" t="s">
        <v>789</v>
      </c>
      <c r="F573" s="4">
        <v>37.5445885811679</v>
      </c>
      <c r="G573" s="4">
        <v>122.284968805751</v>
      </c>
    </row>
    <row r="574">
      <c r="A574" s="1">
        <v>571.0</v>
      </c>
      <c r="B574" s="3"/>
      <c r="C574" s="1">
        <v>3.5</v>
      </c>
      <c r="D574" s="1" t="s">
        <v>985</v>
      </c>
      <c r="E574" s="3" t="s">
        <v>789</v>
      </c>
      <c r="F574" s="4">
        <v>37.5447841763127</v>
      </c>
      <c r="G574" s="4">
        <v>122.284946071312</v>
      </c>
    </row>
    <row r="575">
      <c r="A575" s="1">
        <v>572.0</v>
      </c>
      <c r="B575" s="3"/>
      <c r="C575" s="1">
        <v>3.0</v>
      </c>
      <c r="D575" s="1" t="s">
        <v>986</v>
      </c>
      <c r="E575" s="3" t="s">
        <v>534</v>
      </c>
      <c r="F575" s="4">
        <v>37.5224668331409</v>
      </c>
      <c r="G575" s="4">
        <v>122.251625135719</v>
      </c>
    </row>
    <row r="576">
      <c r="A576" s="1">
        <v>573.0</v>
      </c>
      <c r="B576" s="3"/>
      <c r="C576" s="1">
        <v>3.5</v>
      </c>
      <c r="D576" s="1" t="s">
        <v>987</v>
      </c>
      <c r="E576" s="3" t="s">
        <v>116</v>
      </c>
      <c r="F576" s="4">
        <v>37.7215444</v>
      </c>
      <c r="G576" s="4">
        <v>122.1509912</v>
      </c>
    </row>
    <row r="577">
      <c r="A577" s="1">
        <v>574.0</v>
      </c>
      <c r="B577" s="3"/>
      <c r="C577" s="1">
        <v>3.5</v>
      </c>
      <c r="D577" s="1" t="s">
        <v>988</v>
      </c>
      <c r="E577" s="3" t="s">
        <v>116</v>
      </c>
      <c r="F577" s="4">
        <v>37.7239999</v>
      </c>
      <c r="G577" s="4">
        <v>122.15511</v>
      </c>
    </row>
    <row r="578">
      <c r="A578" s="1">
        <v>575.0</v>
      </c>
      <c r="B578" s="3"/>
      <c r="C578" s="1">
        <v>2.5</v>
      </c>
      <c r="D578" s="1" t="s">
        <v>989</v>
      </c>
      <c r="E578" s="3" t="s">
        <v>116</v>
      </c>
      <c r="F578" s="4">
        <v>37.6978340148926</v>
      </c>
      <c r="G578" s="4">
        <v>122.130355834961</v>
      </c>
    </row>
    <row r="579">
      <c r="A579" s="1">
        <v>576.0</v>
      </c>
      <c r="B579" s="3"/>
      <c r="C579" s="1">
        <v>3.5</v>
      </c>
      <c r="D579" s="1" t="s">
        <v>990</v>
      </c>
      <c r="E579" s="3" t="s">
        <v>116</v>
      </c>
      <c r="F579" s="4">
        <v>37.7240845354245</v>
      </c>
      <c r="G579" s="4">
        <v>122.154812393848</v>
      </c>
    </row>
    <row r="580">
      <c r="A580" s="1">
        <v>577.0</v>
      </c>
      <c r="B580" s="3"/>
      <c r="C580" s="1">
        <v>3.5</v>
      </c>
      <c r="D580" s="1" t="s">
        <v>991</v>
      </c>
      <c r="E580" s="3" t="s">
        <v>116</v>
      </c>
      <c r="F580" s="4">
        <v>37.69982</v>
      </c>
      <c r="G580" s="4">
        <v>122.175639999999</v>
      </c>
    </row>
    <row r="581">
      <c r="A581" s="1">
        <v>578.0</v>
      </c>
      <c r="B581" s="3"/>
      <c r="C581" s="1">
        <v>2.0</v>
      </c>
      <c r="D581" s="1" t="s">
        <v>992</v>
      </c>
      <c r="E581" s="3" t="s">
        <v>116</v>
      </c>
      <c r="F581" s="4">
        <v>37.7026172</v>
      </c>
      <c r="G581" s="4">
        <v>122.1272393</v>
      </c>
    </row>
    <row r="582">
      <c r="A582" s="1">
        <v>579.0</v>
      </c>
      <c r="B582" s="3"/>
      <c r="C582" s="1">
        <v>4.0</v>
      </c>
      <c r="D582" s="1" t="s">
        <v>993</v>
      </c>
      <c r="E582" s="3" t="s">
        <v>116</v>
      </c>
      <c r="F582" s="4">
        <v>37.7228</v>
      </c>
      <c r="G582" s="4">
        <v>122.155194</v>
      </c>
    </row>
    <row r="583">
      <c r="A583" s="1">
        <v>580.0</v>
      </c>
      <c r="B583" s="3"/>
      <c r="C583" s="1">
        <v>3.5</v>
      </c>
      <c r="D583" s="1" t="s">
        <v>994</v>
      </c>
      <c r="E583" s="3" t="s">
        <v>116</v>
      </c>
      <c r="F583" s="4">
        <v>37.6799806952477</v>
      </c>
      <c r="G583" s="4">
        <v>122.154671028255</v>
      </c>
    </row>
    <row r="584">
      <c r="A584" s="1">
        <v>581.0</v>
      </c>
      <c r="B584" s="3"/>
      <c r="C584" s="1">
        <v>4.5</v>
      </c>
      <c r="D584" s="1" t="s">
        <v>953</v>
      </c>
      <c r="E584" s="3" t="s">
        <v>85</v>
      </c>
      <c r="F584" s="4">
        <v>37.70864</v>
      </c>
      <c r="G584" s="4">
        <v>122.091339999999</v>
      </c>
    </row>
    <row r="585">
      <c r="A585" s="1">
        <v>582.0</v>
      </c>
      <c r="B585" s="3"/>
      <c r="C585" s="1">
        <v>4.0</v>
      </c>
      <c r="D585" s="1" t="s">
        <v>995</v>
      </c>
      <c r="E585" s="3" t="s">
        <v>116</v>
      </c>
      <c r="F585" s="4">
        <v>37.7229449751301</v>
      </c>
      <c r="G585" s="4">
        <v>122.153543170361</v>
      </c>
    </row>
    <row r="586">
      <c r="A586" s="1">
        <v>583.0</v>
      </c>
      <c r="B586" s="3"/>
      <c r="C586" s="1">
        <v>3.5</v>
      </c>
      <c r="D586" s="1" t="s">
        <v>996</v>
      </c>
      <c r="E586" s="3" t="s">
        <v>997</v>
      </c>
      <c r="F586" s="4">
        <v>37.6729889960688</v>
      </c>
      <c r="G586" s="4">
        <v>122.122139773525</v>
      </c>
    </row>
    <row r="587">
      <c r="A587" s="1">
        <v>584.0</v>
      </c>
      <c r="B587" s="3"/>
      <c r="C587" s="1">
        <v>3.5</v>
      </c>
      <c r="D587" s="1" t="s">
        <v>998</v>
      </c>
      <c r="E587" s="3" t="s">
        <v>233</v>
      </c>
      <c r="F587" s="4">
        <v>37.76273</v>
      </c>
      <c r="G587" s="4">
        <v>122.24497</v>
      </c>
    </row>
    <row r="588">
      <c r="A588" s="1">
        <v>585.0</v>
      </c>
      <c r="B588" s="3"/>
      <c r="C588" s="1">
        <v>2.5</v>
      </c>
      <c r="D588" s="1" t="s">
        <v>289</v>
      </c>
      <c r="E588" s="3" t="s">
        <v>116</v>
      </c>
      <c r="F588" s="4">
        <v>37.7236583501576</v>
      </c>
      <c r="G588" s="4">
        <v>122.154530547558</v>
      </c>
    </row>
    <row r="589">
      <c r="A589" s="1">
        <v>586.0</v>
      </c>
      <c r="B589" s="3"/>
      <c r="C589" s="1">
        <v>3.0</v>
      </c>
      <c r="D589" s="1" t="s">
        <v>999</v>
      </c>
      <c r="E589" s="3" t="s">
        <v>85</v>
      </c>
      <c r="F589" s="4">
        <v>37.6947791129351</v>
      </c>
      <c r="G589" s="4">
        <v>122.073979452252</v>
      </c>
    </row>
    <row r="590">
      <c r="A590" s="1">
        <v>587.0</v>
      </c>
      <c r="B590" s="3"/>
      <c r="C590" s="1">
        <v>2.0</v>
      </c>
      <c r="D590" s="1" t="s">
        <v>1000</v>
      </c>
      <c r="E590" s="3" t="s">
        <v>116</v>
      </c>
      <c r="F590" s="4">
        <v>37.7154007</v>
      </c>
      <c r="G590" s="4">
        <v>122.1423264</v>
      </c>
    </row>
    <row r="591">
      <c r="A591" s="1">
        <v>588.0</v>
      </c>
      <c r="B591" s="3"/>
      <c r="C591" s="1">
        <v>3.5</v>
      </c>
      <c r="D591" s="1" t="s">
        <v>1001</v>
      </c>
      <c r="E591" s="3" t="s">
        <v>116</v>
      </c>
      <c r="F591" s="4">
        <v>37.702842</v>
      </c>
      <c r="G591" s="4">
        <v>122.142028</v>
      </c>
    </row>
    <row r="592">
      <c r="A592" s="1">
        <v>589.0</v>
      </c>
      <c r="B592" s="3"/>
      <c r="C592" s="1">
        <v>3.5</v>
      </c>
      <c r="D592" s="1" t="s">
        <v>252</v>
      </c>
      <c r="E592" s="3" t="s">
        <v>233</v>
      </c>
      <c r="F592" s="4">
        <v>37.76394</v>
      </c>
      <c r="G592" s="4">
        <v>122.24266</v>
      </c>
    </row>
    <row r="593">
      <c r="A593" s="1">
        <v>590.0</v>
      </c>
      <c r="B593" s="3"/>
      <c r="C593" s="1">
        <v>4.5</v>
      </c>
      <c r="D593" s="1" t="s">
        <v>1002</v>
      </c>
      <c r="E593" s="3" t="s">
        <v>220</v>
      </c>
      <c r="F593" s="4">
        <v>37.78606</v>
      </c>
      <c r="G593" s="4">
        <v>122.24101</v>
      </c>
    </row>
    <row r="594">
      <c r="A594" s="1">
        <v>591.0</v>
      </c>
      <c r="B594" s="3"/>
      <c r="C594" s="1">
        <v>4.5</v>
      </c>
      <c r="D594" s="1" t="s">
        <v>953</v>
      </c>
      <c r="E594" s="3" t="s">
        <v>85</v>
      </c>
      <c r="F594" s="4">
        <v>37.70864</v>
      </c>
      <c r="G594" s="4">
        <v>122.091339999999</v>
      </c>
    </row>
    <row r="595">
      <c r="A595" s="1">
        <v>592.0</v>
      </c>
      <c r="B595" s="3"/>
      <c r="C595" s="1">
        <v>3.5</v>
      </c>
      <c r="D595" s="1" t="s">
        <v>1003</v>
      </c>
      <c r="E595" s="3" t="s">
        <v>233</v>
      </c>
      <c r="F595" s="4">
        <v>37.765703473918</v>
      </c>
      <c r="G595" s="4">
        <v>122.242378592491</v>
      </c>
    </row>
    <row r="596">
      <c r="A596" s="1">
        <v>593.0</v>
      </c>
      <c r="B596" s="3"/>
      <c r="C596" s="1">
        <v>4.5</v>
      </c>
      <c r="D596" s="1" t="s">
        <v>1004</v>
      </c>
      <c r="E596" s="3" t="s">
        <v>537</v>
      </c>
      <c r="F596" s="4">
        <v>37.6651882648286</v>
      </c>
      <c r="G596" s="4">
        <v>122.116480568499</v>
      </c>
    </row>
    <row r="597">
      <c r="A597" s="1">
        <v>594.0</v>
      </c>
      <c r="B597" s="3"/>
      <c r="C597" s="1">
        <v>4.0</v>
      </c>
      <c r="D597" s="1" t="s">
        <v>1005</v>
      </c>
      <c r="E597" s="3" t="s">
        <v>116</v>
      </c>
      <c r="F597" s="4">
        <v>37.72437</v>
      </c>
      <c r="G597" s="4">
        <v>122.155085</v>
      </c>
    </row>
    <row r="598">
      <c r="A598" s="1">
        <v>595.0</v>
      </c>
      <c r="B598" s="3"/>
      <c r="C598" s="1">
        <v>3.5</v>
      </c>
      <c r="D598" s="1" t="s">
        <v>1006</v>
      </c>
      <c r="E598" s="3" t="s">
        <v>116</v>
      </c>
      <c r="F598" s="4">
        <v>37.71929</v>
      </c>
      <c r="G598" s="4">
        <v>122.14865</v>
      </c>
    </row>
    <row r="599">
      <c r="A599" s="1">
        <v>596.0</v>
      </c>
      <c r="B599" s="3"/>
      <c r="C599" s="1">
        <v>3.5</v>
      </c>
      <c r="D599" s="1" t="s">
        <v>1007</v>
      </c>
      <c r="E599" s="3" t="s">
        <v>116</v>
      </c>
      <c r="F599" s="4">
        <v>37.6906647206597</v>
      </c>
      <c r="G599" s="4">
        <v>122.151571007974</v>
      </c>
    </row>
    <row r="600">
      <c r="A600" s="1">
        <v>597.0</v>
      </c>
      <c r="B600" s="3"/>
      <c r="C600" s="1">
        <v>4.0</v>
      </c>
      <c r="D600" s="1" t="s">
        <v>1008</v>
      </c>
      <c r="E600" s="3" t="s">
        <v>997</v>
      </c>
      <c r="F600" s="4">
        <v>37.6770314768334</v>
      </c>
      <c r="G600" s="4">
        <v>122.142561774295</v>
      </c>
    </row>
    <row r="601">
      <c r="A601" s="1">
        <v>598.0</v>
      </c>
      <c r="B601" s="3"/>
      <c r="C601" s="1">
        <v>4.0</v>
      </c>
      <c r="D601" s="1" t="s">
        <v>1009</v>
      </c>
      <c r="E601" s="3" t="s">
        <v>537</v>
      </c>
      <c r="F601" s="4">
        <v>37.631869</v>
      </c>
      <c r="G601" s="4">
        <v>122.075384</v>
      </c>
    </row>
    <row r="602">
      <c r="A602" s="1">
        <v>599.0</v>
      </c>
      <c r="B602" s="3"/>
      <c r="C602" s="1">
        <v>3.5</v>
      </c>
      <c r="D602" s="1" t="s">
        <v>1010</v>
      </c>
      <c r="E602" s="3" t="s">
        <v>116</v>
      </c>
      <c r="F602" s="4">
        <v>37.6795</v>
      </c>
      <c r="G602" s="4">
        <v>122.154789999999</v>
      </c>
    </row>
    <row r="603">
      <c r="A603" s="1">
        <v>600.0</v>
      </c>
      <c r="B603" s="3"/>
      <c r="C603" s="1">
        <v>4.0</v>
      </c>
      <c r="D603" s="1" t="s">
        <v>1011</v>
      </c>
      <c r="E603" s="3" t="s">
        <v>537</v>
      </c>
      <c r="F603" s="4">
        <v>37.651128</v>
      </c>
      <c r="G603" s="4">
        <v>122.101295999999</v>
      </c>
    </row>
    <row r="604">
      <c r="A604" s="1">
        <v>601.0</v>
      </c>
      <c r="B604" s="3"/>
      <c r="C604" s="1">
        <v>4.0</v>
      </c>
      <c r="D604" s="1" t="s">
        <v>1012</v>
      </c>
      <c r="E604" s="3" t="s">
        <v>537</v>
      </c>
      <c r="F604" s="4">
        <v>37.67355</v>
      </c>
      <c r="G604" s="4">
        <v>122.081139999999</v>
      </c>
    </row>
    <row r="605">
      <c r="A605" s="1">
        <v>602.0</v>
      </c>
      <c r="B605" s="3"/>
      <c r="C605" s="1">
        <v>3.0</v>
      </c>
      <c r="D605" s="1" t="s">
        <v>1013</v>
      </c>
      <c r="E605" s="3" t="s">
        <v>116</v>
      </c>
      <c r="F605" s="4">
        <v>37.7001159999999</v>
      </c>
      <c r="G605" s="4">
        <v>122.126858</v>
      </c>
    </row>
    <row r="606">
      <c r="F606" s="4"/>
      <c r="G606" s="4"/>
    </row>
    <row r="607">
      <c r="F607" s="4"/>
      <c r="G607" s="4"/>
    </row>
    <row r="608">
      <c r="F608" s="4"/>
      <c r="G608" s="4"/>
    </row>
    <row r="609">
      <c r="F609" s="4"/>
      <c r="G609" s="4"/>
    </row>
    <row r="610">
      <c r="F610" s="4"/>
      <c r="G610" s="4"/>
    </row>
    <row r="611">
      <c r="F611" s="4"/>
      <c r="G611" s="4"/>
    </row>
    <row r="612">
      <c r="F612" s="4"/>
      <c r="G612" s="4"/>
    </row>
    <row r="613">
      <c r="F613" s="4"/>
      <c r="G613" s="4"/>
    </row>
    <row r="614">
      <c r="F614" s="4"/>
      <c r="G614" s="4"/>
    </row>
    <row r="615">
      <c r="F615" s="4"/>
      <c r="G615" s="4"/>
    </row>
    <row r="616">
      <c r="F616" s="4"/>
      <c r="G616" s="4"/>
    </row>
    <row r="617">
      <c r="F617" s="4"/>
      <c r="G617" s="4"/>
    </row>
    <row r="618">
      <c r="F618" s="4"/>
      <c r="G618" s="4"/>
    </row>
    <row r="619">
      <c r="F619" s="4"/>
      <c r="G619" s="4"/>
    </row>
    <row r="620">
      <c r="F620" s="4"/>
      <c r="G620" s="4"/>
    </row>
    <row r="621">
      <c r="F621" s="4"/>
      <c r="G621" s="4"/>
    </row>
    <row r="622">
      <c r="F622" s="4"/>
      <c r="G622" s="4"/>
    </row>
    <row r="623">
      <c r="F623" s="4"/>
      <c r="G623" s="4"/>
    </row>
    <row r="624">
      <c r="F624" s="4"/>
      <c r="G624" s="4"/>
    </row>
    <row r="625">
      <c r="F625" s="4"/>
      <c r="G625" s="4"/>
    </row>
    <row r="626">
      <c r="F626" s="4"/>
      <c r="G626" s="4"/>
    </row>
    <row r="627">
      <c r="F627" s="4"/>
      <c r="G627" s="4"/>
    </row>
    <row r="628">
      <c r="F628" s="4"/>
      <c r="G628" s="4"/>
    </row>
    <row r="629">
      <c r="F629" s="4"/>
      <c r="G629" s="4"/>
    </row>
    <row r="630">
      <c r="F630" s="4"/>
      <c r="G630" s="4"/>
    </row>
    <row r="631">
      <c r="F631" s="4"/>
      <c r="G631" s="4"/>
    </row>
    <row r="632">
      <c r="F632" s="4"/>
      <c r="G632" s="4"/>
    </row>
    <row r="633">
      <c r="F633" s="4"/>
      <c r="G633" s="4"/>
    </row>
    <row r="634">
      <c r="F634" s="4"/>
      <c r="G634" s="4"/>
    </row>
    <row r="635">
      <c r="F635" s="4"/>
      <c r="G635" s="4"/>
    </row>
    <row r="636">
      <c r="F636" s="4"/>
      <c r="G636" s="4"/>
    </row>
    <row r="637">
      <c r="F637" s="4"/>
      <c r="G637" s="4"/>
    </row>
    <row r="638">
      <c r="F638" s="4"/>
      <c r="G638" s="4"/>
    </row>
    <row r="639">
      <c r="F639" s="4"/>
      <c r="G639" s="4"/>
    </row>
    <row r="640">
      <c r="F640" s="4"/>
      <c r="G640" s="4"/>
    </row>
    <row r="641">
      <c r="F641" s="4"/>
      <c r="G641" s="4"/>
    </row>
    <row r="642">
      <c r="F642" s="4"/>
      <c r="G642" s="4"/>
    </row>
    <row r="643">
      <c r="F643" s="4"/>
      <c r="G643" s="4"/>
    </row>
    <row r="644">
      <c r="F644" s="4"/>
      <c r="G644" s="4"/>
    </row>
    <row r="645">
      <c r="F645" s="4"/>
      <c r="G645" s="4"/>
    </row>
    <row r="646">
      <c r="F646" s="4"/>
      <c r="G646" s="4"/>
    </row>
    <row r="647">
      <c r="F647" s="4"/>
      <c r="G647" s="4"/>
    </row>
    <row r="648">
      <c r="F648" s="4"/>
      <c r="G648" s="4"/>
    </row>
    <row r="649">
      <c r="F649" s="4"/>
      <c r="G649" s="4"/>
    </row>
    <row r="650">
      <c r="F650" s="4"/>
      <c r="G650" s="4"/>
    </row>
    <row r="651">
      <c r="F651" s="4"/>
      <c r="G651" s="4"/>
    </row>
    <row r="652">
      <c r="F652" s="4"/>
      <c r="G652" s="4"/>
    </row>
    <row r="653">
      <c r="F653" s="4"/>
      <c r="G653" s="4"/>
    </row>
    <row r="654">
      <c r="F654" s="4"/>
      <c r="G654" s="4"/>
    </row>
    <row r="655">
      <c r="F655" s="4"/>
      <c r="G655" s="4"/>
    </row>
    <row r="656">
      <c r="F656" s="4"/>
      <c r="G656" s="4"/>
    </row>
    <row r="657">
      <c r="F657" s="4"/>
      <c r="G657" s="4"/>
    </row>
    <row r="658">
      <c r="F658" s="4"/>
      <c r="G658" s="4"/>
    </row>
    <row r="659">
      <c r="F659" s="4"/>
      <c r="G659" s="4"/>
    </row>
    <row r="660">
      <c r="F660" s="4"/>
      <c r="G660" s="4"/>
    </row>
    <row r="661">
      <c r="F661" s="4"/>
      <c r="G661" s="4"/>
    </row>
    <row r="662">
      <c r="F662" s="4"/>
      <c r="G662" s="4"/>
    </row>
    <row r="663">
      <c r="F663" s="4"/>
      <c r="G663" s="4"/>
    </row>
    <row r="664">
      <c r="F664" s="4"/>
      <c r="G664" s="4"/>
    </row>
    <row r="665">
      <c r="F665" s="4"/>
      <c r="G665" s="4"/>
    </row>
    <row r="666">
      <c r="F666" s="4"/>
      <c r="G666" s="4"/>
    </row>
    <row r="667">
      <c r="F667" s="4"/>
      <c r="G667" s="4"/>
    </row>
    <row r="668">
      <c r="F668" s="4"/>
      <c r="G668" s="4"/>
    </row>
    <row r="669">
      <c r="F669" s="4"/>
      <c r="G669" s="4"/>
    </row>
    <row r="670">
      <c r="F670" s="4"/>
      <c r="G670" s="4"/>
    </row>
    <row r="671">
      <c r="F671" s="4"/>
      <c r="G671" s="4"/>
    </row>
    <row r="672">
      <c r="F672" s="4"/>
      <c r="G672" s="4"/>
    </row>
    <row r="673">
      <c r="F673" s="4"/>
      <c r="G673" s="4"/>
    </row>
    <row r="674">
      <c r="F674" s="4"/>
      <c r="G674" s="4"/>
    </row>
    <row r="675">
      <c r="F675" s="4"/>
      <c r="G675" s="4"/>
    </row>
    <row r="676">
      <c r="F676" s="4"/>
      <c r="G676" s="4"/>
    </row>
    <row r="677">
      <c r="F677" s="4"/>
      <c r="G677" s="4"/>
    </row>
    <row r="678">
      <c r="F678" s="4"/>
      <c r="G678" s="4"/>
    </row>
    <row r="679">
      <c r="F679" s="4"/>
      <c r="G679" s="4"/>
    </row>
    <row r="680">
      <c r="F680" s="4"/>
      <c r="G680" s="4"/>
    </row>
    <row r="681">
      <c r="F681" s="4"/>
      <c r="G681" s="4"/>
    </row>
    <row r="682">
      <c r="F682" s="4"/>
      <c r="G682" s="4"/>
    </row>
    <row r="683">
      <c r="F683" s="4"/>
      <c r="G683" s="4"/>
    </row>
    <row r="684">
      <c r="F684" s="4"/>
      <c r="G684" s="4"/>
    </row>
    <row r="685">
      <c r="F685" s="4"/>
      <c r="G685" s="4"/>
    </row>
    <row r="686">
      <c r="F686" s="4"/>
      <c r="G686" s="4"/>
    </row>
    <row r="687">
      <c r="F687" s="4"/>
      <c r="G687" s="4"/>
    </row>
    <row r="688">
      <c r="F688" s="4"/>
      <c r="G688" s="4"/>
    </row>
    <row r="689">
      <c r="F689" s="4"/>
      <c r="G689" s="4"/>
    </row>
    <row r="690">
      <c r="F690" s="4"/>
      <c r="G690" s="4"/>
    </row>
    <row r="691">
      <c r="F691" s="4"/>
      <c r="G691" s="4"/>
    </row>
    <row r="692">
      <c r="F692" s="4"/>
      <c r="G692" s="4"/>
    </row>
    <row r="693">
      <c r="F693" s="4"/>
      <c r="G693" s="4"/>
    </row>
    <row r="694">
      <c r="F694" s="4"/>
      <c r="G694" s="4"/>
    </row>
    <row r="695">
      <c r="F695" s="4"/>
      <c r="G695" s="4"/>
    </row>
    <row r="696">
      <c r="F696" s="4"/>
      <c r="G696" s="4"/>
    </row>
    <row r="697">
      <c r="F697" s="4"/>
      <c r="G697" s="4"/>
    </row>
    <row r="698">
      <c r="F698" s="4"/>
      <c r="G698" s="4"/>
    </row>
    <row r="699">
      <c r="F699" s="4"/>
      <c r="G699" s="4"/>
    </row>
    <row r="700">
      <c r="F700" s="4"/>
      <c r="G700" s="4"/>
    </row>
    <row r="701">
      <c r="F701" s="4"/>
      <c r="G701" s="4"/>
    </row>
    <row r="702">
      <c r="F702" s="4"/>
      <c r="G702" s="4"/>
    </row>
    <row r="703">
      <c r="F703" s="4"/>
      <c r="G703" s="4"/>
    </row>
    <row r="704">
      <c r="F704" s="4"/>
      <c r="G704" s="4"/>
    </row>
    <row r="705">
      <c r="F705" s="4"/>
      <c r="G705" s="4"/>
    </row>
    <row r="706">
      <c r="F706" s="4"/>
      <c r="G706" s="4"/>
    </row>
    <row r="707">
      <c r="F707" s="4"/>
      <c r="G707" s="4"/>
    </row>
    <row r="708">
      <c r="F708" s="4"/>
      <c r="G708" s="4"/>
    </row>
    <row r="709">
      <c r="F709" s="4"/>
      <c r="G709" s="4"/>
    </row>
    <row r="710">
      <c r="F710" s="4"/>
      <c r="G710" s="4"/>
    </row>
    <row r="711">
      <c r="F711" s="4"/>
      <c r="G711" s="4"/>
    </row>
    <row r="712">
      <c r="F712" s="4"/>
      <c r="G712" s="4"/>
    </row>
    <row r="713">
      <c r="F713" s="4"/>
      <c r="G713" s="4"/>
    </row>
    <row r="714">
      <c r="F714" s="4"/>
      <c r="G714" s="4"/>
    </row>
    <row r="715">
      <c r="F715" s="4"/>
      <c r="G715" s="4"/>
    </row>
    <row r="716">
      <c r="F716" s="4"/>
      <c r="G716" s="4"/>
    </row>
    <row r="717">
      <c r="F717" s="4"/>
      <c r="G717" s="4"/>
    </row>
    <row r="718">
      <c r="F718" s="4"/>
      <c r="G718" s="4"/>
    </row>
    <row r="719">
      <c r="F719" s="4"/>
      <c r="G719" s="4"/>
    </row>
    <row r="720">
      <c r="F720" s="4"/>
      <c r="G720" s="4"/>
    </row>
    <row r="721">
      <c r="F721" s="4"/>
      <c r="G721" s="4"/>
    </row>
    <row r="722">
      <c r="F722" s="4"/>
      <c r="G722" s="4"/>
    </row>
    <row r="723">
      <c r="F723" s="4"/>
      <c r="G723" s="4"/>
    </row>
    <row r="724">
      <c r="F724" s="4"/>
      <c r="G724" s="4"/>
    </row>
    <row r="725">
      <c r="F725" s="4"/>
      <c r="G725" s="4"/>
    </row>
    <row r="726">
      <c r="F726" s="4"/>
      <c r="G726" s="4"/>
    </row>
    <row r="727">
      <c r="F727" s="4"/>
      <c r="G727" s="4"/>
    </row>
    <row r="728">
      <c r="F728" s="4"/>
      <c r="G728" s="4"/>
    </row>
    <row r="729">
      <c r="F729" s="4"/>
      <c r="G729" s="4"/>
    </row>
    <row r="730">
      <c r="F730" s="4"/>
      <c r="G730" s="4"/>
    </row>
    <row r="731">
      <c r="F731" s="4"/>
      <c r="G731" s="4"/>
    </row>
    <row r="732">
      <c r="F732" s="4"/>
      <c r="G732" s="4"/>
    </row>
    <row r="733">
      <c r="F733" s="4"/>
      <c r="G733" s="4"/>
    </row>
    <row r="734">
      <c r="F734" s="4"/>
      <c r="G734" s="4"/>
    </row>
    <row r="735">
      <c r="F735" s="4"/>
      <c r="G735" s="4"/>
    </row>
    <row r="736">
      <c r="F736" s="4"/>
      <c r="G736" s="4"/>
    </row>
    <row r="737">
      <c r="F737" s="4"/>
      <c r="G737" s="4"/>
    </row>
    <row r="738">
      <c r="F738" s="4"/>
      <c r="G738" s="4"/>
    </row>
    <row r="739">
      <c r="F739" s="4"/>
      <c r="G739" s="4"/>
    </row>
    <row r="740">
      <c r="F740" s="4"/>
      <c r="G740" s="4"/>
    </row>
    <row r="741">
      <c r="F741" s="4"/>
      <c r="G741" s="4"/>
    </row>
    <row r="742">
      <c r="F742" s="4"/>
      <c r="G742" s="4"/>
    </row>
    <row r="743">
      <c r="F743" s="4"/>
      <c r="G743" s="4"/>
    </row>
    <row r="744">
      <c r="F744" s="4"/>
      <c r="G744" s="4"/>
    </row>
    <row r="745">
      <c r="F745" s="4"/>
      <c r="G745" s="4"/>
    </row>
    <row r="746">
      <c r="F746" s="4"/>
      <c r="G746" s="4"/>
    </row>
    <row r="747">
      <c r="F747" s="4"/>
      <c r="G747" s="4"/>
    </row>
    <row r="748">
      <c r="F748" s="4"/>
      <c r="G748" s="4"/>
    </row>
    <row r="749">
      <c r="F749" s="4"/>
      <c r="G749" s="4"/>
    </row>
    <row r="750">
      <c r="F750" s="4"/>
      <c r="G750" s="4"/>
    </row>
    <row r="751">
      <c r="F751" s="4"/>
      <c r="G751" s="4"/>
    </row>
    <row r="752">
      <c r="F752" s="4"/>
      <c r="G752" s="4"/>
    </row>
    <row r="753">
      <c r="F753" s="4"/>
      <c r="G753" s="4"/>
    </row>
    <row r="754">
      <c r="F754" s="4"/>
      <c r="G754" s="4"/>
    </row>
    <row r="755">
      <c r="F755" s="4"/>
      <c r="G755" s="4"/>
    </row>
    <row r="756">
      <c r="F756" s="4"/>
      <c r="G756" s="4"/>
    </row>
    <row r="757">
      <c r="F757" s="4"/>
      <c r="G757" s="4"/>
    </row>
    <row r="758">
      <c r="F758" s="4"/>
      <c r="G758" s="4"/>
    </row>
    <row r="759">
      <c r="F759" s="4"/>
      <c r="G759" s="4"/>
    </row>
    <row r="760">
      <c r="F760" s="4"/>
      <c r="G760" s="4"/>
    </row>
    <row r="761">
      <c r="F761" s="4"/>
      <c r="G761" s="4"/>
    </row>
    <row r="762">
      <c r="F762" s="4"/>
      <c r="G762" s="4"/>
    </row>
    <row r="763">
      <c r="F763" s="4"/>
      <c r="G763" s="4"/>
    </row>
    <row r="764">
      <c r="F764" s="4"/>
      <c r="G764" s="4"/>
    </row>
    <row r="765">
      <c r="F765" s="4"/>
      <c r="G765" s="4"/>
    </row>
    <row r="766">
      <c r="F766" s="4"/>
      <c r="G766" s="4"/>
    </row>
    <row r="767">
      <c r="F767" s="4"/>
      <c r="G767" s="4"/>
    </row>
    <row r="768">
      <c r="F768" s="4"/>
      <c r="G768" s="4"/>
    </row>
    <row r="769">
      <c r="F769" s="4"/>
      <c r="G769" s="4"/>
    </row>
    <row r="770">
      <c r="F770" s="4"/>
      <c r="G770" s="4"/>
    </row>
    <row r="771">
      <c r="F771" s="4"/>
      <c r="G771" s="4"/>
    </row>
    <row r="772">
      <c r="F772" s="4"/>
      <c r="G772" s="4"/>
    </row>
    <row r="773">
      <c r="F773" s="4"/>
      <c r="G773" s="4"/>
    </row>
    <row r="774">
      <c r="F774" s="4"/>
      <c r="G774" s="4"/>
    </row>
    <row r="775">
      <c r="F775" s="4"/>
      <c r="G775" s="4"/>
    </row>
    <row r="776">
      <c r="F776" s="4"/>
      <c r="G776" s="4"/>
    </row>
    <row r="777">
      <c r="F777" s="4"/>
      <c r="G777" s="4"/>
    </row>
    <row r="778">
      <c r="F778" s="4"/>
      <c r="G778" s="4"/>
    </row>
    <row r="779">
      <c r="F779" s="4"/>
      <c r="G779" s="4"/>
    </row>
    <row r="780">
      <c r="F780" s="4"/>
      <c r="G780" s="4"/>
    </row>
    <row r="781">
      <c r="F781" s="4"/>
      <c r="G781" s="4"/>
    </row>
    <row r="782">
      <c r="F782" s="4"/>
      <c r="G782" s="4"/>
    </row>
    <row r="783">
      <c r="F783" s="4"/>
      <c r="G783" s="4"/>
    </row>
    <row r="784">
      <c r="F784" s="4"/>
      <c r="G784" s="4"/>
    </row>
    <row r="785">
      <c r="F785" s="4"/>
      <c r="G785" s="4"/>
    </row>
    <row r="786">
      <c r="F786" s="4"/>
      <c r="G786" s="4"/>
    </row>
    <row r="787">
      <c r="F787" s="4"/>
      <c r="G787" s="4"/>
    </row>
    <row r="788">
      <c r="F788" s="4"/>
      <c r="G788" s="4"/>
    </row>
    <row r="789">
      <c r="F789" s="4"/>
      <c r="G789" s="4"/>
    </row>
    <row r="790">
      <c r="F790" s="4"/>
      <c r="G790" s="4"/>
    </row>
    <row r="791">
      <c r="F791" s="4"/>
      <c r="G791" s="4"/>
    </row>
    <row r="792">
      <c r="F792" s="4"/>
      <c r="G792" s="4"/>
    </row>
    <row r="793">
      <c r="F793" s="4"/>
      <c r="G793" s="4"/>
    </row>
    <row r="794">
      <c r="F794" s="4"/>
      <c r="G794" s="4"/>
    </row>
    <row r="795">
      <c r="F795" s="4"/>
      <c r="G795" s="4"/>
    </row>
    <row r="796">
      <c r="F796" s="4"/>
      <c r="G796" s="4"/>
    </row>
    <row r="797">
      <c r="F797" s="4"/>
      <c r="G797" s="4"/>
    </row>
    <row r="798">
      <c r="F798" s="4"/>
      <c r="G798" s="4"/>
    </row>
    <row r="799">
      <c r="F799" s="4"/>
      <c r="G799" s="4"/>
    </row>
    <row r="800">
      <c r="F800" s="4"/>
      <c r="G800" s="4"/>
    </row>
    <row r="801">
      <c r="F801" s="4"/>
      <c r="G801" s="4"/>
    </row>
    <row r="802">
      <c r="F802" s="4"/>
      <c r="G802" s="4"/>
    </row>
    <row r="803">
      <c r="F803" s="4"/>
      <c r="G803" s="4"/>
    </row>
    <row r="804">
      <c r="F804" s="4"/>
      <c r="G804" s="4"/>
    </row>
    <row r="805">
      <c r="F805" s="4"/>
      <c r="G805" s="4"/>
    </row>
    <row r="806">
      <c r="F806" s="4"/>
      <c r="G806" s="4"/>
    </row>
    <row r="807">
      <c r="F807" s="4"/>
      <c r="G807" s="4"/>
    </row>
    <row r="808">
      <c r="F808" s="4"/>
      <c r="G808" s="4"/>
    </row>
    <row r="809">
      <c r="F809" s="4"/>
      <c r="G809" s="4"/>
    </row>
    <row r="810">
      <c r="F810" s="4"/>
      <c r="G810" s="4"/>
    </row>
    <row r="811">
      <c r="F811" s="4"/>
      <c r="G811" s="4"/>
    </row>
    <row r="812">
      <c r="F812" s="4"/>
      <c r="G812" s="4"/>
    </row>
    <row r="813">
      <c r="F813" s="4"/>
      <c r="G813" s="4"/>
    </row>
    <row r="814">
      <c r="F814" s="4"/>
      <c r="G814" s="4"/>
    </row>
    <row r="815">
      <c r="F815" s="4"/>
      <c r="G815" s="4"/>
    </row>
    <row r="816">
      <c r="F816" s="4"/>
      <c r="G816" s="4"/>
    </row>
    <row r="817">
      <c r="F817" s="4"/>
      <c r="G817" s="4"/>
    </row>
    <row r="818">
      <c r="F818" s="4"/>
      <c r="G818" s="4"/>
    </row>
    <row r="819">
      <c r="F819" s="4"/>
      <c r="G819" s="4"/>
    </row>
    <row r="820">
      <c r="F820" s="4"/>
      <c r="G820" s="4"/>
    </row>
    <row r="821">
      <c r="F821" s="4"/>
      <c r="G821" s="4"/>
    </row>
    <row r="822">
      <c r="F822" s="4"/>
      <c r="G822" s="4"/>
    </row>
    <row r="823">
      <c r="F823" s="4"/>
      <c r="G823" s="4"/>
    </row>
    <row r="824">
      <c r="F824" s="4"/>
      <c r="G824" s="4"/>
    </row>
    <row r="825">
      <c r="F825" s="4"/>
      <c r="G825" s="4"/>
    </row>
    <row r="826">
      <c r="F826" s="4"/>
      <c r="G826" s="4"/>
    </row>
    <row r="827">
      <c r="F827" s="4"/>
      <c r="G827" s="4"/>
    </row>
    <row r="828">
      <c r="F828" s="4"/>
      <c r="G828" s="4"/>
    </row>
    <row r="829">
      <c r="F829" s="4"/>
      <c r="G829" s="4"/>
    </row>
    <row r="830">
      <c r="F830" s="4"/>
      <c r="G830" s="4"/>
    </row>
    <row r="831">
      <c r="F831" s="4"/>
      <c r="G831" s="4"/>
    </row>
    <row r="832">
      <c r="F832" s="4"/>
      <c r="G832" s="4"/>
    </row>
    <row r="833">
      <c r="F833" s="4"/>
      <c r="G833" s="4"/>
    </row>
    <row r="834">
      <c r="F834" s="4"/>
      <c r="G834" s="4"/>
    </row>
    <row r="835">
      <c r="F835" s="4"/>
      <c r="G835" s="4"/>
    </row>
    <row r="836">
      <c r="F836" s="4"/>
      <c r="G836" s="4"/>
    </row>
    <row r="837">
      <c r="F837" s="4"/>
      <c r="G837" s="4"/>
    </row>
    <row r="838">
      <c r="F838" s="4"/>
      <c r="G838" s="4"/>
    </row>
    <row r="839">
      <c r="F839" s="4"/>
      <c r="G839" s="4"/>
    </row>
    <row r="840">
      <c r="F840" s="4"/>
      <c r="G840" s="4"/>
    </row>
    <row r="841">
      <c r="F841" s="4"/>
      <c r="G841" s="4"/>
    </row>
    <row r="842">
      <c r="F842" s="4"/>
      <c r="G842" s="4"/>
    </row>
    <row r="843">
      <c r="F843" s="4"/>
      <c r="G843" s="4"/>
    </row>
    <row r="844">
      <c r="F844" s="4"/>
      <c r="G844" s="4"/>
    </row>
    <row r="845">
      <c r="F845" s="4"/>
      <c r="G845" s="4"/>
    </row>
    <row r="846">
      <c r="F846" s="4"/>
      <c r="G846" s="4"/>
    </row>
    <row r="847">
      <c r="F847" s="4"/>
      <c r="G847" s="4"/>
    </row>
    <row r="848">
      <c r="F848" s="4"/>
      <c r="G848" s="4"/>
    </row>
    <row r="849">
      <c r="F849" s="4"/>
      <c r="G849" s="4"/>
    </row>
    <row r="850">
      <c r="F850" s="4"/>
      <c r="G850" s="4"/>
    </row>
    <row r="851">
      <c r="F851" s="4"/>
      <c r="G851" s="4"/>
    </row>
    <row r="852">
      <c r="F852" s="4"/>
      <c r="G852" s="4"/>
    </row>
    <row r="853">
      <c r="F853" s="4"/>
      <c r="G853" s="4"/>
    </row>
    <row r="854">
      <c r="F854" s="4"/>
      <c r="G854" s="4"/>
    </row>
    <row r="855">
      <c r="F855" s="4"/>
      <c r="G855" s="4"/>
    </row>
    <row r="856">
      <c r="F856" s="4"/>
      <c r="G856" s="4"/>
    </row>
    <row r="857">
      <c r="F857" s="4"/>
      <c r="G857" s="4"/>
    </row>
    <row r="858">
      <c r="F858" s="4"/>
      <c r="G858" s="4"/>
    </row>
    <row r="859">
      <c r="F859" s="4"/>
      <c r="G859" s="4"/>
    </row>
    <row r="860">
      <c r="F860" s="4"/>
      <c r="G860" s="4"/>
    </row>
    <row r="861">
      <c r="F861" s="4"/>
      <c r="G861" s="4"/>
    </row>
    <row r="862">
      <c r="F862" s="4"/>
      <c r="G862" s="4"/>
    </row>
    <row r="863">
      <c r="F863" s="4"/>
      <c r="G863" s="4"/>
    </row>
    <row r="864">
      <c r="F864" s="4"/>
      <c r="G864" s="4"/>
    </row>
    <row r="865">
      <c r="F865" s="4"/>
      <c r="G865" s="4"/>
    </row>
    <row r="866">
      <c r="F866" s="4"/>
      <c r="G866" s="4"/>
    </row>
    <row r="867">
      <c r="F867" s="4"/>
      <c r="G867" s="4"/>
    </row>
    <row r="868">
      <c r="F868" s="4"/>
      <c r="G868" s="4"/>
    </row>
    <row r="869">
      <c r="F869" s="4"/>
      <c r="G869" s="4"/>
    </row>
    <row r="870">
      <c r="F870" s="4"/>
      <c r="G870" s="4"/>
    </row>
    <row r="871">
      <c r="F871" s="4"/>
      <c r="G871" s="4"/>
    </row>
    <row r="872">
      <c r="F872" s="4"/>
      <c r="G872" s="4"/>
    </row>
    <row r="873">
      <c r="F873" s="4"/>
      <c r="G873" s="4"/>
    </row>
    <row r="874">
      <c r="F874" s="4"/>
      <c r="G874" s="4"/>
    </row>
    <row r="875">
      <c r="F875" s="4"/>
      <c r="G875" s="4"/>
    </row>
    <row r="876">
      <c r="F876" s="4"/>
      <c r="G876" s="4"/>
    </row>
    <row r="877">
      <c r="F877" s="4"/>
      <c r="G877" s="4"/>
    </row>
    <row r="878">
      <c r="F878" s="4"/>
      <c r="G878" s="4"/>
    </row>
    <row r="879">
      <c r="F879" s="4"/>
      <c r="G879" s="4"/>
    </row>
    <row r="880">
      <c r="F880" s="4"/>
      <c r="G880" s="4"/>
    </row>
    <row r="881">
      <c r="F881" s="4"/>
      <c r="G881" s="4"/>
    </row>
    <row r="882">
      <c r="F882" s="4"/>
      <c r="G882" s="4"/>
    </row>
    <row r="883">
      <c r="F883" s="4"/>
      <c r="G883" s="4"/>
    </row>
    <row r="884">
      <c r="F884" s="4"/>
      <c r="G884" s="4"/>
    </row>
    <row r="885">
      <c r="F885" s="4"/>
      <c r="G885" s="4"/>
    </row>
    <row r="886">
      <c r="F886" s="4"/>
      <c r="G886" s="4"/>
    </row>
    <row r="887">
      <c r="F887" s="4"/>
      <c r="G887" s="4"/>
    </row>
    <row r="888">
      <c r="F888" s="4"/>
      <c r="G888" s="4"/>
    </row>
    <row r="889">
      <c r="F889" s="4"/>
      <c r="G889" s="4"/>
    </row>
    <row r="890">
      <c r="F890" s="4"/>
      <c r="G890" s="4"/>
    </row>
    <row r="891">
      <c r="F891" s="4"/>
      <c r="G891" s="4"/>
    </row>
    <row r="892">
      <c r="F892" s="4"/>
      <c r="G892" s="4"/>
    </row>
    <row r="893">
      <c r="F893" s="4"/>
      <c r="G893" s="4"/>
    </row>
    <row r="894">
      <c r="F894" s="4"/>
      <c r="G894" s="4"/>
    </row>
    <row r="895">
      <c r="F895" s="4"/>
      <c r="G895" s="4"/>
    </row>
    <row r="896">
      <c r="F896" s="4"/>
      <c r="G896" s="4"/>
    </row>
    <row r="897">
      <c r="F897" s="4"/>
      <c r="G897" s="4"/>
    </row>
    <row r="898">
      <c r="F898" s="4"/>
      <c r="G898" s="4"/>
    </row>
    <row r="899">
      <c r="F899" s="4"/>
      <c r="G899" s="4"/>
    </row>
    <row r="900">
      <c r="F900" s="4"/>
      <c r="G900" s="4"/>
    </row>
    <row r="901">
      <c r="F901" s="4"/>
      <c r="G901" s="4"/>
    </row>
    <row r="902">
      <c r="F902" s="4"/>
      <c r="G902" s="4"/>
    </row>
    <row r="903">
      <c r="F903" s="4"/>
      <c r="G903" s="4"/>
    </row>
    <row r="904">
      <c r="F904" s="4"/>
      <c r="G904" s="4"/>
    </row>
    <row r="905">
      <c r="F905" s="4"/>
      <c r="G905" s="4"/>
    </row>
    <row r="906">
      <c r="F906" s="4"/>
      <c r="G906" s="4"/>
    </row>
    <row r="907">
      <c r="F907" s="4"/>
      <c r="G907" s="4"/>
    </row>
    <row r="908">
      <c r="F908" s="4"/>
      <c r="G908" s="4"/>
    </row>
    <row r="909">
      <c r="F909" s="4"/>
      <c r="G909" s="4"/>
    </row>
    <row r="910">
      <c r="F910" s="4"/>
      <c r="G910" s="4"/>
    </row>
    <row r="911">
      <c r="F911" s="4"/>
      <c r="G911" s="4"/>
    </row>
    <row r="912">
      <c r="F912" s="4"/>
      <c r="G912" s="4"/>
    </row>
    <row r="913">
      <c r="F913" s="4"/>
      <c r="G913" s="4"/>
    </row>
    <row r="914">
      <c r="F914" s="4"/>
      <c r="G914" s="4"/>
    </row>
    <row r="915">
      <c r="F915" s="4"/>
      <c r="G915" s="4"/>
    </row>
    <row r="916">
      <c r="F916" s="4"/>
      <c r="G916" s="4"/>
    </row>
    <row r="917">
      <c r="F917" s="4"/>
      <c r="G917" s="4"/>
    </row>
    <row r="918">
      <c r="F918" s="4"/>
      <c r="G918" s="4"/>
    </row>
    <row r="919">
      <c r="F919" s="4"/>
      <c r="G919" s="4"/>
    </row>
    <row r="920">
      <c r="F920" s="4"/>
      <c r="G920" s="4"/>
    </row>
    <row r="921">
      <c r="F921" s="4"/>
      <c r="G921" s="4"/>
    </row>
    <row r="922">
      <c r="F922" s="4"/>
      <c r="G922" s="4"/>
    </row>
    <row r="923">
      <c r="F923" s="4"/>
      <c r="G923" s="4"/>
    </row>
    <row r="924">
      <c r="F924" s="4"/>
      <c r="G924" s="4"/>
    </row>
    <row r="925">
      <c r="F925" s="4"/>
      <c r="G925" s="4"/>
    </row>
    <row r="926">
      <c r="F926" s="4"/>
      <c r="G926" s="4"/>
    </row>
    <row r="927">
      <c r="F927" s="4"/>
      <c r="G927" s="4"/>
    </row>
    <row r="928">
      <c r="F928" s="4"/>
      <c r="G928" s="4"/>
    </row>
    <row r="929">
      <c r="F929" s="4"/>
      <c r="G929" s="4"/>
    </row>
    <row r="930">
      <c r="F930" s="4"/>
      <c r="G930" s="4"/>
    </row>
    <row r="931">
      <c r="F931" s="4"/>
      <c r="G931" s="4"/>
    </row>
    <row r="932">
      <c r="F932" s="4"/>
      <c r="G932" s="4"/>
    </row>
    <row r="933">
      <c r="F933" s="4"/>
      <c r="G933" s="4"/>
    </row>
    <row r="934">
      <c r="F934" s="4"/>
      <c r="G934" s="4"/>
    </row>
    <row r="935">
      <c r="F935" s="4"/>
      <c r="G935" s="4"/>
    </row>
    <row r="936">
      <c r="F936" s="4"/>
      <c r="G936" s="4"/>
    </row>
    <row r="937">
      <c r="F937" s="4"/>
      <c r="G937" s="4"/>
    </row>
    <row r="938">
      <c r="F938" s="4"/>
      <c r="G938" s="4"/>
    </row>
    <row r="939">
      <c r="F939" s="4"/>
      <c r="G939" s="4"/>
    </row>
    <row r="940">
      <c r="F940" s="4"/>
      <c r="G940" s="4"/>
    </row>
    <row r="941">
      <c r="F941" s="4"/>
      <c r="G941" s="4"/>
    </row>
    <row r="942">
      <c r="F942" s="4"/>
      <c r="G942" s="4"/>
    </row>
    <row r="943">
      <c r="F943" s="4"/>
      <c r="G943" s="4"/>
    </row>
    <row r="944">
      <c r="F944" s="4"/>
      <c r="G944" s="4"/>
    </row>
    <row r="945">
      <c r="F945" s="4"/>
      <c r="G945" s="4"/>
    </row>
    <row r="946">
      <c r="F946" s="4"/>
      <c r="G946" s="4"/>
    </row>
    <row r="947">
      <c r="F947" s="4"/>
      <c r="G947" s="4"/>
    </row>
    <row r="948">
      <c r="F948" s="4"/>
      <c r="G948" s="4"/>
    </row>
    <row r="949">
      <c r="F949" s="4"/>
      <c r="G949" s="4"/>
    </row>
    <row r="950">
      <c r="F950" s="4"/>
      <c r="G950" s="4"/>
    </row>
    <row r="951">
      <c r="F951" s="4"/>
      <c r="G951" s="4"/>
    </row>
    <row r="952">
      <c r="F952" s="4"/>
      <c r="G952" s="4"/>
    </row>
    <row r="953">
      <c r="F953" s="4"/>
      <c r="G953" s="4"/>
    </row>
    <row r="954">
      <c r="F954" s="4"/>
      <c r="G954" s="4"/>
    </row>
    <row r="955">
      <c r="F955" s="4"/>
      <c r="G955" s="4"/>
    </row>
    <row r="956">
      <c r="F956" s="4"/>
      <c r="G956" s="4"/>
    </row>
    <row r="957">
      <c r="F957" s="4"/>
      <c r="G957" s="4"/>
    </row>
    <row r="958">
      <c r="F958" s="4"/>
      <c r="G958" s="4"/>
    </row>
    <row r="959">
      <c r="F959" s="4"/>
      <c r="G959" s="4"/>
    </row>
    <row r="960">
      <c r="F960" s="4"/>
      <c r="G960" s="4"/>
    </row>
    <row r="961">
      <c r="F961" s="4"/>
      <c r="G961" s="4"/>
    </row>
    <row r="962">
      <c r="F962" s="4"/>
      <c r="G962" s="4"/>
    </row>
    <row r="963">
      <c r="F963" s="4"/>
      <c r="G963" s="4"/>
    </row>
    <row r="964">
      <c r="F964" s="4"/>
      <c r="G964" s="4"/>
    </row>
    <row r="965">
      <c r="F965" s="4"/>
      <c r="G965" s="4"/>
    </row>
    <row r="966">
      <c r="F966" s="4"/>
      <c r="G966" s="4"/>
    </row>
    <row r="967">
      <c r="F967" s="4"/>
      <c r="G967" s="4"/>
    </row>
    <row r="968">
      <c r="F968" s="4"/>
      <c r="G968" s="4"/>
    </row>
    <row r="969">
      <c r="F969" s="4"/>
      <c r="G969" s="4"/>
    </row>
    <row r="970">
      <c r="F970" s="4"/>
      <c r="G970" s="4"/>
    </row>
    <row r="971">
      <c r="F971" s="4"/>
      <c r="G971" s="4"/>
    </row>
    <row r="972">
      <c r="F972" s="4"/>
      <c r="G972" s="4"/>
    </row>
    <row r="973">
      <c r="F973" s="4"/>
      <c r="G973" s="4"/>
    </row>
    <row r="974">
      <c r="F974" s="4"/>
      <c r="G974" s="4"/>
    </row>
    <row r="975">
      <c r="F975" s="4"/>
      <c r="G975" s="4"/>
    </row>
    <row r="976">
      <c r="F976" s="4"/>
      <c r="G976" s="4"/>
    </row>
    <row r="977">
      <c r="F977" s="4"/>
      <c r="G977" s="4"/>
    </row>
    <row r="978">
      <c r="F978" s="4"/>
      <c r="G978" s="4"/>
    </row>
    <row r="979">
      <c r="F979" s="4"/>
      <c r="G979" s="4"/>
    </row>
    <row r="980">
      <c r="F980" s="4"/>
      <c r="G980" s="4"/>
    </row>
    <row r="981">
      <c r="F981" s="4"/>
      <c r="G981" s="4"/>
    </row>
    <row r="982">
      <c r="F982" s="4"/>
      <c r="G982" s="4"/>
    </row>
    <row r="983">
      <c r="F983" s="4"/>
      <c r="G983" s="4"/>
    </row>
    <row r="984">
      <c r="F984" s="4"/>
      <c r="G984" s="4"/>
    </row>
    <row r="985">
      <c r="F985" s="4"/>
      <c r="G985" s="4"/>
    </row>
    <row r="986">
      <c r="F986" s="4"/>
      <c r="G986" s="4"/>
    </row>
    <row r="987">
      <c r="F987" s="4"/>
      <c r="G987" s="4"/>
    </row>
    <row r="988">
      <c r="F988" s="4"/>
      <c r="G988" s="4"/>
    </row>
    <row r="989">
      <c r="F989" s="4"/>
      <c r="G989" s="4"/>
    </row>
    <row r="990">
      <c r="F990" s="4"/>
      <c r="G990" s="4"/>
    </row>
    <row r="991">
      <c r="F991" s="4"/>
      <c r="G991" s="4"/>
    </row>
    <row r="992">
      <c r="F992" s="4"/>
      <c r="G992" s="4"/>
    </row>
    <row r="993">
      <c r="F993" s="4"/>
      <c r="G993" s="4"/>
    </row>
    <row r="994">
      <c r="F994" s="4"/>
      <c r="G994" s="4"/>
    </row>
    <row r="995">
      <c r="F995" s="4"/>
      <c r="G995" s="4"/>
    </row>
    <row r="996">
      <c r="F996" s="4"/>
      <c r="G996" s="4"/>
    </row>
    <row r="997">
      <c r="F997" s="4"/>
      <c r="G997" s="4"/>
    </row>
    <row r="998">
      <c r="F998" s="4"/>
      <c r="G998" s="4"/>
    </row>
    <row r="999">
      <c r="F999" s="4"/>
      <c r="G999" s="4"/>
    </row>
    <row r="1000">
      <c r="F1000" s="4"/>
      <c r="G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5.71"/>
    <col customWidth="1" min="4" max="4" width="27.14"/>
    <col customWidth="1" min="6" max="6" width="3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1014</v>
      </c>
      <c r="G1" s="1" t="s">
        <v>1015</v>
      </c>
      <c r="H1" s="1" t="s">
        <v>1016</v>
      </c>
      <c r="O1" s="5" t="s">
        <v>1017</v>
      </c>
      <c r="P1" s="5" t="s">
        <v>1018</v>
      </c>
    </row>
    <row r="2">
      <c r="A2" s="1">
        <v>0.0</v>
      </c>
      <c r="B2" s="3" t="s">
        <v>1019</v>
      </c>
      <c r="C2" s="1">
        <v>4.5</v>
      </c>
      <c r="D2" s="1" t="s">
        <v>8</v>
      </c>
      <c r="E2" s="3" t="s">
        <v>9</v>
      </c>
      <c r="F2" s="1" t="s">
        <v>1020</v>
      </c>
      <c r="G2" t="str">
        <f t="shared" ref="G2:G605" si="1">CONCATENATE(PROPER(H2)&amp;" "&amp;PROPER(I2)&amp;" "&amp;PROPER(J2)&amp;" "&amp;PROPER(K2)&amp;" "&amp;PROPER(L2)&amp;" "&amp;PROPER(M2)&amp;" "&amp;PROPER(N2)&amp;" "&amp;PROPER(O2)&amp;" "&amp;PROPER(P2))</f>
        <v>99 Tea House Fremont 2   0 Fremont       0 Fremont</v>
      </c>
      <c r="H2" s="1" t="str">
        <f>IFERROR(__xludf.DUMMYFUNCTION("SPLIT(B2,""-"")"),"99 Tea House Fremont 2   0 Fremont")</f>
        <v>99 Tea House Fremont 2   0 Fremont</v>
      </c>
      <c r="O2">
        <f>COUNTIF(C:C,"&gt;5")</f>
        <v>0</v>
      </c>
      <c r="P2" s="6" t="str">
        <f>TRIM(E:E)</f>
        <v>Fremont</v>
      </c>
    </row>
    <row r="3">
      <c r="A3" s="1">
        <v>1.0</v>
      </c>
      <c r="B3" s="3" t="s">
        <v>1021</v>
      </c>
      <c r="C3" s="1">
        <v>4.5</v>
      </c>
      <c r="D3" s="1" t="s">
        <v>11</v>
      </c>
      <c r="E3" s="3" t="s">
        <v>9</v>
      </c>
      <c r="F3" s="1" t="s">
        <v>1022</v>
      </c>
      <c r="G3" t="str">
        <f t="shared" si="1"/>
        <v>One Tea Fremont 2             </v>
      </c>
      <c r="H3" s="1" t="str">
        <f>IFERROR(__xludf.DUMMYFUNCTION("SPLIT(B3,""-"")"),"One Tea Fremont 2     ")</f>
        <v>One Tea Fremont 2     </v>
      </c>
    </row>
    <row r="4">
      <c r="A4" s="1">
        <v>2.0</v>
      </c>
      <c r="B4" s="3" t="s">
        <v>1023</v>
      </c>
      <c r="C4" s="1">
        <v>4.0</v>
      </c>
      <c r="D4" s="1" t="s">
        <v>13</v>
      </c>
      <c r="E4" s="3" t="s">
        <v>9</v>
      </c>
      <c r="F4" s="1" t="s">
        <v>1024</v>
      </c>
      <c r="G4" t="str">
        <f t="shared" si="1"/>
        <v>Royaltea Usa Fremont              </v>
      </c>
      <c r="H4" s="1" t="str">
        <f>IFERROR(__xludf.DUMMYFUNCTION("SPLIT(B4,""-"")"),"Royaltea Usa Fremont      ")</f>
        <v>Royaltea Usa Fremont      </v>
      </c>
    </row>
    <row r="5">
      <c r="A5" s="1">
        <v>3.0</v>
      </c>
      <c r="B5" s="3" t="s">
        <v>1025</v>
      </c>
      <c r="C5" s="1">
        <v>4.5</v>
      </c>
      <c r="D5" s="1" t="s">
        <v>15</v>
      </c>
      <c r="E5" s="3" t="s">
        <v>9</v>
      </c>
      <c r="F5" s="1" t="s">
        <v>1026</v>
      </c>
      <c r="G5" t="str">
        <f t="shared" si="1"/>
        <v>Teco Tea And Coffee Bar Fremont           </v>
      </c>
      <c r="H5" s="1" t="str">
        <f>IFERROR(__xludf.DUMMYFUNCTION("SPLIT(B5,""-"")"),"Teco Tea And Coffee Bar Fremont   ")</f>
        <v>Teco Tea And Coffee Bar Fremont   </v>
      </c>
    </row>
    <row r="6">
      <c r="A6" s="1">
        <v>4.0</v>
      </c>
      <c r="B6" s="3" t="s">
        <v>1027</v>
      </c>
      <c r="C6" s="1">
        <v>4.0</v>
      </c>
      <c r="D6" s="1" t="s">
        <v>17</v>
      </c>
      <c r="E6" s="3" t="s">
        <v>9</v>
      </c>
      <c r="F6" s="1" t="s">
        <v>1028</v>
      </c>
      <c r="G6" t="str">
        <f t="shared" si="1"/>
        <v>T Lab Fremont 3             </v>
      </c>
      <c r="H6" s="1" t="str">
        <f>IFERROR(__xludf.DUMMYFUNCTION("SPLIT(B6,""-"")"),"T Lab Fremont 3     ")</f>
        <v>T Lab Fremont 3     </v>
      </c>
    </row>
    <row r="7">
      <c r="A7" s="1">
        <v>5.0</v>
      </c>
      <c r="B7" s="3" t="s">
        <v>1029</v>
      </c>
      <c r="C7" s="1">
        <v>4.0</v>
      </c>
      <c r="D7" s="1" t="s">
        <v>19</v>
      </c>
      <c r="E7" s="3" t="s">
        <v>20</v>
      </c>
      <c r="F7" s="1" t="s">
        <v>1030</v>
      </c>
      <c r="G7" t="str">
        <f t="shared" si="1"/>
        <v>Q Tea Monster Newark             </v>
      </c>
      <c r="H7" s="1" t="str">
        <f>IFERROR(__xludf.DUMMYFUNCTION("SPLIT(B7,""-"")"),"Q Tea Monster Newark     ")</f>
        <v>Q Tea Monster Newark     </v>
      </c>
    </row>
    <row r="8">
      <c r="A8" s="1">
        <v>6.0</v>
      </c>
      <c r="B8" s="3" t="s">
        <v>1031</v>
      </c>
      <c r="C8" s="1">
        <v>5.0</v>
      </c>
      <c r="D8" s="1" t="s">
        <v>22</v>
      </c>
      <c r="E8" s="3" t="s">
        <v>9</v>
      </c>
      <c r="F8" s="1" t="s">
        <v>1032</v>
      </c>
      <c r="G8" t="str">
        <f t="shared" si="1"/>
        <v>Gong Cha Fremont              </v>
      </c>
      <c r="H8" s="1" t="str">
        <f>IFERROR(__xludf.DUMMYFUNCTION("SPLIT(B8,""-"")"),"Gong Cha Fremont      ")</f>
        <v>Gong Cha Fremont      </v>
      </c>
    </row>
    <row r="9">
      <c r="A9" s="1">
        <v>6.0</v>
      </c>
      <c r="B9" s="3" t="s">
        <v>1031</v>
      </c>
      <c r="C9" s="1">
        <v>4.0</v>
      </c>
      <c r="D9" s="1" t="s">
        <v>22</v>
      </c>
      <c r="E9" s="3" t="s">
        <v>9</v>
      </c>
      <c r="F9" s="1" t="s">
        <v>1032</v>
      </c>
      <c r="G9" t="str">
        <f t="shared" si="1"/>
        <v>Gong Cha Fremont              </v>
      </c>
      <c r="H9" s="1" t="str">
        <f>IFERROR(__xludf.DUMMYFUNCTION("SPLIT(B9,""-"")"),"Gong Cha Fremont      ")</f>
        <v>Gong Cha Fremont      </v>
      </c>
    </row>
    <row r="10">
      <c r="A10" s="1">
        <v>7.0</v>
      </c>
      <c r="B10" s="3" t="s">
        <v>1033</v>
      </c>
      <c r="C10" s="1">
        <v>4.5</v>
      </c>
      <c r="D10" s="1" t="s">
        <v>24</v>
      </c>
      <c r="E10" s="3" t="s">
        <v>9</v>
      </c>
      <c r="F10" s="1" t="s">
        <v>1034</v>
      </c>
      <c r="G10" t="str">
        <f t="shared" si="1"/>
        <v>Happy Lemon Fremont 2             </v>
      </c>
      <c r="H10" s="1" t="str">
        <f>IFERROR(__xludf.DUMMYFUNCTION("SPLIT(B10,""-"")"),"Happy Lemon Fremont 2     ")</f>
        <v>Happy Lemon Fremont 2     </v>
      </c>
    </row>
    <row r="11">
      <c r="A11" s="1">
        <v>8.0</v>
      </c>
      <c r="B11" s="3" t="s">
        <v>1035</v>
      </c>
      <c r="C11" s="1">
        <v>3.5</v>
      </c>
      <c r="D11" s="1" t="s">
        <v>26</v>
      </c>
      <c r="E11" s="3" t="s">
        <v>9</v>
      </c>
      <c r="F11" s="1" t="s">
        <v>1036</v>
      </c>
      <c r="G11" t="str">
        <f t="shared" si="1"/>
        <v>Factory Tea Bar Fremont 2            </v>
      </c>
      <c r="H11" s="1" t="str">
        <f>IFERROR(__xludf.DUMMYFUNCTION("SPLIT(B11,""-"")"),"Factory Tea Bar Fremont 2    ")</f>
        <v>Factory Tea Bar Fremont 2    </v>
      </c>
    </row>
    <row r="12">
      <c r="A12" s="1">
        <v>9.0</v>
      </c>
      <c r="B12" s="3" t="s">
        <v>1037</v>
      </c>
      <c r="C12" s="1">
        <v>3.5</v>
      </c>
      <c r="D12" s="1" t="s">
        <v>28</v>
      </c>
      <c r="E12" s="3" t="s">
        <v>9</v>
      </c>
      <c r="F12" s="1" t="s">
        <v>1038</v>
      </c>
      <c r="G12" t="str">
        <f t="shared" si="1"/>
        <v>Super Cue Cafe Fremont             </v>
      </c>
      <c r="H12" s="1" t="str">
        <f>IFERROR(__xludf.DUMMYFUNCTION("SPLIT(B12,""-"")"),"Super Cue Cafe Fremont     ")</f>
        <v>Super Cue Cafe Fremont     </v>
      </c>
    </row>
    <row r="13">
      <c r="A13" s="1">
        <v>10.0</v>
      </c>
      <c r="B13" s="3" t="s">
        <v>1039</v>
      </c>
      <c r="C13" s="1">
        <v>3.5</v>
      </c>
      <c r="D13" s="1" t="s">
        <v>30</v>
      </c>
      <c r="E13" s="3" t="s">
        <v>9</v>
      </c>
      <c r="F13" s="1" t="s">
        <v>1040</v>
      </c>
      <c r="G13" t="str">
        <f t="shared" si="1"/>
        <v>Milk And Honey Cafe Fremont            </v>
      </c>
      <c r="H13" s="1" t="str">
        <f>IFERROR(__xludf.DUMMYFUNCTION("SPLIT(B13,""-"")"),"Milk And Honey Cafe Fremont    ")</f>
        <v>Milk And Honey Cafe Fremont    </v>
      </c>
    </row>
    <row r="14">
      <c r="A14" s="1">
        <v>11.0</v>
      </c>
      <c r="B14" s="3" t="s">
        <v>1041</v>
      </c>
      <c r="C14" s="1">
        <v>4.0</v>
      </c>
      <c r="D14" s="1" t="s">
        <v>32</v>
      </c>
      <c r="E14" s="3" t="s">
        <v>9</v>
      </c>
      <c r="F14" s="1" t="s">
        <v>1042</v>
      </c>
      <c r="G14" t="str">
        <f t="shared" si="1"/>
        <v>Tea Island Fremont 2             </v>
      </c>
      <c r="H14" s="1" t="str">
        <f>IFERROR(__xludf.DUMMYFUNCTION("SPLIT(B14,""-"")"),"Tea Island Fremont 2     ")</f>
        <v>Tea Island Fremont 2     </v>
      </c>
    </row>
    <row r="15">
      <c r="A15" s="1">
        <v>12.0</v>
      </c>
      <c r="B15" s="3" t="s">
        <v>1043</v>
      </c>
      <c r="C15" s="1">
        <v>3.5</v>
      </c>
      <c r="D15" s="1" t="s">
        <v>34</v>
      </c>
      <c r="E15" s="3" t="s">
        <v>9</v>
      </c>
      <c r="F15" s="1" t="s">
        <v>1044</v>
      </c>
      <c r="G15" t="str">
        <f t="shared" si="1"/>
        <v>Taro Taro Dessert And Tea House Fremont          </v>
      </c>
      <c r="H15" s="1" t="str">
        <f>IFERROR(__xludf.DUMMYFUNCTION("SPLIT(B15,""-"")"),"Taro Taro Dessert And Tea House Fremont  ")</f>
        <v>Taro Taro Dessert And Tea House Fremont  </v>
      </c>
    </row>
    <row r="16">
      <c r="A16" s="1">
        <v>13.0</v>
      </c>
      <c r="B16" s="3" t="s">
        <v>1045</v>
      </c>
      <c r="C16" s="1">
        <v>3.5</v>
      </c>
      <c r="D16" s="1" t="s">
        <v>36</v>
      </c>
      <c r="E16" s="3" t="s">
        <v>9</v>
      </c>
      <c r="F16" s="1" t="s">
        <v>1046</v>
      </c>
      <c r="G16" t="str">
        <f t="shared" si="1"/>
        <v>I Tea Fremont 2             </v>
      </c>
      <c r="H16" s="1" t="str">
        <f>IFERROR(__xludf.DUMMYFUNCTION("SPLIT(B16,""-"")"),"I Tea Fremont 2     ")</f>
        <v>I Tea Fremont 2     </v>
      </c>
    </row>
    <row r="17">
      <c r="A17" s="1">
        <v>14.0</v>
      </c>
      <c r="B17" s="3" t="s">
        <v>1047</v>
      </c>
      <c r="C17" s="1">
        <v>4.0</v>
      </c>
      <c r="D17" s="1" t="s">
        <v>38</v>
      </c>
      <c r="E17" s="3" t="s">
        <v>20</v>
      </c>
      <c r="F17" s="1" t="s">
        <v>1048</v>
      </c>
      <c r="G17" t="str">
        <f t="shared" si="1"/>
        <v>I Tea Newark              </v>
      </c>
      <c r="H17" s="1" t="str">
        <f>IFERROR(__xludf.DUMMYFUNCTION("SPLIT(B17,""-"")"),"I Tea Newark      ")</f>
        <v>I Tea Newark      </v>
      </c>
    </row>
    <row r="18">
      <c r="A18" s="1">
        <v>15.0</v>
      </c>
      <c r="B18" s="3" t="s">
        <v>1049</v>
      </c>
      <c r="C18" s="1">
        <v>4.0</v>
      </c>
      <c r="D18" s="1" t="s">
        <v>40</v>
      </c>
      <c r="E18" s="3" t="s">
        <v>9</v>
      </c>
      <c r="F18" s="1" t="s">
        <v>1050</v>
      </c>
      <c r="G18" t="str">
        <f t="shared" si="1"/>
        <v>Sharetea Fremont 2              </v>
      </c>
      <c r="H18" s="1" t="str">
        <f>IFERROR(__xludf.DUMMYFUNCTION("SPLIT(B18,""-"")"),"Sharetea Fremont 2      ")</f>
        <v>Sharetea Fremont 2      </v>
      </c>
    </row>
    <row r="19">
      <c r="A19" s="1">
        <v>16.0</v>
      </c>
      <c r="B19" s="3" t="s">
        <v>1051</v>
      </c>
      <c r="C19" s="1">
        <v>3.5</v>
      </c>
      <c r="D19" s="1" t="s">
        <v>42</v>
      </c>
      <c r="E19" s="3" t="s">
        <v>9</v>
      </c>
      <c r="F19" s="1" t="s">
        <v>1052</v>
      </c>
      <c r="G19" t="str">
        <f t="shared" si="1"/>
        <v>Urbain Tea Fremont              </v>
      </c>
      <c r="H19" s="1" t="str">
        <f>IFERROR(__xludf.DUMMYFUNCTION("SPLIT(B19,""-"")"),"Urbain Tea Fremont      ")</f>
        <v>Urbain Tea Fremont      </v>
      </c>
    </row>
    <row r="20">
      <c r="A20" s="1">
        <v>17.0</v>
      </c>
      <c r="B20" s="3" t="s">
        <v>1053</v>
      </c>
      <c r="C20" s="1">
        <v>4.0</v>
      </c>
      <c r="D20" s="1" t="s">
        <v>44</v>
      </c>
      <c r="E20" s="3" t="s">
        <v>20</v>
      </c>
      <c r="F20" s="1" t="s">
        <v>1054</v>
      </c>
      <c r="G20" t="str">
        <f t="shared" si="1"/>
        <v>Mandro Teahouse Newark 3             </v>
      </c>
      <c r="H20" s="1" t="str">
        <f>IFERROR(__xludf.DUMMYFUNCTION("SPLIT(B20,""-"")"),"Mandro Teahouse Newark 3     ")</f>
        <v>Mandro Teahouse Newark 3     </v>
      </c>
    </row>
    <row r="21">
      <c r="A21" s="1">
        <v>18.0</v>
      </c>
      <c r="B21" s="3" t="s">
        <v>1055</v>
      </c>
      <c r="C21" s="1">
        <v>4.0</v>
      </c>
      <c r="D21" s="1" t="s">
        <v>46</v>
      </c>
      <c r="E21" s="3" t="s">
        <v>20</v>
      </c>
      <c r="F21" s="1" t="s">
        <v>1056</v>
      </c>
      <c r="G21" t="str">
        <f t="shared" si="1"/>
        <v>Gong Cha Newark              </v>
      </c>
      <c r="H21" s="1" t="str">
        <f>IFERROR(__xludf.DUMMYFUNCTION("SPLIT(B21,""-"")"),"Gong Cha Newark      ")</f>
        <v>Gong Cha Newark      </v>
      </c>
    </row>
    <row r="22">
      <c r="A22" s="1">
        <v>19.0</v>
      </c>
      <c r="B22" s="3" t="s">
        <v>1057</v>
      </c>
      <c r="C22" s="1">
        <v>3.5</v>
      </c>
      <c r="D22" s="1" t="s">
        <v>48</v>
      </c>
      <c r="E22" s="3" t="s">
        <v>9</v>
      </c>
      <c r="F22" s="1" t="s">
        <v>1058</v>
      </c>
      <c r="G22" t="str">
        <f t="shared" si="1"/>
        <v>Tea Six Fremont 2             </v>
      </c>
      <c r="H22" s="1" t="str">
        <f>IFERROR(__xludf.DUMMYFUNCTION("SPLIT(B22,""-"")"),"Tea Six Fremont 2     ")</f>
        <v>Tea Six Fremont 2     </v>
      </c>
    </row>
    <row r="23">
      <c r="A23" s="1">
        <v>20.0</v>
      </c>
      <c r="B23" s="3" t="s">
        <v>1059</v>
      </c>
      <c r="C23" s="1">
        <v>3.0</v>
      </c>
      <c r="D23" s="1" t="s">
        <v>50</v>
      </c>
      <c r="E23" s="3" t="s">
        <v>9</v>
      </c>
      <c r="F23" s="1" t="s">
        <v>1060</v>
      </c>
      <c r="G23" t="str">
        <f t="shared" si="1"/>
        <v>Tata Teahouse Fremont 2             </v>
      </c>
      <c r="H23" s="1" t="str">
        <f>IFERROR(__xludf.DUMMYFUNCTION("SPLIT(B23,""-"")"),"Tata Teahouse Fremont 2     ")</f>
        <v>Tata Teahouse Fremont 2     </v>
      </c>
    </row>
    <row r="24">
      <c r="A24" s="1">
        <v>21.0</v>
      </c>
      <c r="B24" s="3" t="s">
        <v>1061</v>
      </c>
      <c r="C24" s="1">
        <v>3.5</v>
      </c>
      <c r="D24" s="1" t="s">
        <v>52</v>
      </c>
      <c r="E24" s="3" t="s">
        <v>20</v>
      </c>
      <c r="F24" s="1" t="s">
        <v>1062</v>
      </c>
      <c r="G24" t="str">
        <f t="shared" si="1"/>
        <v>Tea Station Newark              </v>
      </c>
      <c r="H24" s="1" t="str">
        <f>IFERROR(__xludf.DUMMYFUNCTION("SPLIT(B24,""-"")"),"Tea Station Newark      ")</f>
        <v>Tea Station Newark      </v>
      </c>
    </row>
    <row r="25">
      <c r="A25" s="1">
        <v>22.0</v>
      </c>
      <c r="B25" s="3" t="s">
        <v>1063</v>
      </c>
      <c r="C25" s="1">
        <v>3.0</v>
      </c>
      <c r="D25" s="1" t="s">
        <v>54</v>
      </c>
      <c r="E25" s="3" t="s">
        <v>9</v>
      </c>
      <c r="F25" s="1" t="s">
        <v>1064</v>
      </c>
      <c r="G25" t="str">
        <f t="shared" si="1"/>
        <v>Sno Crave Tea House Fremont            </v>
      </c>
      <c r="H25" s="1" t="str">
        <f>IFERROR(__xludf.DUMMYFUNCTION("SPLIT(B25,""-"")"),"Sno Crave Tea House Fremont    ")</f>
        <v>Sno Crave Tea House Fremont    </v>
      </c>
    </row>
    <row r="26">
      <c r="A26" s="1">
        <v>23.0</v>
      </c>
      <c r="B26" s="3" t="s">
        <v>1065</v>
      </c>
      <c r="C26" s="1">
        <v>5.0</v>
      </c>
      <c r="D26" s="1" t="s">
        <v>56</v>
      </c>
      <c r="E26" s="3" t="s">
        <v>9</v>
      </c>
      <c r="F26" s="1" t="s">
        <v>1066</v>
      </c>
      <c r="G26" t="str">
        <f t="shared" si="1"/>
        <v>Boba Queen Fremont              </v>
      </c>
      <c r="H26" s="1" t="str">
        <f>IFERROR(__xludf.DUMMYFUNCTION("SPLIT(B26,""-"")"),"Boba Queen Fremont      ")</f>
        <v>Boba Queen Fremont      </v>
      </c>
    </row>
    <row r="27">
      <c r="A27" s="1">
        <v>24.0</v>
      </c>
      <c r="B27" s="3" t="s">
        <v>1067</v>
      </c>
      <c r="C27" s="1">
        <v>3.5</v>
      </c>
      <c r="D27" s="1" t="s">
        <v>58</v>
      </c>
      <c r="E27" s="3" t="s">
        <v>9</v>
      </c>
      <c r="F27" s="1" t="s">
        <v>1068</v>
      </c>
      <c r="G27" t="str">
        <f t="shared" si="1"/>
        <v>T4 Tea Fremont 2             </v>
      </c>
      <c r="H27" s="1" t="str">
        <f>IFERROR(__xludf.DUMMYFUNCTION("SPLIT(B27,""-"")"),"T4 Tea Fremont 2     ")</f>
        <v>T4 Tea Fremont 2     </v>
      </c>
    </row>
    <row r="28">
      <c r="A28" s="1">
        <v>25.0</v>
      </c>
      <c r="B28" s="3" t="s">
        <v>1069</v>
      </c>
      <c r="C28" s="1">
        <v>3.5</v>
      </c>
      <c r="D28" s="1" t="s">
        <v>60</v>
      </c>
      <c r="E28" s="3" t="s">
        <v>61</v>
      </c>
      <c r="F28" s="1" t="s">
        <v>1070</v>
      </c>
      <c r="G28" t="str">
        <f t="shared" si="1"/>
        <v>Boba Fitt Drinks Union City            </v>
      </c>
      <c r="H28" s="1" t="str">
        <f>IFERROR(__xludf.DUMMYFUNCTION("SPLIT(B28,""-"")"),"Boba Fitt Drinks Union City    ")</f>
        <v>Boba Fitt Drinks Union City    </v>
      </c>
    </row>
    <row r="29">
      <c r="A29" s="1">
        <v>26.0</v>
      </c>
      <c r="B29" s="3" t="s">
        <v>1071</v>
      </c>
      <c r="C29" s="1">
        <v>3.5</v>
      </c>
      <c r="D29" s="1" t="s">
        <v>63</v>
      </c>
      <c r="E29" s="3" t="s">
        <v>9</v>
      </c>
      <c r="F29" s="1" t="s">
        <v>1072</v>
      </c>
      <c r="G29" t="str">
        <f t="shared" si="1"/>
        <v>Sweet Home Cafe Fremont 2            </v>
      </c>
      <c r="H29" s="1" t="str">
        <f>IFERROR(__xludf.DUMMYFUNCTION("SPLIT(B29,""-"")"),"Sweet Home Cafe Fremont 2    ")</f>
        <v>Sweet Home Cafe Fremont 2    </v>
      </c>
    </row>
    <row r="30">
      <c r="A30" s="1">
        <v>27.0</v>
      </c>
      <c r="B30" s="3" t="s">
        <v>1073</v>
      </c>
      <c r="C30" s="1">
        <v>4.0</v>
      </c>
      <c r="D30" s="1" t="s">
        <v>65</v>
      </c>
      <c r="E30" s="3" t="s">
        <v>66</v>
      </c>
      <c r="F30" s="1" t="s">
        <v>1074</v>
      </c>
      <c r="G30" t="str">
        <f t="shared" si="1"/>
        <v>Tea Era Mountain View 2            </v>
      </c>
      <c r="H30" s="1" t="str">
        <f>IFERROR(__xludf.DUMMYFUNCTION("SPLIT(B30,""-"")"),"Tea Era Mountain View 2    ")</f>
        <v>Tea Era Mountain View 2    </v>
      </c>
    </row>
    <row r="31">
      <c r="A31" s="1">
        <v>28.0</v>
      </c>
      <c r="B31" s="3" t="s">
        <v>1075</v>
      </c>
      <c r="C31" s="1">
        <v>4.0</v>
      </c>
      <c r="D31" s="1" t="s">
        <v>68</v>
      </c>
      <c r="E31" s="3" t="s">
        <v>69</v>
      </c>
      <c r="F31" s="1" t="s">
        <v>1076</v>
      </c>
      <c r="G31" t="str">
        <f t="shared" si="1"/>
        <v>Teaspoon Los Altos              </v>
      </c>
      <c r="H31" s="1" t="str">
        <f>IFERROR(__xludf.DUMMYFUNCTION("SPLIT(B31,""-"")"),"Teaspoon Los Altos      ")</f>
        <v>Teaspoon Los Altos      </v>
      </c>
    </row>
    <row r="32">
      <c r="A32" s="1">
        <v>29.0</v>
      </c>
      <c r="B32" s="3" t="s">
        <v>1077</v>
      </c>
      <c r="C32" s="1">
        <v>3.5</v>
      </c>
      <c r="D32" s="1" t="s">
        <v>71</v>
      </c>
      <c r="E32" s="3" t="s">
        <v>9</v>
      </c>
      <c r="F32" s="1" t="s">
        <v>1078</v>
      </c>
      <c r="G32" t="str">
        <f t="shared" si="1"/>
        <v>T4 Fremont 8              </v>
      </c>
      <c r="H32" s="1" t="str">
        <f>IFERROR(__xludf.DUMMYFUNCTION("SPLIT(B32,""-"")"),"T4 Fremont 8      ")</f>
        <v>T4 Fremont 8      </v>
      </c>
    </row>
    <row r="33">
      <c r="A33" s="1">
        <v>30.0</v>
      </c>
      <c r="B33" s="3" t="s">
        <v>1079</v>
      </c>
      <c r="C33" s="1">
        <v>4.0</v>
      </c>
      <c r="D33" s="1" t="s">
        <v>73</v>
      </c>
      <c r="E33" s="3" t="s">
        <v>9</v>
      </c>
      <c r="F33" s="1" t="s">
        <v>1080</v>
      </c>
      <c r="G33" t="str">
        <f t="shared" si="1"/>
        <v>My Delights Fremont              </v>
      </c>
      <c r="H33" s="1" t="str">
        <f>IFERROR(__xludf.DUMMYFUNCTION("SPLIT(B33,""-"")"),"My Delights Fremont      ")</f>
        <v>My Delights Fremont      </v>
      </c>
    </row>
    <row r="34">
      <c r="A34" s="1">
        <v>31.0</v>
      </c>
      <c r="B34" s="3" t="s">
        <v>1081</v>
      </c>
      <c r="C34" s="1">
        <v>3.0</v>
      </c>
      <c r="D34" s="1" t="s">
        <v>75</v>
      </c>
      <c r="E34" s="3" t="s">
        <v>9</v>
      </c>
      <c r="F34" s="1" t="s">
        <v>1082</v>
      </c>
      <c r="G34" t="str">
        <f t="shared" si="1"/>
        <v>T4 Fremont 3              </v>
      </c>
      <c r="H34" s="1" t="str">
        <f>IFERROR(__xludf.DUMMYFUNCTION("SPLIT(B34,""-"")"),"T4 Fremont 3      ")</f>
        <v>T4 Fremont 3      </v>
      </c>
    </row>
    <row r="35">
      <c r="A35" s="1">
        <v>32.0</v>
      </c>
      <c r="B35" s="3" t="s">
        <v>1083</v>
      </c>
      <c r="C35" s="1">
        <v>4.0</v>
      </c>
      <c r="D35" s="1" t="s">
        <v>77</v>
      </c>
      <c r="E35" s="3" t="s">
        <v>61</v>
      </c>
      <c r="F35" s="1" t="s">
        <v>1084</v>
      </c>
      <c r="G35" t="str">
        <f t="shared" si="1"/>
        <v>Sno Crave Teahouse Union City            </v>
      </c>
      <c r="H35" s="1" t="str">
        <f>IFERROR(__xludf.DUMMYFUNCTION("SPLIT(B35,""-"")"),"Sno Crave Teahouse Union City    ")</f>
        <v>Sno Crave Teahouse Union City    </v>
      </c>
    </row>
    <row r="36">
      <c r="A36" s="1">
        <v>33.0</v>
      </c>
      <c r="B36" s="3" t="s">
        <v>1085</v>
      </c>
      <c r="C36" s="1">
        <v>3.5</v>
      </c>
      <c r="D36" s="1" t="s">
        <v>79</v>
      </c>
      <c r="E36" s="3" t="s">
        <v>61</v>
      </c>
      <c r="F36" s="1" t="s">
        <v>1086</v>
      </c>
      <c r="G36" t="str">
        <f t="shared" si="1"/>
        <v>Sharetea Union City 3             </v>
      </c>
      <c r="H36" s="1" t="str">
        <f>IFERROR(__xludf.DUMMYFUNCTION("SPLIT(B36,""-"")"),"Sharetea Union City 3     ")</f>
        <v>Sharetea Union City 3     </v>
      </c>
    </row>
    <row r="37">
      <c r="A37" s="1">
        <v>34.0</v>
      </c>
      <c r="B37" s="3" t="s">
        <v>1087</v>
      </c>
      <c r="C37" s="1">
        <v>4.0</v>
      </c>
      <c r="D37" s="1" t="s">
        <v>81</v>
      </c>
      <c r="E37" s="3" t="s">
        <v>82</v>
      </c>
      <c r="F37" s="1" t="s">
        <v>1088</v>
      </c>
      <c r="G37" t="str">
        <f t="shared" si="1"/>
        <v>Tastea San Jose 2             </v>
      </c>
      <c r="H37" s="1" t="str">
        <f>IFERROR(__xludf.DUMMYFUNCTION("SPLIT(B37,""-"")"),"Tastea San Jose 2     ")</f>
        <v>Tastea San Jose 2     </v>
      </c>
    </row>
    <row r="38">
      <c r="A38" s="1">
        <v>35.0</v>
      </c>
      <c r="B38" s="3" t="s">
        <v>1089</v>
      </c>
      <c r="C38" s="1">
        <v>4.0</v>
      </c>
      <c r="D38" s="1" t="s">
        <v>84</v>
      </c>
      <c r="E38" s="3" t="s">
        <v>85</v>
      </c>
      <c r="F38" s="1" t="s">
        <v>1090</v>
      </c>
      <c r="G38" t="str">
        <f t="shared" si="1"/>
        <v>I Tea Castro Valley             </v>
      </c>
      <c r="H38" s="1" t="str">
        <f>IFERROR(__xludf.DUMMYFUNCTION("SPLIT(B38,""-"")"),"I Tea Castro Valley     ")</f>
        <v>I Tea Castro Valley     </v>
      </c>
    </row>
    <row r="39">
      <c r="A39" s="1">
        <v>36.0</v>
      </c>
      <c r="B39" s="3" t="s">
        <v>1091</v>
      </c>
      <c r="C39" s="1">
        <v>3.5</v>
      </c>
      <c r="D39" s="1" t="s">
        <v>87</v>
      </c>
      <c r="E39" s="3" t="s">
        <v>20</v>
      </c>
      <c r="F39" s="1" t="s">
        <v>1092</v>
      </c>
      <c r="G39" t="str">
        <f t="shared" si="1"/>
        <v>Caface Newark 2              </v>
      </c>
      <c r="H39" s="1" t="str">
        <f>IFERROR(__xludf.DUMMYFUNCTION("SPLIT(B39,""-"")"),"Caface Newark 2      ")</f>
        <v>Caface Newark 2      </v>
      </c>
    </row>
    <row r="40">
      <c r="A40" s="1">
        <v>37.0</v>
      </c>
      <c r="B40" s="3" t="s">
        <v>1093</v>
      </c>
      <c r="C40" s="1">
        <v>4.0</v>
      </c>
      <c r="D40" s="1" t="s">
        <v>89</v>
      </c>
      <c r="E40" s="3" t="s">
        <v>90</v>
      </c>
      <c r="F40" s="1" t="s">
        <v>1094</v>
      </c>
      <c r="G40" t="str">
        <f t="shared" si="1"/>
        <v>Tea Villa Milpitas              </v>
      </c>
      <c r="H40" s="1" t="str">
        <f>IFERROR(__xludf.DUMMYFUNCTION("SPLIT(B40,""-"")"),"Tea Villa Milpitas      ")</f>
        <v>Tea Villa Milpitas      </v>
      </c>
    </row>
    <row r="41">
      <c r="A41" s="1">
        <v>38.0</v>
      </c>
      <c r="B41" s="3" t="s">
        <v>1095</v>
      </c>
      <c r="C41" s="1">
        <v>3.5</v>
      </c>
      <c r="D41" s="1" t="s">
        <v>92</v>
      </c>
      <c r="E41" s="3" t="s">
        <v>61</v>
      </c>
      <c r="F41" s="1" t="s">
        <v>1096</v>
      </c>
      <c r="G41" t="str">
        <f t="shared" si="1"/>
        <v>Mr Green Bubble Union City            </v>
      </c>
      <c r="H41" s="1" t="str">
        <f>IFERROR(__xludf.DUMMYFUNCTION("SPLIT(B41,""-"")"),"Mr Green Bubble Union City    ")</f>
        <v>Mr Green Bubble Union City    </v>
      </c>
    </row>
    <row r="42">
      <c r="A42" s="1">
        <v>39.0</v>
      </c>
      <c r="B42" s="3" t="s">
        <v>1097</v>
      </c>
      <c r="C42" s="1">
        <v>4.0</v>
      </c>
      <c r="D42" s="1" t="s">
        <v>94</v>
      </c>
      <c r="E42" s="3" t="s">
        <v>95</v>
      </c>
      <c r="F42" s="1" t="s">
        <v>1098</v>
      </c>
      <c r="G42" t="str">
        <f t="shared" si="1"/>
        <v>Pop Tea Bar Palo Alto 2           </v>
      </c>
      <c r="H42" s="1" t="str">
        <f>IFERROR(__xludf.DUMMYFUNCTION("SPLIT(B42,""-"")"),"Pop Tea Bar Palo Alto 2   ")</f>
        <v>Pop Tea Bar Palo Alto 2   </v>
      </c>
    </row>
    <row r="43">
      <c r="A43" s="1">
        <v>40.0</v>
      </c>
      <c r="B43" s="3" t="s">
        <v>1099</v>
      </c>
      <c r="C43" s="1">
        <v>4.0</v>
      </c>
      <c r="D43" s="1" t="s">
        <v>97</v>
      </c>
      <c r="E43" s="3" t="s">
        <v>90</v>
      </c>
      <c r="F43" s="1" t="s">
        <v>1100</v>
      </c>
      <c r="G43" t="str">
        <f t="shared" si="1"/>
        <v>I Tea Milpitas              </v>
      </c>
      <c r="H43" s="1" t="str">
        <f>IFERROR(__xludf.DUMMYFUNCTION("SPLIT(B43,""-"")"),"I Tea Milpitas      ")</f>
        <v>I Tea Milpitas      </v>
      </c>
    </row>
    <row r="44">
      <c r="A44" s="1">
        <v>41.0</v>
      </c>
      <c r="B44" s="3" t="s">
        <v>1101</v>
      </c>
      <c r="C44" s="1">
        <v>3.5</v>
      </c>
      <c r="D44" s="1" t="s">
        <v>99</v>
      </c>
      <c r="E44" s="3" t="s">
        <v>61</v>
      </c>
      <c r="F44" s="1" t="s">
        <v>1102</v>
      </c>
      <c r="G44" t="str">
        <f t="shared" si="1"/>
        <v>Joy 4 Tea Union City            </v>
      </c>
      <c r="H44" s="1" t="str">
        <f>IFERROR(__xludf.DUMMYFUNCTION("SPLIT(B44,""-"")"),"Joy 4 Tea Union City    ")</f>
        <v>Joy 4 Tea Union City    </v>
      </c>
    </row>
    <row r="45">
      <c r="A45" s="1">
        <v>42.0</v>
      </c>
      <c r="B45" s="3" t="s">
        <v>1103</v>
      </c>
      <c r="C45" s="1">
        <v>4.0</v>
      </c>
      <c r="D45" s="1" t="s">
        <v>101</v>
      </c>
      <c r="E45" s="3" t="s">
        <v>9</v>
      </c>
      <c r="F45" s="1" t="s">
        <v>1104</v>
      </c>
      <c r="G45" t="str">
        <f t="shared" si="1"/>
        <v>Sweet Coco Fremont 3             </v>
      </c>
      <c r="H45" s="1" t="str">
        <f>IFERROR(__xludf.DUMMYFUNCTION("SPLIT(B45,""-"")"),"Sweet Coco Fremont 3     ")</f>
        <v>Sweet Coco Fremont 3     </v>
      </c>
    </row>
    <row r="46">
      <c r="A46" s="1">
        <v>43.0</v>
      </c>
      <c r="B46" s="3" t="s">
        <v>1105</v>
      </c>
      <c r="C46" s="1">
        <v>3.5</v>
      </c>
      <c r="D46" s="1" t="s">
        <v>103</v>
      </c>
      <c r="E46" s="3" t="s">
        <v>9</v>
      </c>
      <c r="F46" s="1" t="s">
        <v>1106</v>
      </c>
      <c r="G46" t="str">
        <f t="shared" si="1"/>
        <v>Icy Blue Fremont              </v>
      </c>
      <c r="H46" s="1" t="str">
        <f>IFERROR(__xludf.DUMMYFUNCTION("SPLIT(B46,""-"")"),"Icy Blue Fremont      ")</f>
        <v>Icy Blue Fremont      </v>
      </c>
    </row>
    <row r="47">
      <c r="A47" s="1">
        <v>44.0</v>
      </c>
      <c r="B47" s="3" t="s">
        <v>1107</v>
      </c>
      <c r="C47" s="1">
        <v>4.5</v>
      </c>
      <c r="D47" s="1" t="s">
        <v>105</v>
      </c>
      <c r="E47" s="3" t="s">
        <v>90</v>
      </c>
      <c r="F47" s="1" t="s">
        <v>1108</v>
      </c>
      <c r="G47" t="str">
        <f t="shared" si="1"/>
        <v>Teatop Milpitas               </v>
      </c>
      <c r="H47" s="1" t="str">
        <f>IFERROR(__xludf.DUMMYFUNCTION("SPLIT(B47,""-"")"),"Teatop Milpitas       ")</f>
        <v>Teatop Milpitas       </v>
      </c>
    </row>
    <row r="48">
      <c r="A48" s="1">
        <v>45.0</v>
      </c>
      <c r="B48" s="3" t="s">
        <v>1109</v>
      </c>
      <c r="C48" s="1">
        <v>4.5</v>
      </c>
      <c r="D48" s="1" t="s">
        <v>107</v>
      </c>
      <c r="E48" s="3" t="s">
        <v>90</v>
      </c>
      <c r="F48" s="1" t="s">
        <v>1110</v>
      </c>
      <c r="G48" t="str">
        <f t="shared" si="1"/>
        <v>Ten Ren Tea Co Of Milpitas Milpitas          </v>
      </c>
      <c r="H48" s="1" t="str">
        <f>IFERROR(__xludf.DUMMYFUNCTION("SPLIT(B48,""-"")"),"Ten Ren Tea Co Of Milpitas Milpitas  ")</f>
        <v>Ten Ren Tea Co Of Milpitas Milpitas  </v>
      </c>
    </row>
    <row r="49">
      <c r="A49" s="1">
        <v>46.0</v>
      </c>
      <c r="B49" s="3" t="s">
        <v>1111</v>
      </c>
      <c r="C49" s="1">
        <v>4.0</v>
      </c>
      <c r="D49" s="1" t="s">
        <v>109</v>
      </c>
      <c r="E49" s="3" t="s">
        <v>90</v>
      </c>
      <c r="F49" s="1" t="s">
        <v>1112</v>
      </c>
      <c r="G49" t="str">
        <f t="shared" si="1"/>
        <v>Fantasia Coffee And Tea Milpitas 2           </v>
      </c>
      <c r="H49" s="1" t="str">
        <f>IFERROR(__xludf.DUMMYFUNCTION("SPLIT(B49,""-"")"),"Fantasia Coffee And Tea Milpitas 2   ")</f>
        <v>Fantasia Coffee And Tea Milpitas 2   </v>
      </c>
    </row>
    <row r="50">
      <c r="A50" s="1">
        <v>47.0</v>
      </c>
      <c r="B50" s="3" t="s">
        <v>1113</v>
      </c>
      <c r="C50" s="1">
        <v>3.5</v>
      </c>
      <c r="D50" s="1" t="s">
        <v>111</v>
      </c>
      <c r="E50" s="3" t="s">
        <v>61</v>
      </c>
      <c r="F50" s="1" t="s">
        <v>1114</v>
      </c>
      <c r="G50" t="str">
        <f t="shared" si="1"/>
        <v>Tapioca Express Union City 2            </v>
      </c>
      <c r="H50" s="1" t="str">
        <f>IFERROR(__xludf.DUMMYFUNCTION("SPLIT(B50,""-"")"),"Tapioca Express Union City 2    ")</f>
        <v>Tapioca Express Union City 2    </v>
      </c>
    </row>
    <row r="51">
      <c r="A51" s="1">
        <v>48.0</v>
      </c>
      <c r="B51" s="3" t="s">
        <v>1115</v>
      </c>
      <c r="C51" s="1">
        <v>4.0</v>
      </c>
      <c r="D51" s="1" t="s">
        <v>113</v>
      </c>
      <c r="E51" s="3" t="s">
        <v>95</v>
      </c>
      <c r="F51" s="1" t="s">
        <v>1116</v>
      </c>
      <c r="G51" t="str">
        <f t="shared" si="1"/>
        <v>Gong Cha Palo Alto             </v>
      </c>
      <c r="H51" s="1" t="str">
        <f>IFERROR(__xludf.DUMMYFUNCTION("SPLIT(B51,""-"")"),"Gong Cha Palo Alto     ")</f>
        <v>Gong Cha Palo Alto     </v>
      </c>
    </row>
    <row r="52">
      <c r="A52" s="1">
        <v>49.0</v>
      </c>
      <c r="B52" s="3" t="s">
        <v>1117</v>
      </c>
      <c r="C52" s="1">
        <v>4.0</v>
      </c>
      <c r="D52" s="1" t="s">
        <v>115</v>
      </c>
      <c r="E52" s="3" t="s">
        <v>116</v>
      </c>
      <c r="F52" s="1" t="s">
        <v>1118</v>
      </c>
      <c r="G52" t="str">
        <f t="shared" si="1"/>
        <v>Sharetea San Leandro 3             </v>
      </c>
      <c r="H52" s="1" t="str">
        <f>IFERROR(__xludf.DUMMYFUNCTION("SPLIT(B52,""-"")"),"Sharetea San Leandro 3     ")</f>
        <v>Sharetea San Leandro 3     </v>
      </c>
    </row>
    <row r="53">
      <c r="A53" s="1">
        <v>50.0</v>
      </c>
      <c r="B53" s="3" t="s">
        <v>1119</v>
      </c>
      <c r="C53" s="1">
        <v>4.0</v>
      </c>
      <c r="D53" s="1" t="s">
        <v>118</v>
      </c>
      <c r="E53" s="3" t="s">
        <v>119</v>
      </c>
      <c r="F53" s="1" t="s">
        <v>1120</v>
      </c>
      <c r="G53" t="str">
        <f t="shared" si="1"/>
        <v>Boba Guys San Francisco 6            </v>
      </c>
      <c r="H53" s="1" t="str">
        <f>IFERROR(__xludf.DUMMYFUNCTION("SPLIT(B53,""-"")"),"Boba Guys San Francisco 6    ")</f>
        <v>Boba Guys San Francisco 6    </v>
      </c>
    </row>
    <row r="54">
      <c r="A54" s="1">
        <v>51.0</v>
      </c>
      <c r="B54" s="3" t="s">
        <v>1121</v>
      </c>
      <c r="C54" s="1">
        <v>4.0</v>
      </c>
      <c r="D54" s="1" t="s">
        <v>121</v>
      </c>
      <c r="E54" s="3" t="s">
        <v>119</v>
      </c>
      <c r="F54" s="1" t="s">
        <v>1122</v>
      </c>
      <c r="G54" t="str">
        <f t="shared" si="1"/>
        <v>Boba Guys San Francisco 4            </v>
      </c>
      <c r="H54" s="1" t="str">
        <f>IFERROR(__xludf.DUMMYFUNCTION("SPLIT(B54,""-"")"),"Boba Guys San Francisco 4    ")</f>
        <v>Boba Guys San Francisco 4    </v>
      </c>
    </row>
    <row r="55">
      <c r="A55" s="1">
        <v>52.0</v>
      </c>
      <c r="B55" s="3" t="s">
        <v>1123</v>
      </c>
      <c r="C55" s="1">
        <v>4.0</v>
      </c>
      <c r="D55" s="1" t="s">
        <v>123</v>
      </c>
      <c r="E55" s="3" t="s">
        <v>119</v>
      </c>
      <c r="F55" s="1" t="s">
        <v>1124</v>
      </c>
      <c r="G55" t="str">
        <f t="shared" si="1"/>
        <v>Wonderful Dessert And Cafe San Francisco 2          </v>
      </c>
      <c r="H55" s="1" t="str">
        <f>IFERROR(__xludf.DUMMYFUNCTION("SPLIT(B55,""-"")"),"Wonderful Dessert And Cafe San Francisco 2  ")</f>
        <v>Wonderful Dessert And Cafe San Francisco 2  </v>
      </c>
    </row>
    <row r="56">
      <c r="A56" s="1">
        <v>53.0</v>
      </c>
      <c r="B56" s="3" t="s">
        <v>1125</v>
      </c>
      <c r="C56" s="1">
        <v>4.0</v>
      </c>
      <c r="D56" s="1" t="s">
        <v>125</v>
      </c>
      <c r="E56" s="3" t="s">
        <v>119</v>
      </c>
      <c r="F56" s="1" t="s">
        <v>1126</v>
      </c>
      <c r="G56" t="str">
        <f t="shared" si="1"/>
        <v>Little Sweet San Francisco 10            </v>
      </c>
      <c r="H56" s="1" t="str">
        <f>IFERROR(__xludf.DUMMYFUNCTION("SPLIT(B56,""-"")"),"Little Sweet San Francisco 10    ")</f>
        <v>Little Sweet San Francisco 10    </v>
      </c>
    </row>
    <row r="57">
      <c r="A57" s="1">
        <v>54.0</v>
      </c>
      <c r="B57" s="3" t="s">
        <v>1127</v>
      </c>
      <c r="C57" s="1">
        <v>4.0</v>
      </c>
      <c r="D57" s="1" t="s">
        <v>127</v>
      </c>
      <c r="E57" s="3" t="s">
        <v>119</v>
      </c>
      <c r="F57" s="1" t="s">
        <v>1128</v>
      </c>
      <c r="G57" t="str">
        <f t="shared" si="1"/>
        <v>Teaspoon San Francisco              </v>
      </c>
      <c r="H57" s="1" t="str">
        <f>IFERROR(__xludf.DUMMYFUNCTION("SPLIT(B57,""-"")"),"Teaspoon San Francisco      ")</f>
        <v>Teaspoon San Francisco      </v>
      </c>
    </row>
    <row r="58">
      <c r="A58" s="1">
        <v>55.0</v>
      </c>
      <c r="B58" s="3" t="s">
        <v>1129</v>
      </c>
      <c r="C58" s="1">
        <v>4.0</v>
      </c>
      <c r="D58" s="1" t="s">
        <v>129</v>
      </c>
      <c r="E58" s="3" t="s">
        <v>119</v>
      </c>
      <c r="F58" s="1" t="s">
        <v>1130</v>
      </c>
      <c r="G58" t="str">
        <f t="shared" si="1"/>
        <v>Boba Guys San Francisco 10            </v>
      </c>
      <c r="H58" s="1" t="str">
        <f>IFERROR(__xludf.DUMMYFUNCTION("SPLIT(B58,""-"")"),"Boba Guys San Francisco 10    ")</f>
        <v>Boba Guys San Francisco 10    </v>
      </c>
    </row>
    <row r="59">
      <c r="A59" s="1">
        <v>56.0</v>
      </c>
      <c r="B59" s="3" t="s">
        <v>1131</v>
      </c>
      <c r="C59" s="1">
        <v>4.5</v>
      </c>
      <c r="D59" s="1" t="s">
        <v>131</v>
      </c>
      <c r="E59" s="3" t="s">
        <v>119</v>
      </c>
      <c r="F59" s="1" t="s">
        <v>1132</v>
      </c>
      <c r="G59" t="str">
        <f t="shared" si="1"/>
        <v>I Tea San Francisco 3            </v>
      </c>
      <c r="H59" s="1" t="str">
        <f>IFERROR(__xludf.DUMMYFUNCTION("SPLIT(B59,""-"")"),"I Tea San Francisco 3    ")</f>
        <v>I Tea San Francisco 3    </v>
      </c>
    </row>
    <row r="60">
      <c r="A60" s="1">
        <v>57.0</v>
      </c>
      <c r="B60" s="3" t="s">
        <v>1133</v>
      </c>
      <c r="C60" s="1">
        <v>4.0</v>
      </c>
      <c r="D60" s="1" t="s">
        <v>133</v>
      </c>
      <c r="E60" s="3" t="s">
        <v>119</v>
      </c>
      <c r="F60" s="1" t="s">
        <v>1134</v>
      </c>
      <c r="G60" t="str">
        <f t="shared" si="1"/>
        <v>Boba Guys San Francisco 7            </v>
      </c>
      <c r="H60" s="1" t="str">
        <f>IFERROR(__xludf.DUMMYFUNCTION("SPLIT(B60,""-"")"),"Boba Guys San Francisco 7    ")</f>
        <v>Boba Guys San Francisco 7    </v>
      </c>
    </row>
    <row r="61">
      <c r="A61" s="1">
        <v>58.0</v>
      </c>
      <c r="B61" s="3" t="s">
        <v>1135</v>
      </c>
      <c r="C61" s="1">
        <v>3.5</v>
      </c>
      <c r="D61" s="1" t="s">
        <v>135</v>
      </c>
      <c r="E61" s="3" t="s">
        <v>119</v>
      </c>
      <c r="F61" s="1" t="s">
        <v>1136</v>
      </c>
      <c r="G61" t="str">
        <f t="shared" si="1"/>
        <v>Plentea San Francisco San Francisco            </v>
      </c>
      <c r="H61" s="1" t="str">
        <f>IFERROR(__xludf.DUMMYFUNCTION("SPLIT(B61,""-"")"),"Plentea San Francisco San Francisco    ")</f>
        <v>Plentea San Francisco San Francisco    </v>
      </c>
    </row>
    <row r="62">
      <c r="A62" s="1">
        <v>59.0</v>
      </c>
      <c r="B62" s="3" t="s">
        <v>1137</v>
      </c>
      <c r="C62" s="1">
        <v>4.5</v>
      </c>
      <c r="D62" s="1" t="s">
        <v>137</v>
      </c>
      <c r="E62" s="3" t="s">
        <v>119</v>
      </c>
      <c r="F62" s="1" t="s">
        <v>1138</v>
      </c>
      <c r="G62" t="str">
        <f t="shared" si="1"/>
        <v>Steap Tea Bar San Francisco 3           </v>
      </c>
      <c r="H62" s="1" t="str">
        <f>IFERROR(__xludf.DUMMYFUNCTION("SPLIT(B62,""-"")"),"Steap Tea Bar San Francisco 3   ")</f>
        <v>Steap Tea Bar San Francisco 3   </v>
      </c>
    </row>
    <row r="63">
      <c r="A63" s="1">
        <v>60.0</v>
      </c>
      <c r="B63" s="3" t="s">
        <v>1139</v>
      </c>
      <c r="C63" s="1">
        <v>3.5</v>
      </c>
      <c r="D63" s="1" t="s">
        <v>139</v>
      </c>
      <c r="E63" s="3" t="s">
        <v>119</v>
      </c>
      <c r="F63" s="1" t="s">
        <v>1140</v>
      </c>
      <c r="G63" t="str">
        <f t="shared" si="1"/>
        <v>Purple Kow San Francisco 2            </v>
      </c>
      <c r="H63" s="1" t="str">
        <f>IFERROR(__xludf.DUMMYFUNCTION("SPLIT(B63,""-"")"),"Purple Kow San Francisco 2    ")</f>
        <v>Purple Kow San Francisco 2    </v>
      </c>
    </row>
    <row r="64">
      <c r="A64" s="1">
        <v>61.0</v>
      </c>
      <c r="B64" s="3" t="s">
        <v>1141</v>
      </c>
      <c r="C64" s="1">
        <v>4.5</v>
      </c>
      <c r="D64" s="1" t="s">
        <v>141</v>
      </c>
      <c r="E64" s="3" t="s">
        <v>119</v>
      </c>
      <c r="F64" s="1" t="s">
        <v>1142</v>
      </c>
      <c r="G64" t="str">
        <f t="shared" si="1"/>
        <v>Omg Tea San Francisco             </v>
      </c>
      <c r="H64" s="1" t="str">
        <f>IFERROR(__xludf.DUMMYFUNCTION("SPLIT(B64,""-"")"),"Omg Tea San Francisco     ")</f>
        <v>Omg Tea San Francisco     </v>
      </c>
    </row>
    <row r="65">
      <c r="A65" s="1">
        <v>62.0</v>
      </c>
      <c r="B65" s="3" t="s">
        <v>1143</v>
      </c>
      <c r="C65" s="1">
        <v>4.0</v>
      </c>
      <c r="D65" s="1" t="s">
        <v>143</v>
      </c>
      <c r="E65" s="3" t="s">
        <v>119</v>
      </c>
      <c r="F65" s="1" t="s">
        <v>1144</v>
      </c>
      <c r="G65" t="str">
        <f t="shared" si="1"/>
        <v>Asha Tea House San Francisco            </v>
      </c>
      <c r="H65" s="1" t="str">
        <f>IFERROR(__xludf.DUMMYFUNCTION("SPLIT(B65,""-"")"),"Asha Tea House San Francisco    ")</f>
        <v>Asha Tea House San Francisco    </v>
      </c>
    </row>
    <row r="66">
      <c r="A66" s="1">
        <v>63.0</v>
      </c>
      <c r="B66" s="3" t="s">
        <v>1145</v>
      </c>
      <c r="C66" s="1">
        <v>4.0</v>
      </c>
      <c r="D66" s="1" t="s">
        <v>145</v>
      </c>
      <c r="E66" s="3" t="s">
        <v>119</v>
      </c>
      <c r="F66" s="1" t="s">
        <v>1146</v>
      </c>
      <c r="G66" t="str">
        <f t="shared" si="1"/>
        <v>Super Cue Cafe San Francisco            </v>
      </c>
      <c r="H66" s="1" t="str">
        <f>IFERROR(__xludf.DUMMYFUNCTION("SPLIT(B66,""-"")"),"Super Cue Cafe San Francisco    ")</f>
        <v>Super Cue Cafe San Francisco    </v>
      </c>
    </row>
    <row r="67">
      <c r="A67" s="1">
        <v>64.0</v>
      </c>
      <c r="B67" s="3" t="s">
        <v>1147</v>
      </c>
      <c r="C67" s="1">
        <v>4.0</v>
      </c>
      <c r="D67" s="1" t="s">
        <v>147</v>
      </c>
      <c r="E67" s="3" t="s">
        <v>119</v>
      </c>
      <c r="F67" s="1" t="s">
        <v>1148</v>
      </c>
      <c r="G67" t="str">
        <f t="shared" si="1"/>
        <v>Boba Guys San Francisco 15            </v>
      </c>
      <c r="H67" s="1" t="str">
        <f>IFERROR(__xludf.DUMMYFUNCTION("SPLIT(B67,""-"")"),"Boba Guys San Francisco 15    ")</f>
        <v>Boba Guys San Francisco 15    </v>
      </c>
    </row>
    <row r="68">
      <c r="A68" s="1">
        <v>65.0</v>
      </c>
      <c r="B68" s="3" t="s">
        <v>1149</v>
      </c>
      <c r="C68" s="1">
        <v>5.0</v>
      </c>
      <c r="D68" s="1" t="s">
        <v>149</v>
      </c>
      <c r="E68" s="3" t="s">
        <v>119</v>
      </c>
      <c r="F68" s="1" t="s">
        <v>1150</v>
      </c>
      <c r="G68" t="str">
        <f t="shared" si="1"/>
        <v>Infinitea San Francisco              </v>
      </c>
      <c r="H68" s="1" t="str">
        <f>IFERROR(__xludf.DUMMYFUNCTION("SPLIT(B68,""-"")"),"Infinitea San Francisco      ")</f>
        <v>Infinitea San Francisco      </v>
      </c>
    </row>
    <row r="69">
      <c r="A69" s="1">
        <v>66.0</v>
      </c>
      <c r="B69" s="3" t="s">
        <v>1151</v>
      </c>
      <c r="C69" s="1">
        <v>4.0</v>
      </c>
      <c r="D69" s="1" t="s">
        <v>151</v>
      </c>
      <c r="E69" s="3" t="s">
        <v>119</v>
      </c>
      <c r="F69" s="1" t="s">
        <v>1152</v>
      </c>
      <c r="G69" t="str">
        <f t="shared" si="1"/>
        <v>Steep San Francisco 2             </v>
      </c>
      <c r="H69" s="1" t="str">
        <f>IFERROR(__xludf.DUMMYFUNCTION("SPLIT(B69,""-"")"),"Steep San Francisco 2     ")</f>
        <v>Steep San Francisco 2     </v>
      </c>
    </row>
    <row r="70">
      <c r="A70" s="1">
        <v>67.0</v>
      </c>
      <c r="B70" s="3" t="s">
        <v>1153</v>
      </c>
      <c r="C70" s="1">
        <v>4.0</v>
      </c>
      <c r="D70" s="1" t="s">
        <v>153</v>
      </c>
      <c r="E70" s="3" t="s">
        <v>119</v>
      </c>
      <c r="F70" s="1" t="s">
        <v>1154</v>
      </c>
      <c r="G70" t="str">
        <f t="shared" si="1"/>
        <v>Mr T Cafe San Francisco            </v>
      </c>
      <c r="H70" s="1" t="str">
        <f>IFERROR(__xludf.DUMMYFUNCTION("SPLIT(B70,""-"")"),"Mr T Cafe San Francisco    ")</f>
        <v>Mr T Cafe San Francisco    </v>
      </c>
    </row>
    <row r="71">
      <c r="A71" s="1">
        <v>68.0</v>
      </c>
      <c r="B71" s="3" t="s">
        <v>1155</v>
      </c>
      <c r="C71" s="1">
        <v>3.5</v>
      </c>
      <c r="D71" s="1" t="s">
        <v>155</v>
      </c>
      <c r="E71" s="3" t="s">
        <v>119</v>
      </c>
      <c r="F71" s="1" t="s">
        <v>1156</v>
      </c>
      <c r="G71" t="str">
        <f t="shared" si="1"/>
        <v>Tpumps San Francisco              </v>
      </c>
      <c r="H71" s="1" t="str">
        <f>IFERROR(__xludf.DUMMYFUNCTION("SPLIT(B71,""-"")"),"Tpumps San Francisco      ")</f>
        <v>Tpumps San Francisco      </v>
      </c>
    </row>
    <row r="72">
      <c r="A72" s="1">
        <v>69.0</v>
      </c>
      <c r="B72" s="3" t="s">
        <v>1157</v>
      </c>
      <c r="C72" s="1">
        <v>4.0</v>
      </c>
      <c r="D72" s="1" t="s">
        <v>157</v>
      </c>
      <c r="E72" s="3" t="s">
        <v>119</v>
      </c>
      <c r="F72" s="1" t="s">
        <v>1158</v>
      </c>
      <c r="G72" t="str">
        <f t="shared" si="1"/>
        <v>Tj Cups San Francisco 5            </v>
      </c>
      <c r="H72" s="1" t="str">
        <f>IFERROR(__xludf.DUMMYFUNCTION("SPLIT(B72,""-"")"),"Tj Cups San Francisco 5    ")</f>
        <v>Tj Cups San Francisco 5    </v>
      </c>
    </row>
    <row r="73">
      <c r="A73" s="1">
        <v>70.0</v>
      </c>
      <c r="B73" s="3" t="s">
        <v>1159</v>
      </c>
      <c r="C73" s="1">
        <v>4.5</v>
      </c>
      <c r="D73" s="1" t="s">
        <v>159</v>
      </c>
      <c r="E73" s="3" t="s">
        <v>119</v>
      </c>
      <c r="F73" s="1" t="s">
        <v>1160</v>
      </c>
      <c r="G73" t="str">
        <f t="shared" si="1"/>
        <v>Wondertea San Francisco 4             </v>
      </c>
      <c r="H73" s="1" t="str">
        <f>IFERROR(__xludf.DUMMYFUNCTION("SPLIT(B73,""-"")"),"Wondertea San Francisco 4     ")</f>
        <v>Wondertea San Francisco 4     </v>
      </c>
    </row>
    <row r="74">
      <c r="A74" s="1">
        <v>71.0</v>
      </c>
      <c r="B74" s="3" t="s">
        <v>1161</v>
      </c>
      <c r="C74" s="1">
        <v>4.5</v>
      </c>
      <c r="D74" s="1" t="s">
        <v>161</v>
      </c>
      <c r="E74" s="3" t="s">
        <v>119</v>
      </c>
      <c r="F74" s="1" t="s">
        <v>1162</v>
      </c>
      <c r="G74" t="str">
        <f t="shared" si="1"/>
        <v>The Boba Shop San Francisco 4           </v>
      </c>
      <c r="H74" s="1" t="str">
        <f>IFERROR(__xludf.DUMMYFUNCTION("SPLIT(B74,""-"")"),"The Boba Shop San Francisco 4   ")</f>
        <v>The Boba Shop San Francisco 4   </v>
      </c>
    </row>
    <row r="75">
      <c r="A75" s="1">
        <v>72.0</v>
      </c>
      <c r="B75" s="3" t="s">
        <v>1163</v>
      </c>
      <c r="C75" s="1">
        <v>4.0</v>
      </c>
      <c r="D75" s="1" t="s">
        <v>163</v>
      </c>
      <c r="E75" s="3" t="s">
        <v>119</v>
      </c>
      <c r="F75" s="1" t="s">
        <v>1164</v>
      </c>
      <c r="G75" t="str">
        <f t="shared" si="1"/>
        <v>Steep Creamery And Tea San Francisco           </v>
      </c>
      <c r="H75" s="1" t="str">
        <f>IFERROR(__xludf.DUMMYFUNCTION("SPLIT(B75,""-"")"),"Steep Creamery And Tea San Francisco   ")</f>
        <v>Steep Creamery And Tea San Francisco   </v>
      </c>
    </row>
    <row r="76">
      <c r="A76" s="1">
        <v>73.0</v>
      </c>
      <c r="B76" s="3" t="s">
        <v>1165</v>
      </c>
      <c r="C76" s="1">
        <v>3.5</v>
      </c>
      <c r="D76" s="1" t="s">
        <v>165</v>
      </c>
      <c r="E76" s="3" t="s">
        <v>119</v>
      </c>
      <c r="F76" s="1" t="s">
        <v>1166</v>
      </c>
      <c r="G76" t="str">
        <f t="shared" si="1"/>
        <v>Bubblecup San Francisco 2             </v>
      </c>
      <c r="H76" s="1" t="str">
        <f>IFERROR(__xludf.DUMMYFUNCTION("SPLIT(B76,""-"")"),"Bubblecup San Francisco 2     ")</f>
        <v>Bubblecup San Francisco 2     </v>
      </c>
    </row>
    <row r="77">
      <c r="A77" s="1">
        <v>74.0</v>
      </c>
      <c r="B77" s="3" t="s">
        <v>1167</v>
      </c>
      <c r="C77" s="1">
        <v>4.5</v>
      </c>
      <c r="E77" s="3" t="s">
        <v>119</v>
      </c>
      <c r="F77" s="1" t="s">
        <v>1168</v>
      </c>
      <c r="G77" t="str">
        <f t="shared" si="1"/>
        <v>Sweet A Little San Francisco 12           </v>
      </c>
      <c r="H77" s="1" t="str">
        <f>IFERROR(__xludf.DUMMYFUNCTION("SPLIT(B77,""-"")"),"Sweet A Little San Francisco 12   ")</f>
        <v>Sweet A Little San Francisco 12   </v>
      </c>
    </row>
    <row r="78">
      <c r="A78" s="1">
        <v>75.0</v>
      </c>
      <c r="B78" s="3" t="s">
        <v>1169</v>
      </c>
      <c r="C78" s="1">
        <v>4.5</v>
      </c>
      <c r="D78" s="1" t="s">
        <v>168</v>
      </c>
      <c r="E78" s="3" t="s">
        <v>119</v>
      </c>
      <c r="F78" s="1" t="s">
        <v>1170</v>
      </c>
      <c r="G78" t="str">
        <f t="shared" si="1"/>
        <v>Tea Hut San Francisco 2            </v>
      </c>
      <c r="H78" s="1" t="str">
        <f>IFERROR(__xludf.DUMMYFUNCTION("SPLIT(B78,""-"")"),"Tea Hut San Francisco 2    ")</f>
        <v>Tea Hut San Francisco 2    </v>
      </c>
    </row>
    <row r="79">
      <c r="A79" s="1">
        <v>76.0</v>
      </c>
      <c r="B79" s="3" t="s">
        <v>1171</v>
      </c>
      <c r="C79" s="1">
        <v>3.5</v>
      </c>
      <c r="D79" s="1" t="s">
        <v>170</v>
      </c>
      <c r="E79" s="3" t="s">
        <v>119</v>
      </c>
      <c r="F79" s="1" t="s">
        <v>1172</v>
      </c>
      <c r="G79" t="str">
        <f t="shared" si="1"/>
        <v>I Tea San Francisco 2            </v>
      </c>
      <c r="H79" s="1" t="str">
        <f>IFERROR(__xludf.DUMMYFUNCTION("SPLIT(B79,""-"")"),"I Tea San Francisco 2    ")</f>
        <v>I Tea San Francisco 2    </v>
      </c>
    </row>
    <row r="80">
      <c r="A80" s="1">
        <v>77.0</v>
      </c>
      <c r="B80" s="3" t="s">
        <v>1173</v>
      </c>
      <c r="C80" s="1">
        <v>4.5</v>
      </c>
      <c r="D80" s="1" t="s">
        <v>172</v>
      </c>
      <c r="E80" s="3" t="s">
        <v>119</v>
      </c>
      <c r="F80" s="1" t="s">
        <v>1174</v>
      </c>
      <c r="G80" t="str">
        <f t="shared" si="1"/>
        <v>Tancca San Francisco 3             </v>
      </c>
      <c r="H80" s="1" t="str">
        <f>IFERROR(__xludf.DUMMYFUNCTION("SPLIT(B80,""-"")"),"Tancca San Francisco 3     ")</f>
        <v>Tancca San Francisco 3     </v>
      </c>
    </row>
    <row r="81">
      <c r="A81" s="1">
        <v>78.0</v>
      </c>
      <c r="B81" s="3" t="s">
        <v>1175</v>
      </c>
      <c r="C81" s="1">
        <v>3.5</v>
      </c>
      <c r="D81" s="1" t="s">
        <v>174</v>
      </c>
      <c r="E81" s="3" t="s">
        <v>119</v>
      </c>
      <c r="F81" s="1" t="s">
        <v>1176</v>
      </c>
      <c r="G81" t="str">
        <f t="shared" si="1"/>
        <v>Sharetea San Francisco 3             </v>
      </c>
      <c r="H81" s="1" t="str">
        <f>IFERROR(__xludf.DUMMYFUNCTION("SPLIT(B81,""-"")"),"Sharetea San Francisco 3     ")</f>
        <v>Sharetea San Francisco 3     </v>
      </c>
    </row>
    <row r="82">
      <c r="A82" s="1">
        <v>79.0</v>
      </c>
      <c r="B82" s="3" t="s">
        <v>1177</v>
      </c>
      <c r="C82" s="1">
        <v>3.5</v>
      </c>
      <c r="D82" s="1" t="s">
        <v>176</v>
      </c>
      <c r="E82" s="3" t="s">
        <v>119</v>
      </c>
      <c r="F82" s="1" t="s">
        <v>1178</v>
      </c>
      <c r="G82" t="str">
        <f t="shared" si="1"/>
        <v>Mi Tea San Francisco             </v>
      </c>
      <c r="H82" s="1" t="str">
        <f>IFERROR(__xludf.DUMMYFUNCTION("SPLIT(B82,""-"")"),"Mi Tea San Francisco     ")</f>
        <v>Mi Tea San Francisco     </v>
      </c>
    </row>
    <row r="83">
      <c r="A83" s="1">
        <v>80.0</v>
      </c>
      <c r="B83" s="3" t="s">
        <v>1179</v>
      </c>
      <c r="C83" s="1">
        <v>3.5</v>
      </c>
      <c r="D83" s="1" t="s">
        <v>178</v>
      </c>
      <c r="E83" s="3" t="s">
        <v>119</v>
      </c>
      <c r="F83" s="1" t="s">
        <v>1180</v>
      </c>
      <c r="G83" t="str">
        <f t="shared" si="1"/>
        <v>Bb Tea Station San Francisco 3           </v>
      </c>
      <c r="H83" s="1" t="str">
        <f>IFERROR(__xludf.DUMMYFUNCTION("SPLIT(B83,""-"")"),"Bb Tea Station San Francisco 3   ")</f>
        <v>Bb Tea Station San Francisco 3   </v>
      </c>
    </row>
    <row r="84">
      <c r="A84" s="1">
        <v>81.0</v>
      </c>
      <c r="B84" s="3" t="s">
        <v>1181</v>
      </c>
      <c r="C84" s="1">
        <v>3.5</v>
      </c>
      <c r="D84" s="1" t="s">
        <v>180</v>
      </c>
      <c r="E84" s="3" t="s">
        <v>119</v>
      </c>
      <c r="F84" s="1" t="s">
        <v>1182</v>
      </c>
      <c r="G84" t="str">
        <f t="shared" si="1"/>
        <v>Tea Fm San Francisco 3            </v>
      </c>
      <c r="H84" s="1" t="str">
        <f>IFERROR(__xludf.DUMMYFUNCTION("SPLIT(B84,""-"")"),"Tea Fm San Francisco 3    ")</f>
        <v>Tea Fm San Francisco 3    </v>
      </c>
    </row>
    <row r="85">
      <c r="A85" s="1">
        <v>82.0</v>
      </c>
      <c r="B85" s="3" t="s">
        <v>1183</v>
      </c>
      <c r="C85" s="1">
        <v>4.5</v>
      </c>
      <c r="D85" s="1" t="s">
        <v>182</v>
      </c>
      <c r="E85" s="3" t="s">
        <v>119</v>
      </c>
      <c r="F85" s="1" t="s">
        <v>1184</v>
      </c>
      <c r="G85" t="str">
        <f t="shared" si="1"/>
        <v>Keep It San Francisco 6            </v>
      </c>
      <c r="H85" s="1" t="str">
        <f>IFERROR(__xludf.DUMMYFUNCTION("SPLIT(B85,""-"")"),"Keep It San Francisco 6    ")</f>
        <v>Keep It San Francisco 6    </v>
      </c>
    </row>
    <row r="86">
      <c r="A86" s="1">
        <v>83.0</v>
      </c>
      <c r="B86" s="3" t="s">
        <v>1185</v>
      </c>
      <c r="C86" s="1">
        <v>3.5</v>
      </c>
      <c r="D86" s="1" t="s">
        <v>184</v>
      </c>
      <c r="E86" s="3" t="s">
        <v>119</v>
      </c>
      <c r="F86" s="1" t="s">
        <v>1186</v>
      </c>
      <c r="G86" t="str">
        <f t="shared" si="1"/>
        <v>Mr And Mrs Tea House San Francisco          </v>
      </c>
      <c r="H86" s="1" t="str">
        <f>IFERROR(__xludf.DUMMYFUNCTION("SPLIT(B86,""-"")"),"Mr And Mrs Tea House San Francisco  ")</f>
        <v>Mr And Mrs Tea House San Francisco  </v>
      </c>
    </row>
    <row r="87">
      <c r="A87" s="1">
        <v>84.0</v>
      </c>
      <c r="B87" s="3" t="s">
        <v>1187</v>
      </c>
      <c r="C87" s="1">
        <v>3.5</v>
      </c>
      <c r="D87" s="1" t="s">
        <v>186</v>
      </c>
      <c r="E87" s="3" t="s">
        <v>119</v>
      </c>
      <c r="F87" s="1" t="s">
        <v>1188</v>
      </c>
      <c r="G87" t="str">
        <f t="shared" si="1"/>
        <v>E Tea San Francisco             </v>
      </c>
      <c r="H87" s="1" t="str">
        <f>IFERROR(__xludf.DUMMYFUNCTION("SPLIT(B87,""-"")"),"E Tea San Francisco     ")</f>
        <v>E Tea San Francisco     </v>
      </c>
    </row>
    <row r="88">
      <c r="A88" s="1">
        <v>85.0</v>
      </c>
      <c r="B88" s="3" t="s">
        <v>1189</v>
      </c>
      <c r="C88" s="1">
        <v>3.5</v>
      </c>
      <c r="D88" s="1" t="s">
        <v>188</v>
      </c>
      <c r="E88" s="3" t="s">
        <v>119</v>
      </c>
      <c r="F88" s="1" t="s">
        <v>1190</v>
      </c>
      <c r="G88" t="str">
        <f t="shared" si="1"/>
        <v>Gosu San Francisco              </v>
      </c>
      <c r="H88" s="1" t="str">
        <f>IFERROR(__xludf.DUMMYFUNCTION("SPLIT(B88,""-"")"),"Gosu San Francisco      ")</f>
        <v>Gosu San Francisco      </v>
      </c>
    </row>
    <row r="89">
      <c r="A89" s="1">
        <v>86.0</v>
      </c>
      <c r="B89" s="3" t="s">
        <v>1191</v>
      </c>
      <c r="C89" s="1">
        <v>4.0</v>
      </c>
      <c r="D89" s="1" t="s">
        <v>190</v>
      </c>
      <c r="E89" s="3" t="s">
        <v>119</v>
      </c>
      <c r="F89" s="1" t="s">
        <v>1192</v>
      </c>
      <c r="G89" t="str">
        <f t="shared" si="1"/>
        <v>Homeplate Boba San Francisco             </v>
      </c>
      <c r="H89" s="1" t="str">
        <f>IFERROR(__xludf.DUMMYFUNCTION("SPLIT(B89,""-"")"),"Homeplate Boba San Francisco     ")</f>
        <v>Homeplate Boba San Francisco     </v>
      </c>
    </row>
    <row r="90">
      <c r="A90" s="1">
        <v>87.0</v>
      </c>
      <c r="B90" s="3" t="s">
        <v>1193</v>
      </c>
      <c r="C90" s="1">
        <v>3.5</v>
      </c>
      <c r="D90" s="1" t="s">
        <v>192</v>
      </c>
      <c r="E90" s="3" t="s">
        <v>119</v>
      </c>
      <c r="F90" s="1" t="s">
        <v>1194</v>
      </c>
      <c r="G90" t="str">
        <f t="shared" si="1"/>
        <v>Cuppa San Francisco              </v>
      </c>
      <c r="H90" s="1" t="str">
        <f>IFERROR(__xludf.DUMMYFUNCTION("SPLIT(B90,""-"")"),"Cuppa San Francisco      ")</f>
        <v>Cuppa San Francisco      </v>
      </c>
    </row>
    <row r="91">
      <c r="A91" s="1">
        <v>88.0</v>
      </c>
      <c r="B91" s="3" t="s">
        <v>1195</v>
      </c>
      <c r="C91" s="1">
        <v>5.0</v>
      </c>
      <c r="D91" s="1" t="s">
        <v>194</v>
      </c>
      <c r="E91" s="3" t="s">
        <v>119</v>
      </c>
      <c r="F91" s="1" t="s">
        <v>1196</v>
      </c>
      <c r="G91" t="str">
        <f t="shared" si="1"/>
        <v>Super Cue Cafe San Francisco 2           </v>
      </c>
      <c r="H91" s="1" t="str">
        <f>IFERROR(__xludf.DUMMYFUNCTION("SPLIT(B91,""-"")"),"Super Cue Cafe San Francisco 2   ")</f>
        <v>Super Cue Cafe San Francisco 2   </v>
      </c>
    </row>
    <row r="92">
      <c r="A92" s="1">
        <v>89.0</v>
      </c>
      <c r="B92" s="3" t="s">
        <v>1197</v>
      </c>
      <c r="C92" s="1">
        <v>5.0</v>
      </c>
      <c r="D92" s="1" t="s">
        <v>196</v>
      </c>
      <c r="E92" s="3" t="s">
        <v>119</v>
      </c>
      <c r="F92" s="1" t="s">
        <v>1198</v>
      </c>
      <c r="G92" t="str">
        <f t="shared" si="1"/>
        <v>Puppy Bobar San Francisco             </v>
      </c>
      <c r="H92" s="1" t="str">
        <f>IFERROR(__xludf.DUMMYFUNCTION("SPLIT(B92,""-"")"),"Puppy Bobar San Francisco     ")</f>
        <v>Puppy Bobar San Francisco     </v>
      </c>
    </row>
    <row r="93">
      <c r="A93" s="1">
        <v>90.0</v>
      </c>
      <c r="B93" s="3" t="s">
        <v>1199</v>
      </c>
      <c r="C93" s="1">
        <v>3.5</v>
      </c>
      <c r="D93" s="1" t="s">
        <v>198</v>
      </c>
      <c r="E93" s="3" t="s">
        <v>119</v>
      </c>
      <c r="F93" s="1" t="s">
        <v>1200</v>
      </c>
      <c r="G93" t="str">
        <f t="shared" si="1"/>
        <v>Cool Tea Bar San Francisco 4           </v>
      </c>
      <c r="H93" s="1" t="str">
        <f>IFERROR(__xludf.DUMMYFUNCTION("SPLIT(B93,""-"")"),"Cool Tea Bar San Francisco 4   ")</f>
        <v>Cool Tea Bar San Francisco 4   </v>
      </c>
    </row>
    <row r="94">
      <c r="A94" s="1">
        <v>91.0</v>
      </c>
      <c r="B94" s="3" t="s">
        <v>1201</v>
      </c>
      <c r="C94" s="1">
        <v>4.5</v>
      </c>
      <c r="D94" s="1" t="s">
        <v>200</v>
      </c>
      <c r="E94" s="3" t="s">
        <v>119</v>
      </c>
      <c r="F94" s="1" t="s">
        <v>1202</v>
      </c>
      <c r="G94" t="str">
        <f t="shared" si="1"/>
        <v>Little Heaven Deli San Francisco            </v>
      </c>
      <c r="H94" s="1" t="str">
        <f>IFERROR(__xludf.DUMMYFUNCTION("SPLIT(B94,""-"")"),"Little Heaven Deli San Francisco    ")</f>
        <v>Little Heaven Deli San Francisco    </v>
      </c>
    </row>
    <row r="95">
      <c r="A95" s="1">
        <v>92.0</v>
      </c>
      <c r="B95" s="3" t="s">
        <v>1203</v>
      </c>
      <c r="C95" s="1">
        <v>4.5</v>
      </c>
      <c r="D95" s="1" t="s">
        <v>202</v>
      </c>
      <c r="E95" s="3" t="s">
        <v>119</v>
      </c>
      <c r="F95" s="1" t="s">
        <v>1204</v>
      </c>
      <c r="G95" t="str">
        <f t="shared" si="1"/>
        <v>5 Sweets San Francisco             </v>
      </c>
      <c r="H95" s="1" t="str">
        <f>IFERROR(__xludf.DUMMYFUNCTION("SPLIT(B95,""-"")"),"5 Sweets San Francisco     ")</f>
        <v>5 Sweets San Francisco     </v>
      </c>
    </row>
    <row r="96">
      <c r="A96" s="1">
        <v>93.0</v>
      </c>
      <c r="B96" s="3" t="s">
        <v>1205</v>
      </c>
      <c r="C96" s="1">
        <v>4.5</v>
      </c>
      <c r="D96" s="1" t="s">
        <v>204</v>
      </c>
      <c r="E96" s="3" t="s">
        <v>119</v>
      </c>
      <c r="F96" s="1" t="s">
        <v>1206</v>
      </c>
      <c r="G96" t="str">
        <f t="shared" si="1"/>
        <v>Good Earth Cafe San Francisco 2           </v>
      </c>
      <c r="H96" s="1" t="str">
        <f>IFERROR(__xludf.DUMMYFUNCTION("SPLIT(B96,""-"")"),"Good Earth Cafe San Francisco 2   ")</f>
        <v>Good Earth Cafe San Francisco 2   </v>
      </c>
    </row>
    <row r="97">
      <c r="A97" s="1">
        <v>94.0</v>
      </c>
      <c r="B97" s="3" t="s">
        <v>1207</v>
      </c>
      <c r="C97" s="1">
        <v>3.5</v>
      </c>
      <c r="D97" s="1" t="s">
        <v>206</v>
      </c>
      <c r="E97" s="3" t="s">
        <v>119</v>
      </c>
      <c r="F97" s="1" t="s">
        <v>1208</v>
      </c>
      <c r="G97" t="str">
        <f t="shared" si="1"/>
        <v>Sweethut San Francisco              </v>
      </c>
      <c r="H97" s="1" t="str">
        <f>IFERROR(__xludf.DUMMYFUNCTION("SPLIT(B97,""-"")"),"Sweethut San Francisco      ")</f>
        <v>Sweethut San Francisco      </v>
      </c>
    </row>
    <row r="98">
      <c r="A98" s="1">
        <v>95.0</v>
      </c>
      <c r="B98" s="3" t="s">
        <v>1209</v>
      </c>
      <c r="C98" s="1">
        <v>3.5</v>
      </c>
      <c r="D98" s="1" t="s">
        <v>208</v>
      </c>
      <c r="E98" s="3" t="s">
        <v>209</v>
      </c>
      <c r="F98" s="1" t="s">
        <v>1210</v>
      </c>
      <c r="G98" t="str">
        <f t="shared" si="1"/>
        <v>Frostea Daly City 2             </v>
      </c>
      <c r="H98" s="1" t="str">
        <f>IFERROR(__xludf.DUMMYFUNCTION("SPLIT(B98,""-"")"),"Frostea Daly City 2     ")</f>
        <v>Frostea Daly City 2     </v>
      </c>
    </row>
    <row r="99">
      <c r="A99" s="1">
        <v>96.0</v>
      </c>
      <c r="B99" s="3" t="s">
        <v>1211</v>
      </c>
      <c r="C99" s="1">
        <v>3.5</v>
      </c>
      <c r="D99" s="1" t="s">
        <v>211</v>
      </c>
      <c r="E99" s="3" t="s">
        <v>119</v>
      </c>
      <c r="F99" s="1" t="s">
        <v>1212</v>
      </c>
      <c r="G99" t="str">
        <f t="shared" si="1"/>
        <v>Teaone San Francisco 5             </v>
      </c>
      <c r="H99" s="1" t="str">
        <f>IFERROR(__xludf.DUMMYFUNCTION("SPLIT(B99,""-"")"),"Teaone San Francisco 5     ")</f>
        <v>Teaone San Francisco 5     </v>
      </c>
    </row>
    <row r="100">
      <c r="A100" s="1">
        <v>97.0</v>
      </c>
      <c r="B100" s="3" t="s">
        <v>1213</v>
      </c>
      <c r="C100" s="1">
        <v>4.0</v>
      </c>
      <c r="D100" s="1" t="s">
        <v>213</v>
      </c>
      <c r="E100" s="3" t="s">
        <v>119</v>
      </c>
      <c r="F100" s="1" t="s">
        <v>1214</v>
      </c>
      <c r="G100" t="str">
        <f t="shared" si="1"/>
        <v>Fifty Fifty Coffee And Tea San Francisco          </v>
      </c>
      <c r="H100" s="1" t="str">
        <f>IFERROR(__xludf.DUMMYFUNCTION("SPLIT(B100,""-"")"),"Fifty Fifty Coffee And Tea San Francisco  ")</f>
        <v>Fifty Fifty Coffee And Tea San Francisco  </v>
      </c>
    </row>
    <row r="101">
      <c r="A101" s="1">
        <v>98.0</v>
      </c>
      <c r="B101" s="3" t="s">
        <v>1215</v>
      </c>
      <c r="C101" s="1">
        <v>3.5</v>
      </c>
      <c r="D101" s="1" t="s">
        <v>215</v>
      </c>
      <c r="E101" s="3" t="s">
        <v>119</v>
      </c>
      <c r="F101" s="1" t="s">
        <v>1216</v>
      </c>
      <c r="G101" t="str">
        <f t="shared" si="1"/>
        <v>Honey Creme And Tea San Francisco           </v>
      </c>
      <c r="H101" s="1" t="str">
        <f>IFERROR(__xludf.DUMMYFUNCTION("SPLIT(B101,""-"")"),"Honey Creme And Tea San Francisco   ")</f>
        <v>Honey Creme And Tea San Francisco   </v>
      </c>
    </row>
    <row r="102">
      <c r="A102" s="1">
        <v>99.0</v>
      </c>
      <c r="B102" s="3" t="s">
        <v>1217</v>
      </c>
      <c r="C102" s="1">
        <v>4.0</v>
      </c>
      <c r="D102" s="1" t="s">
        <v>217</v>
      </c>
      <c r="E102" s="3" t="s">
        <v>119</v>
      </c>
      <c r="F102" s="1" t="s">
        <v>1218</v>
      </c>
      <c r="G102" t="str">
        <f t="shared" si="1"/>
        <v>Bambu San Francisco 3             </v>
      </c>
      <c r="H102" s="1" t="str">
        <f>IFERROR(__xludf.DUMMYFUNCTION("SPLIT(B102,""-"")"),"Bambu San Francisco 3     ")</f>
        <v>Bambu San Francisco 3     </v>
      </c>
    </row>
    <row r="103">
      <c r="A103" s="1">
        <v>100.0</v>
      </c>
      <c r="B103" s="3" t="s">
        <v>1219</v>
      </c>
      <c r="C103" s="1">
        <v>4.0</v>
      </c>
      <c r="D103" s="1" t="s">
        <v>219</v>
      </c>
      <c r="E103" s="3" t="s">
        <v>220</v>
      </c>
      <c r="F103" s="1" t="s">
        <v>1220</v>
      </c>
      <c r="G103" t="str">
        <f t="shared" si="1"/>
        <v>I Tea Oakland              </v>
      </c>
      <c r="H103" s="1" t="str">
        <f>IFERROR(__xludf.DUMMYFUNCTION("SPLIT(B103,""-"")"),"I Tea Oakland      ")</f>
        <v>I Tea Oakland      </v>
      </c>
    </row>
    <row r="104">
      <c r="A104" s="1">
        <v>101.0</v>
      </c>
      <c r="B104" s="3" t="s">
        <v>1221</v>
      </c>
      <c r="C104" s="1">
        <v>3.5</v>
      </c>
      <c r="D104" s="1" t="s">
        <v>222</v>
      </c>
      <c r="E104" s="3" t="s">
        <v>220</v>
      </c>
      <c r="F104" s="1" t="s">
        <v>1222</v>
      </c>
      <c r="G104" t="str">
        <f t="shared" si="1"/>
        <v>Mr Green Bubble Oakland             </v>
      </c>
      <c r="H104" s="1" t="str">
        <f>IFERROR(__xludf.DUMMYFUNCTION("SPLIT(B104,""-"")"),"Mr Green Bubble Oakland     ")</f>
        <v>Mr Green Bubble Oakland     </v>
      </c>
    </row>
    <row r="105">
      <c r="A105" s="1">
        <v>102.0</v>
      </c>
      <c r="B105" s="3" t="s">
        <v>1223</v>
      </c>
      <c r="C105" s="1">
        <v>4.0</v>
      </c>
      <c r="D105" s="1" t="s">
        <v>224</v>
      </c>
      <c r="E105" s="3" t="s">
        <v>220</v>
      </c>
      <c r="F105" s="1" t="s">
        <v>1224</v>
      </c>
      <c r="G105" t="str">
        <f t="shared" si="1"/>
        <v>T And Bowl Oakland             </v>
      </c>
      <c r="H105" s="1" t="str">
        <f>IFERROR(__xludf.DUMMYFUNCTION("SPLIT(B105,""-"")"),"T And Bowl Oakland     ")</f>
        <v>T And Bowl Oakland     </v>
      </c>
    </row>
    <row r="106">
      <c r="A106" s="1">
        <v>103.0</v>
      </c>
      <c r="B106" s="3" t="s">
        <v>1225</v>
      </c>
      <c r="C106" s="1">
        <v>4.0</v>
      </c>
      <c r="D106" s="1" t="s">
        <v>226</v>
      </c>
      <c r="E106" s="3" t="s">
        <v>227</v>
      </c>
      <c r="F106" s="1" t="s">
        <v>1226</v>
      </c>
      <c r="G106" t="str">
        <f t="shared" si="1"/>
        <v>U Cha Berkeley              </v>
      </c>
      <c r="H106" s="1" t="str">
        <f>IFERROR(__xludf.DUMMYFUNCTION("SPLIT(B106,""-"")"),"U Cha Berkeley      ")</f>
        <v>U Cha Berkeley      </v>
      </c>
    </row>
    <row r="107">
      <c r="A107" s="1">
        <v>104.0</v>
      </c>
      <c r="B107" s="3" t="s">
        <v>1227</v>
      </c>
      <c r="C107" s="1">
        <v>4.0</v>
      </c>
      <c r="D107" s="1" t="s">
        <v>219</v>
      </c>
      <c r="E107" s="3" t="s">
        <v>220</v>
      </c>
      <c r="F107" s="1" t="s">
        <v>1228</v>
      </c>
      <c r="G107" t="str">
        <f t="shared" si="1"/>
        <v>The Sweet Booth Oakland             </v>
      </c>
      <c r="H107" s="1" t="str">
        <f>IFERROR(__xludf.DUMMYFUNCTION("SPLIT(B107,""-"")"),"The Sweet Booth Oakland     ")</f>
        <v>The Sweet Booth Oakland     </v>
      </c>
    </row>
    <row r="108">
      <c r="A108" s="1">
        <v>105.0</v>
      </c>
      <c r="B108" s="3" t="s">
        <v>1229</v>
      </c>
      <c r="C108" s="1">
        <v>4.0</v>
      </c>
      <c r="D108" s="1" t="s">
        <v>230</v>
      </c>
      <c r="E108" s="3" t="s">
        <v>227</v>
      </c>
      <c r="F108" s="1" t="s">
        <v>1230</v>
      </c>
      <c r="G108" t="str">
        <f t="shared" si="1"/>
        <v>Asha Tea House Berkeley             </v>
      </c>
      <c r="H108" s="1" t="str">
        <f>IFERROR(__xludf.DUMMYFUNCTION("SPLIT(B108,""-"")"),"Asha Tea House Berkeley     ")</f>
        <v>Asha Tea House Berkeley     </v>
      </c>
    </row>
    <row r="109">
      <c r="A109" s="1">
        <v>106.0</v>
      </c>
      <c r="B109" s="3" t="s">
        <v>1231</v>
      </c>
      <c r="C109" s="1">
        <v>4.0</v>
      </c>
      <c r="D109" s="1" t="s">
        <v>232</v>
      </c>
      <c r="E109" s="3" t="s">
        <v>233</v>
      </c>
      <c r="F109" s="1" t="s">
        <v>1232</v>
      </c>
      <c r="G109" t="str">
        <f t="shared" si="1"/>
        <v>I Tea Alameda              </v>
      </c>
      <c r="H109" s="1" t="str">
        <f>IFERROR(__xludf.DUMMYFUNCTION("SPLIT(B109,""-"")"),"I Tea Alameda      ")</f>
        <v>I Tea Alameda      </v>
      </c>
    </row>
    <row r="110">
      <c r="A110" s="1">
        <v>107.0</v>
      </c>
      <c r="B110" s="3" t="s">
        <v>1233</v>
      </c>
      <c r="C110" s="1">
        <v>3.0</v>
      </c>
      <c r="D110" s="1" t="s">
        <v>235</v>
      </c>
      <c r="E110" s="3" t="s">
        <v>220</v>
      </c>
      <c r="F110" s="1" t="s">
        <v>1234</v>
      </c>
      <c r="G110" t="str">
        <f t="shared" si="1"/>
        <v>T4 Oakland               </v>
      </c>
      <c r="H110" s="1" t="str">
        <f>IFERROR(__xludf.DUMMYFUNCTION("SPLIT(B110,""-"")"),"T4 Oakland       ")</f>
        <v>T4 Oakland       </v>
      </c>
    </row>
    <row r="111">
      <c r="A111" s="1">
        <v>108.0</v>
      </c>
      <c r="B111" s="3" t="s">
        <v>1235</v>
      </c>
      <c r="C111" s="1">
        <v>4.0</v>
      </c>
      <c r="D111" s="1" t="s">
        <v>237</v>
      </c>
      <c r="E111" s="3" t="s">
        <v>220</v>
      </c>
      <c r="F111" s="1" t="s">
        <v>1236</v>
      </c>
      <c r="G111" t="str">
        <f t="shared" si="1"/>
        <v>Wing Man Oakland 3             </v>
      </c>
      <c r="H111" s="1" t="str">
        <f>IFERROR(__xludf.DUMMYFUNCTION("SPLIT(B111,""-"")"),"Wing Man Oakland 3     ")</f>
        <v>Wing Man Oakland 3     </v>
      </c>
    </row>
    <row r="112">
      <c r="A112" s="1">
        <v>109.0</v>
      </c>
      <c r="B112" s="3" t="s">
        <v>1237</v>
      </c>
      <c r="C112" s="1">
        <v>4.0</v>
      </c>
      <c r="D112" s="1" t="s">
        <v>239</v>
      </c>
      <c r="E112" s="3" t="s">
        <v>227</v>
      </c>
      <c r="F112" s="1" t="s">
        <v>1238</v>
      </c>
      <c r="G112" t="str">
        <f t="shared" si="1"/>
        <v>Sharetea Berkeley               </v>
      </c>
      <c r="H112" s="1" t="str">
        <f>IFERROR(__xludf.DUMMYFUNCTION("SPLIT(B112,""-"")"),"Sharetea Berkeley       ")</f>
        <v>Sharetea Berkeley       </v>
      </c>
    </row>
    <row r="113">
      <c r="A113" s="1">
        <v>110.0</v>
      </c>
      <c r="B113" s="3" t="s">
        <v>1239</v>
      </c>
      <c r="C113" s="1">
        <v>4.0</v>
      </c>
      <c r="D113" s="1" t="s">
        <v>241</v>
      </c>
      <c r="E113" s="3" t="s">
        <v>227</v>
      </c>
      <c r="F113" s="1" t="s">
        <v>1240</v>
      </c>
      <c r="G113" t="str">
        <f t="shared" si="1"/>
        <v>Happy Lemon Berkeley Berkeley             </v>
      </c>
      <c r="H113" s="1" t="str">
        <f>IFERROR(__xludf.DUMMYFUNCTION("SPLIT(B113,""-"")"),"Happy Lemon Berkeley Berkeley     ")</f>
        <v>Happy Lemon Berkeley Berkeley     </v>
      </c>
    </row>
    <row r="114">
      <c r="A114" s="1">
        <v>111.0</v>
      </c>
      <c r="B114" s="3" t="s">
        <v>1241</v>
      </c>
      <c r="C114" s="1">
        <v>4.0</v>
      </c>
      <c r="D114" s="1" t="s">
        <v>243</v>
      </c>
      <c r="E114" s="3" t="s">
        <v>244</v>
      </c>
      <c r="F114" s="1" t="s">
        <v>1242</v>
      </c>
      <c r="G114" t="str">
        <f t="shared" si="1"/>
        <v>Milk Tea Lab Pleasant Hill            </v>
      </c>
      <c r="H114" s="1" t="str">
        <f>IFERROR(__xludf.DUMMYFUNCTION("SPLIT(B114,""-"")"),"Milk Tea Lab Pleasant Hill    ")</f>
        <v>Milk Tea Lab Pleasant Hill    </v>
      </c>
    </row>
    <row r="115">
      <c r="A115" s="1">
        <v>112.0</v>
      </c>
      <c r="B115" s="3" t="s">
        <v>1243</v>
      </c>
      <c r="C115" s="1">
        <v>4.0</v>
      </c>
      <c r="D115" s="1" t="s">
        <v>246</v>
      </c>
      <c r="E115" s="3" t="s">
        <v>227</v>
      </c>
      <c r="F115" s="1" t="s">
        <v>1244</v>
      </c>
      <c r="G115" t="str">
        <f t="shared" si="1"/>
        <v>Boba Ninja Berkeley              </v>
      </c>
      <c r="H115" s="1" t="str">
        <f>IFERROR(__xludf.DUMMYFUNCTION("SPLIT(B115,""-"")"),"Boba Ninja Berkeley      ")</f>
        <v>Boba Ninja Berkeley      </v>
      </c>
    </row>
    <row r="116">
      <c r="A116" s="1">
        <v>113.0</v>
      </c>
      <c r="B116" s="3" t="s">
        <v>1245</v>
      </c>
      <c r="C116" s="1">
        <v>3.5</v>
      </c>
      <c r="D116" s="1" t="s">
        <v>248</v>
      </c>
      <c r="E116" s="3" t="s">
        <v>233</v>
      </c>
      <c r="F116" s="1" t="s">
        <v>1246</v>
      </c>
      <c r="G116" t="str">
        <f t="shared" si="1"/>
        <v>Sharetea Alameda 4              </v>
      </c>
      <c r="H116" s="1" t="str">
        <f>IFERROR(__xludf.DUMMYFUNCTION("SPLIT(B116,""-"")"),"Sharetea Alameda 4      ")</f>
        <v>Sharetea Alameda 4      </v>
      </c>
    </row>
    <row r="117">
      <c r="A117" s="1">
        <v>114.0</v>
      </c>
      <c r="B117" s="3" t="s">
        <v>1247</v>
      </c>
      <c r="C117" s="1">
        <v>3.5</v>
      </c>
      <c r="D117" s="1" t="s">
        <v>250</v>
      </c>
      <c r="E117" s="3" t="s">
        <v>227</v>
      </c>
      <c r="F117" s="1" t="s">
        <v>1248</v>
      </c>
      <c r="G117" t="str">
        <f t="shared" si="1"/>
        <v>Purple Kow Berkeley 2             </v>
      </c>
      <c r="H117" s="1" t="str">
        <f>IFERROR(__xludf.DUMMYFUNCTION("SPLIT(B117,""-"")"),"Purple Kow Berkeley 2     ")</f>
        <v>Purple Kow Berkeley 2     </v>
      </c>
    </row>
    <row r="118">
      <c r="A118" s="1">
        <v>115.0</v>
      </c>
      <c r="B118" s="3" t="s">
        <v>1249</v>
      </c>
      <c r="C118" s="1">
        <v>3.5</v>
      </c>
      <c r="D118" s="1" t="s">
        <v>252</v>
      </c>
      <c r="E118" s="3" t="s">
        <v>233</v>
      </c>
      <c r="F118" s="1" t="s">
        <v>1250</v>
      </c>
      <c r="G118" t="str">
        <f t="shared" si="1"/>
        <v>Teaway Alameda               </v>
      </c>
      <c r="H118" s="1" t="str">
        <f>IFERROR(__xludf.DUMMYFUNCTION("SPLIT(B118,""-"")"),"Teaway Alameda       ")</f>
        <v>Teaway Alameda       </v>
      </c>
    </row>
    <row r="119">
      <c r="A119" s="1">
        <v>116.0</v>
      </c>
      <c r="B119" s="3" t="s">
        <v>1251</v>
      </c>
      <c r="C119" s="1">
        <v>4.0</v>
      </c>
      <c r="D119" s="1" t="s">
        <v>254</v>
      </c>
      <c r="E119" s="3" t="s">
        <v>255</v>
      </c>
      <c r="F119" s="1" t="s">
        <v>1252</v>
      </c>
      <c r="G119" t="str">
        <f t="shared" si="1"/>
        <v>I Tea Walnut Creek 3            </v>
      </c>
      <c r="H119" s="1" t="str">
        <f>IFERROR(__xludf.DUMMYFUNCTION("SPLIT(B119,""-"")"),"I Tea Walnut Creek 3    ")</f>
        <v>I Tea Walnut Creek 3    </v>
      </c>
    </row>
    <row r="120">
      <c r="A120" s="1">
        <v>117.0</v>
      </c>
      <c r="B120" s="3" t="s">
        <v>1253</v>
      </c>
      <c r="C120" s="1">
        <v>3.5</v>
      </c>
      <c r="D120" s="1" t="s">
        <v>257</v>
      </c>
      <c r="E120" s="3" t="s">
        <v>220</v>
      </c>
      <c r="F120" s="1" t="s">
        <v>1254</v>
      </c>
      <c r="G120" t="str">
        <f t="shared" si="1"/>
        <v>Sweetheart Cafe Oakland              </v>
      </c>
      <c r="H120" s="1" t="str">
        <f>IFERROR(__xludf.DUMMYFUNCTION("SPLIT(B120,""-"")"),"Sweetheart Cafe Oakland      ")</f>
        <v>Sweetheart Cafe Oakland      </v>
      </c>
    </row>
    <row r="121">
      <c r="A121" s="1">
        <v>118.0</v>
      </c>
      <c r="B121" s="3" t="s">
        <v>1255</v>
      </c>
      <c r="C121" s="1">
        <v>4.0</v>
      </c>
      <c r="D121" s="1" t="s">
        <v>259</v>
      </c>
      <c r="E121" s="3" t="s">
        <v>220</v>
      </c>
      <c r="F121" s="1" t="s">
        <v>1256</v>
      </c>
      <c r="G121" t="str">
        <f t="shared" si="1"/>
        <v>Gelato Firenze And Qtea Bar Oakland           </v>
      </c>
      <c r="H121" s="1" t="str">
        <f>IFERROR(__xludf.DUMMYFUNCTION("SPLIT(B121,""-"")"),"Gelato Firenze And Qtea Bar Oakland   ")</f>
        <v>Gelato Firenze And Qtea Bar Oakland   </v>
      </c>
    </row>
    <row r="122">
      <c r="A122" s="1">
        <v>119.0</v>
      </c>
      <c r="B122" s="3" t="s">
        <v>1257</v>
      </c>
      <c r="C122" s="1">
        <v>4.0</v>
      </c>
      <c r="D122" s="1" t="s">
        <v>261</v>
      </c>
      <c r="E122" s="3" t="s">
        <v>233</v>
      </c>
      <c r="F122" s="1" t="s">
        <v>1258</v>
      </c>
      <c r="G122" t="str">
        <f t="shared" si="1"/>
        <v>Tea Delight Alameda 2             </v>
      </c>
      <c r="H122" s="1" t="str">
        <f>IFERROR(__xludf.DUMMYFUNCTION("SPLIT(B122,""-"")"),"Tea Delight Alameda 2     ")</f>
        <v>Tea Delight Alameda 2     </v>
      </c>
    </row>
    <row r="123">
      <c r="A123" s="1">
        <v>120.0</v>
      </c>
      <c r="B123" s="3" t="s">
        <v>1259</v>
      </c>
      <c r="C123" s="1">
        <v>4.5</v>
      </c>
      <c r="D123" s="1" t="s">
        <v>263</v>
      </c>
      <c r="E123" s="3" t="s">
        <v>220</v>
      </c>
      <c r="F123" s="1" t="s">
        <v>1260</v>
      </c>
      <c r="G123" t="str">
        <f t="shared" si="1"/>
        <v>Quickly Oakland 4              </v>
      </c>
      <c r="H123" s="1" t="str">
        <f>IFERROR(__xludf.DUMMYFUNCTION("SPLIT(B123,""-"")"),"Quickly Oakland 4      ")</f>
        <v>Quickly Oakland 4      </v>
      </c>
    </row>
    <row r="124">
      <c r="A124" s="1">
        <v>121.0</v>
      </c>
      <c r="B124" s="3" t="s">
        <v>1261</v>
      </c>
      <c r="C124" s="1">
        <v>4.0</v>
      </c>
      <c r="D124" s="1" t="s">
        <v>265</v>
      </c>
      <c r="E124" s="3" t="s">
        <v>116</v>
      </c>
      <c r="F124" s="1" t="s">
        <v>1262</v>
      </c>
      <c r="G124" t="str">
        <f t="shared" si="1"/>
        <v>I Tea San Leandro 2            </v>
      </c>
      <c r="H124" s="1" t="str">
        <f>IFERROR(__xludf.DUMMYFUNCTION("SPLIT(B124,""-"")"),"I Tea San Leandro 2    ")</f>
        <v>I Tea San Leandro 2    </v>
      </c>
    </row>
    <row r="125">
      <c r="A125" s="1">
        <v>122.0</v>
      </c>
      <c r="B125" s="3" t="s">
        <v>1263</v>
      </c>
      <c r="C125" s="1">
        <v>3.5</v>
      </c>
      <c r="D125" s="1" t="s">
        <v>267</v>
      </c>
      <c r="E125" s="3" t="s">
        <v>220</v>
      </c>
      <c r="F125" s="1" t="s">
        <v>1264</v>
      </c>
      <c r="G125" t="str">
        <f t="shared" si="1"/>
        <v>50 Tea Oakland              </v>
      </c>
      <c r="H125" s="1" t="str">
        <f>IFERROR(__xludf.DUMMYFUNCTION("SPLIT(B125,""-"")"),"50 Tea Oakland      ")</f>
        <v>50 Tea Oakland      </v>
      </c>
    </row>
    <row r="126">
      <c r="A126" s="1">
        <v>123.0</v>
      </c>
      <c r="B126" s="3" t="s">
        <v>1265</v>
      </c>
      <c r="C126" s="1">
        <v>4.0</v>
      </c>
      <c r="D126" s="1" t="s">
        <v>269</v>
      </c>
      <c r="E126" s="3" t="s">
        <v>227</v>
      </c>
      <c r="F126" s="1" t="s">
        <v>1266</v>
      </c>
      <c r="G126" t="str">
        <f t="shared" si="1"/>
        <v>Tea Press Berkeley 2             </v>
      </c>
      <c r="H126" s="1" t="str">
        <f>IFERROR(__xludf.DUMMYFUNCTION("SPLIT(B126,""-"")"),"Tea Press Berkeley 2     ")</f>
        <v>Tea Press Berkeley 2     </v>
      </c>
    </row>
    <row r="127">
      <c r="A127" s="1">
        <v>124.0</v>
      </c>
      <c r="B127" s="3" t="s">
        <v>1267</v>
      </c>
      <c r="C127" s="1">
        <v>4.0</v>
      </c>
      <c r="D127" s="1" t="s">
        <v>271</v>
      </c>
      <c r="E127" s="3" t="s">
        <v>220</v>
      </c>
      <c r="F127" s="1" t="s">
        <v>1268</v>
      </c>
      <c r="G127" t="str">
        <f t="shared" si="1"/>
        <v>Taiwan Bento Oakland 4             </v>
      </c>
      <c r="H127" s="1" t="str">
        <f>IFERROR(__xludf.DUMMYFUNCTION("SPLIT(B127,""-"")"),"Taiwan Bento Oakland 4     ")</f>
        <v>Taiwan Bento Oakland 4     </v>
      </c>
    </row>
    <row r="128">
      <c r="A128" s="1">
        <v>125.0</v>
      </c>
      <c r="B128" s="3" t="s">
        <v>1269</v>
      </c>
      <c r="C128" s="1">
        <v>3.0</v>
      </c>
      <c r="D128" s="1" t="s">
        <v>273</v>
      </c>
      <c r="E128" s="3" t="s">
        <v>220</v>
      </c>
      <c r="F128" s="1" t="s">
        <v>1270</v>
      </c>
      <c r="G128" t="str">
        <f t="shared" si="1"/>
        <v>U Tea Cafe Oakland             </v>
      </c>
      <c r="H128" s="1" t="str">
        <f>IFERROR(__xludf.DUMMYFUNCTION("SPLIT(B128,""-"")"),"U Tea Cafe Oakland     ")</f>
        <v>U Tea Cafe Oakland     </v>
      </c>
    </row>
    <row r="129">
      <c r="A129" s="1">
        <v>126.0</v>
      </c>
      <c r="B129" s="3" t="s">
        <v>1271</v>
      </c>
      <c r="C129" s="1">
        <v>3.5</v>
      </c>
      <c r="D129" s="1" t="s">
        <v>275</v>
      </c>
      <c r="E129" s="3" t="s">
        <v>233</v>
      </c>
      <c r="F129" s="1" t="s">
        <v>1272</v>
      </c>
      <c r="G129" t="str">
        <f t="shared" si="1"/>
        <v>T4 Alameda 2              </v>
      </c>
      <c r="H129" s="1" t="str">
        <f>IFERROR(__xludf.DUMMYFUNCTION("SPLIT(B129,""-"")"),"T4 Alameda 2      ")</f>
        <v>T4 Alameda 2      </v>
      </c>
    </row>
    <row r="130">
      <c r="A130" s="1">
        <v>127.0</v>
      </c>
      <c r="B130" s="3" t="s">
        <v>1273</v>
      </c>
      <c r="C130" s="1">
        <v>3.5</v>
      </c>
      <c r="D130" s="1" t="s">
        <v>277</v>
      </c>
      <c r="E130" s="3" t="s">
        <v>233</v>
      </c>
      <c r="F130" s="1" t="s">
        <v>1274</v>
      </c>
      <c r="G130" t="str">
        <f t="shared" si="1"/>
        <v>Teazzert Alameda               </v>
      </c>
      <c r="H130" s="1" t="str">
        <f>IFERROR(__xludf.DUMMYFUNCTION("SPLIT(B130,""-"")"),"Teazzert Alameda       ")</f>
        <v>Teazzert Alameda       </v>
      </c>
    </row>
    <row r="131">
      <c r="A131" s="1">
        <v>128.0</v>
      </c>
      <c r="B131" s="3" t="s">
        <v>1275</v>
      </c>
      <c r="C131" s="1">
        <v>5.0</v>
      </c>
      <c r="D131" s="1" t="s">
        <v>259</v>
      </c>
      <c r="E131" s="3" t="s">
        <v>220</v>
      </c>
      <c r="F131" s="1" t="s">
        <v>1276</v>
      </c>
      <c r="G131" t="str">
        <f t="shared" si="1"/>
        <v>Qteabar Oakland               </v>
      </c>
      <c r="H131" s="1" t="str">
        <f>IFERROR(__xludf.DUMMYFUNCTION("SPLIT(B131,""-"")"),"Qteabar Oakland       ")</f>
        <v>Qteabar Oakland       </v>
      </c>
    </row>
    <row r="132">
      <c r="A132" s="1">
        <v>129.0</v>
      </c>
      <c r="B132" s="3" t="s">
        <v>1277</v>
      </c>
      <c r="C132" s="1">
        <v>4.5</v>
      </c>
      <c r="D132" s="1" t="s">
        <v>280</v>
      </c>
      <c r="E132" s="3" t="s">
        <v>281</v>
      </c>
      <c r="F132" s="1" t="s">
        <v>1278</v>
      </c>
      <c r="G132" t="str">
        <f t="shared" si="1"/>
        <v>The Burrow Brisbane 4             </v>
      </c>
      <c r="H132" s="1" t="str">
        <f>IFERROR(__xludf.DUMMYFUNCTION("SPLIT(B132,""-"")"),"The Burrow Brisbane 4     ")</f>
        <v>The Burrow Brisbane 4     </v>
      </c>
    </row>
    <row r="133">
      <c r="A133" s="1">
        <v>130.0</v>
      </c>
      <c r="B133" s="3" t="s">
        <v>1279</v>
      </c>
      <c r="C133" s="1">
        <v>4.5</v>
      </c>
      <c r="D133" s="1" t="s">
        <v>283</v>
      </c>
      <c r="E133" s="3" t="s">
        <v>220</v>
      </c>
      <c r="F133" s="1" t="s">
        <v>1280</v>
      </c>
      <c r="G133" t="str">
        <f t="shared" si="1"/>
        <v>Sweet Belly Oakland              </v>
      </c>
      <c r="H133" s="1" t="str">
        <f>IFERROR(__xludf.DUMMYFUNCTION("SPLIT(B133,""-"")"),"Sweet Belly Oakland      ")</f>
        <v>Sweet Belly Oakland      </v>
      </c>
    </row>
    <row r="134">
      <c r="A134" s="1">
        <v>131.0</v>
      </c>
      <c r="B134" s="3" t="s">
        <v>1281</v>
      </c>
      <c r="C134" s="1">
        <v>2.5</v>
      </c>
      <c r="D134" s="1" t="s">
        <v>285</v>
      </c>
      <c r="E134" s="3" t="s">
        <v>220</v>
      </c>
      <c r="F134" s="1" t="s">
        <v>1282</v>
      </c>
      <c r="G134" t="str">
        <f t="shared" si="1"/>
        <v>Sancha Bar Oakland 3             </v>
      </c>
      <c r="H134" s="1" t="str">
        <f>IFERROR(__xludf.DUMMYFUNCTION("SPLIT(B134,""-"")"),"Sancha Bar Oakland 3     ")</f>
        <v>Sancha Bar Oakland 3     </v>
      </c>
    </row>
    <row r="135">
      <c r="A135" s="1">
        <v>132.0</v>
      </c>
      <c r="B135" s="3" t="s">
        <v>1283</v>
      </c>
      <c r="C135" s="1">
        <v>4.5</v>
      </c>
      <c r="D135" s="1" t="s">
        <v>287</v>
      </c>
      <c r="E135" s="3" t="s">
        <v>220</v>
      </c>
      <c r="F135" s="1" t="s">
        <v>1284</v>
      </c>
      <c r="G135" t="str">
        <f t="shared" si="1"/>
        <v>Alice Street Bakery Café Oakland 2           </v>
      </c>
      <c r="H135" s="1" t="str">
        <f>IFERROR(__xludf.DUMMYFUNCTION("SPLIT(B135,""-"")"),"Alice Street Bakery Café Oakland 2   ")</f>
        <v>Alice Street Bakery Café Oakland 2   </v>
      </c>
    </row>
    <row r="136">
      <c r="A136" s="1">
        <v>133.0</v>
      </c>
      <c r="B136" s="3" t="s">
        <v>1285</v>
      </c>
      <c r="C136" s="1">
        <v>5.0</v>
      </c>
      <c r="D136" s="1" t="s">
        <v>289</v>
      </c>
      <c r="E136" s="3" t="s">
        <v>116</v>
      </c>
      <c r="F136" s="1" t="s">
        <v>1286</v>
      </c>
      <c r="G136" t="str">
        <f t="shared" si="1"/>
        <v>T4 San Leandro              </v>
      </c>
      <c r="H136" s="1" t="str">
        <f>IFERROR(__xludf.DUMMYFUNCTION("SPLIT(B136,""-"")"),"T4 San Leandro      ")</f>
        <v>T4 San Leandro      </v>
      </c>
    </row>
    <row r="137">
      <c r="A137" s="1">
        <v>134.0</v>
      </c>
      <c r="B137" s="3" t="s">
        <v>1287</v>
      </c>
      <c r="C137" s="1">
        <v>3.5</v>
      </c>
      <c r="D137" s="1" t="s">
        <v>291</v>
      </c>
      <c r="E137" s="3" t="s">
        <v>220</v>
      </c>
      <c r="F137" s="1" t="s">
        <v>1288</v>
      </c>
      <c r="G137" t="str">
        <f t="shared" si="1"/>
        <v>Quickly Oakland 5              </v>
      </c>
      <c r="H137" s="1" t="str">
        <f>IFERROR(__xludf.DUMMYFUNCTION("SPLIT(B137,""-"")"),"Quickly Oakland 5      ")</f>
        <v>Quickly Oakland 5      </v>
      </c>
    </row>
    <row r="138">
      <c r="A138" s="1">
        <v>135.0</v>
      </c>
      <c r="B138" s="3" t="s">
        <v>1289</v>
      </c>
      <c r="C138" s="1">
        <v>4.0</v>
      </c>
      <c r="D138" s="1" t="s">
        <v>293</v>
      </c>
      <c r="E138" s="3" t="s">
        <v>227</v>
      </c>
      <c r="F138" s="1" t="s">
        <v>1290</v>
      </c>
      <c r="G138" t="str">
        <f t="shared" si="1"/>
        <v>Bubble Tea Share Time Berkeley            </v>
      </c>
      <c r="H138" s="1" t="str">
        <f>IFERROR(__xludf.DUMMYFUNCTION("SPLIT(B138,""-"")"),"Bubble Tea Share Time Berkeley    ")</f>
        <v>Bubble Tea Share Time Berkeley    </v>
      </c>
    </row>
    <row r="139">
      <c r="A139" s="1">
        <v>136.0</v>
      </c>
      <c r="B139" s="3" t="s">
        <v>1291</v>
      </c>
      <c r="C139" s="1">
        <v>3.5</v>
      </c>
      <c r="D139" s="1" t="s">
        <v>295</v>
      </c>
      <c r="E139" s="3" t="s">
        <v>220</v>
      </c>
      <c r="F139" s="1" t="s">
        <v>1292</v>
      </c>
      <c r="G139" t="str">
        <f t="shared" si="1"/>
        <v>Shooting Star Cafe Oakland             </v>
      </c>
      <c r="H139" s="1" t="str">
        <f>IFERROR(__xludf.DUMMYFUNCTION("SPLIT(B139,""-"")"),"Shooting Star Cafe Oakland     ")</f>
        <v>Shooting Star Cafe Oakland     </v>
      </c>
    </row>
    <row r="140">
      <c r="A140" s="1">
        <v>137.0</v>
      </c>
      <c r="B140" s="3" t="s">
        <v>1293</v>
      </c>
      <c r="C140" s="1">
        <v>4.0</v>
      </c>
      <c r="D140" s="1" t="s">
        <v>297</v>
      </c>
      <c r="E140" s="3" t="s">
        <v>82</v>
      </c>
      <c r="F140" s="1" t="s">
        <v>1294</v>
      </c>
      <c r="G140" t="str">
        <f t="shared" si="1"/>
        <v>Pekoe San Jose              </v>
      </c>
      <c r="H140" s="1" t="str">
        <f>IFERROR(__xludf.DUMMYFUNCTION("SPLIT(B140,""-"")"),"Pekoe San Jose      ")</f>
        <v>Pekoe San Jose      </v>
      </c>
    </row>
    <row r="141">
      <c r="A141" s="1">
        <v>138.0</v>
      </c>
      <c r="B141" s="3" t="s">
        <v>1295</v>
      </c>
      <c r="C141" s="1">
        <v>4.0</v>
      </c>
      <c r="D141" s="1" t="s">
        <v>299</v>
      </c>
      <c r="E141" s="3" t="s">
        <v>82</v>
      </c>
      <c r="F141" s="1" t="s">
        <v>1296</v>
      </c>
      <c r="G141" t="str">
        <f t="shared" si="1"/>
        <v>Tea Lyfe Drinks San Jose 3           </v>
      </c>
      <c r="H141" s="1" t="str">
        <f>IFERROR(__xludf.DUMMYFUNCTION("SPLIT(B141,""-"")"),"Tea Lyfe Drinks San Jose 3   ")</f>
        <v>Tea Lyfe Drinks San Jose 3   </v>
      </c>
    </row>
    <row r="142">
      <c r="A142" s="1">
        <v>139.0</v>
      </c>
      <c r="B142" s="3" t="s">
        <v>1297</v>
      </c>
      <c r="C142" s="1">
        <v>4.0</v>
      </c>
      <c r="D142" s="1" t="s">
        <v>301</v>
      </c>
      <c r="E142" s="3" t="s">
        <v>82</v>
      </c>
      <c r="F142" s="1" t="s">
        <v>1298</v>
      </c>
      <c r="G142" t="str">
        <f t="shared" si="1"/>
        <v>Teahee San Jose              </v>
      </c>
      <c r="H142" s="1" t="str">
        <f>IFERROR(__xludf.DUMMYFUNCTION("SPLIT(B142,""-"")"),"Teahee San Jose      ")</f>
        <v>Teahee San Jose      </v>
      </c>
    </row>
    <row r="143">
      <c r="A143" s="1">
        <v>140.0</v>
      </c>
      <c r="B143" s="3" t="s">
        <v>1299</v>
      </c>
      <c r="C143" s="1">
        <v>4.0</v>
      </c>
      <c r="D143" s="1" t="s">
        <v>303</v>
      </c>
      <c r="E143" s="3" t="s">
        <v>82</v>
      </c>
      <c r="F143" s="1" t="s">
        <v>1300</v>
      </c>
      <c r="G143" t="str">
        <f t="shared" si="1"/>
        <v>Boba Pub San Jose             </v>
      </c>
      <c r="H143" s="1" t="str">
        <f>IFERROR(__xludf.DUMMYFUNCTION("SPLIT(B143,""-"")"),"Boba Pub San Jose     ")</f>
        <v>Boba Pub San Jose     </v>
      </c>
    </row>
    <row r="144">
      <c r="A144" s="1">
        <v>141.0</v>
      </c>
      <c r="B144" s="3" t="s">
        <v>1301</v>
      </c>
      <c r="C144" s="1">
        <v>4.0</v>
      </c>
      <c r="D144" s="1" t="s">
        <v>305</v>
      </c>
      <c r="E144" s="3" t="s">
        <v>82</v>
      </c>
      <c r="F144" s="1" t="s">
        <v>1302</v>
      </c>
      <c r="G144" t="str">
        <f t="shared" si="1"/>
        <v>Teaspoon San Jose 2             </v>
      </c>
      <c r="H144" s="1" t="str">
        <f>IFERROR(__xludf.DUMMYFUNCTION("SPLIT(B144,""-"")"),"Teaspoon San Jose 2     ")</f>
        <v>Teaspoon San Jose 2     </v>
      </c>
    </row>
    <row r="145">
      <c r="A145" s="1">
        <v>142.0</v>
      </c>
      <c r="B145" s="3" t="s">
        <v>1303</v>
      </c>
      <c r="C145" s="1">
        <v>4.0</v>
      </c>
      <c r="D145" s="1" t="s">
        <v>307</v>
      </c>
      <c r="E145" s="3" t="s">
        <v>82</v>
      </c>
      <c r="F145" s="1" t="s">
        <v>1304</v>
      </c>
      <c r="G145" t="str">
        <f t="shared" si="1"/>
        <v>Passion T Snacks And Desserts San Jose          </v>
      </c>
      <c r="H145" s="1" t="str">
        <f>IFERROR(__xludf.DUMMYFUNCTION("SPLIT(B145,""-"")"),"Passion T Snacks And Desserts San Jose  ")</f>
        <v>Passion T Snacks And Desserts San Jose  </v>
      </c>
    </row>
    <row r="146">
      <c r="A146" s="1">
        <v>143.0</v>
      </c>
      <c r="B146" s="3" t="s">
        <v>1305</v>
      </c>
      <c r="C146" s="1">
        <v>4.0</v>
      </c>
      <c r="D146" s="1" t="s">
        <v>309</v>
      </c>
      <c r="E146" s="3" t="s">
        <v>82</v>
      </c>
      <c r="F146" s="1" t="s">
        <v>1306</v>
      </c>
      <c r="G146" t="str">
        <f t="shared" si="1"/>
        <v>Pop Up Tea Coffee And Snacks San Jose         </v>
      </c>
      <c r="H146" s="1" t="str">
        <f>IFERROR(__xludf.DUMMYFUNCTION("SPLIT(B146,""-"")"),"Pop Up Tea Coffee And Snacks San Jose ")</f>
        <v>Pop Up Tea Coffee And Snacks San Jose </v>
      </c>
    </row>
    <row r="147">
      <c r="A147" s="1">
        <v>144.0</v>
      </c>
      <c r="B147" s="3" t="s">
        <v>1307</v>
      </c>
      <c r="C147" s="1">
        <v>4.5</v>
      </c>
      <c r="D147" s="1" t="s">
        <v>311</v>
      </c>
      <c r="E147" s="3" t="s">
        <v>82</v>
      </c>
      <c r="F147" s="1" t="s">
        <v>1308</v>
      </c>
      <c r="G147" t="str">
        <f t="shared" si="1"/>
        <v>Happy Lemon San Jose 5            </v>
      </c>
      <c r="H147" s="1" t="str">
        <f>IFERROR(__xludf.DUMMYFUNCTION("SPLIT(B147,""-"")"),"Happy Lemon San Jose 5    ")</f>
        <v>Happy Lemon San Jose 5    </v>
      </c>
    </row>
    <row r="148">
      <c r="A148" s="1">
        <v>145.0</v>
      </c>
      <c r="B148" s="3" t="s">
        <v>1309</v>
      </c>
      <c r="C148" s="1">
        <v>3.5</v>
      </c>
      <c r="D148" s="1" t="s">
        <v>313</v>
      </c>
      <c r="E148" s="3" t="s">
        <v>82</v>
      </c>
      <c r="F148" s="1" t="s">
        <v>1310</v>
      </c>
      <c r="G148" t="str">
        <f t="shared" si="1"/>
        <v>Boba Bar San Jose 3            </v>
      </c>
      <c r="H148" s="1" t="str">
        <f>IFERROR(__xludf.DUMMYFUNCTION("SPLIT(B148,""-"")"),"Boba Bar San Jose 3    ")</f>
        <v>Boba Bar San Jose 3    </v>
      </c>
    </row>
    <row r="149">
      <c r="A149" s="1">
        <v>146.0</v>
      </c>
      <c r="B149" s="3" t="s">
        <v>1311</v>
      </c>
      <c r="C149" s="1">
        <v>4.0</v>
      </c>
      <c r="D149" s="1" t="s">
        <v>315</v>
      </c>
      <c r="E149" s="3" t="s">
        <v>82</v>
      </c>
      <c r="F149" s="1" t="s">
        <v>1312</v>
      </c>
      <c r="G149" t="str">
        <f t="shared" si="1"/>
        <v>Sinceretea San Jose 2             </v>
      </c>
      <c r="H149" s="1" t="str">
        <f>IFERROR(__xludf.DUMMYFUNCTION("SPLIT(B149,""-"")"),"Sinceretea San Jose 2     ")</f>
        <v>Sinceretea San Jose 2     </v>
      </c>
    </row>
    <row r="150">
      <c r="A150" s="1">
        <v>147.0</v>
      </c>
      <c r="B150" s="3" t="s">
        <v>1313</v>
      </c>
      <c r="C150" s="1">
        <v>5.0</v>
      </c>
      <c r="D150" s="1" t="s">
        <v>317</v>
      </c>
      <c r="E150" s="3" t="s">
        <v>82</v>
      </c>
      <c r="F150" s="1" t="s">
        <v>1314</v>
      </c>
      <c r="G150" t="str">
        <f t="shared" si="1"/>
        <v>Bobateani San Jose              </v>
      </c>
      <c r="H150" s="1" t="str">
        <f>IFERROR(__xludf.DUMMYFUNCTION("SPLIT(B150,""-"")"),"Bobateani San Jose      ")</f>
        <v>Bobateani San Jose      </v>
      </c>
    </row>
    <row r="151">
      <c r="A151" s="1">
        <v>148.0</v>
      </c>
      <c r="B151" s="3" t="s">
        <v>1315</v>
      </c>
      <c r="C151" s="1">
        <v>4.0</v>
      </c>
      <c r="D151" s="1" t="s">
        <v>319</v>
      </c>
      <c r="E151" s="3" t="s">
        <v>82</v>
      </c>
      <c r="F151" s="1" t="s">
        <v>1316</v>
      </c>
      <c r="G151" t="str">
        <f t="shared" si="1"/>
        <v>Soyful Desserts San Jose 2            </v>
      </c>
      <c r="H151" s="1" t="str">
        <f>IFERROR(__xludf.DUMMYFUNCTION("SPLIT(B151,""-"")"),"Soyful Desserts San Jose 2    ")</f>
        <v>Soyful Desserts San Jose 2    </v>
      </c>
    </row>
    <row r="152">
      <c r="A152" s="1">
        <v>149.0</v>
      </c>
      <c r="B152" s="3" t="s">
        <v>1317</v>
      </c>
      <c r="C152" s="1">
        <v>4.0</v>
      </c>
      <c r="D152" s="1" t="s">
        <v>321</v>
      </c>
      <c r="E152" s="3" t="s">
        <v>82</v>
      </c>
      <c r="F152" s="1" t="s">
        <v>1318</v>
      </c>
      <c r="G152" t="str">
        <f t="shared" si="1"/>
        <v>One Tea San Jose 4            </v>
      </c>
      <c r="H152" s="1" t="str">
        <f>IFERROR(__xludf.DUMMYFUNCTION("SPLIT(B152,""-"")"),"One Tea San Jose 4    ")</f>
        <v>One Tea San Jose 4    </v>
      </c>
    </row>
    <row r="153">
      <c r="A153" s="1">
        <v>150.0</v>
      </c>
      <c r="B153" s="3" t="s">
        <v>1319</v>
      </c>
      <c r="C153" s="1">
        <v>4.0</v>
      </c>
      <c r="D153" s="1" t="s">
        <v>323</v>
      </c>
      <c r="E153" s="3" t="s">
        <v>82</v>
      </c>
      <c r="F153" s="1" t="s">
        <v>1320</v>
      </c>
      <c r="G153" t="str">
        <f t="shared" si="1"/>
        <v>I Tea San Jose             </v>
      </c>
      <c r="H153" s="1" t="str">
        <f>IFERROR(__xludf.DUMMYFUNCTION("SPLIT(B153,""-"")"),"I Tea San Jose     ")</f>
        <v>I Tea San Jose     </v>
      </c>
    </row>
    <row r="154">
      <c r="A154" s="1">
        <v>151.0</v>
      </c>
      <c r="B154" s="3" t="s">
        <v>1321</v>
      </c>
      <c r="C154" s="1">
        <v>3.5</v>
      </c>
      <c r="D154" s="1" t="s">
        <v>325</v>
      </c>
      <c r="E154" s="3" t="s">
        <v>82</v>
      </c>
      <c r="F154" s="1" t="s">
        <v>1322</v>
      </c>
      <c r="G154" t="str">
        <f t="shared" si="1"/>
        <v>The Tea Zone And Fruit Bar San Jose         </v>
      </c>
      <c r="H154" s="1" t="str">
        <f>IFERROR(__xludf.DUMMYFUNCTION("SPLIT(B154,""-"")"),"The Tea Zone And Fruit Bar San Jose ")</f>
        <v>The Tea Zone And Fruit Bar San Jose </v>
      </c>
    </row>
    <row r="155">
      <c r="A155" s="1">
        <v>152.0</v>
      </c>
      <c r="B155" s="3" t="s">
        <v>1323</v>
      </c>
      <c r="C155" s="1">
        <v>4.0</v>
      </c>
      <c r="D155" s="1" t="s">
        <v>327</v>
      </c>
      <c r="E155" s="3" t="s">
        <v>82</v>
      </c>
      <c r="F155" s="1" t="s">
        <v>1324</v>
      </c>
      <c r="G155" t="str">
        <f t="shared" si="1"/>
        <v>Createave Cafe San Jose 4            </v>
      </c>
      <c r="H155" s="1" t="str">
        <f>IFERROR(__xludf.DUMMYFUNCTION("SPLIT(B155,""-"")"),"Createave Cafe San Jose 4    ")</f>
        <v>Createave Cafe San Jose 4    </v>
      </c>
    </row>
    <row r="156">
      <c r="A156" s="1">
        <v>153.0</v>
      </c>
      <c r="B156" s="3" t="s">
        <v>1325</v>
      </c>
      <c r="C156" s="1">
        <v>4.0</v>
      </c>
      <c r="D156" s="1" t="s">
        <v>329</v>
      </c>
      <c r="E156" s="3" t="s">
        <v>82</v>
      </c>
      <c r="F156" s="1" t="s">
        <v>1326</v>
      </c>
      <c r="G156" t="str">
        <f t="shared" si="1"/>
        <v>Tleaf Teapresso San Jose 3            </v>
      </c>
      <c r="H156" s="1" t="str">
        <f>IFERROR(__xludf.DUMMYFUNCTION("SPLIT(B156,""-"")"),"Tleaf Teapresso San Jose 3    ")</f>
        <v>Tleaf Teapresso San Jose 3    </v>
      </c>
    </row>
    <row r="157">
      <c r="A157" s="1">
        <v>154.0</v>
      </c>
      <c r="B157" s="3" t="s">
        <v>1327</v>
      </c>
      <c r="C157" s="1">
        <v>4.5</v>
      </c>
      <c r="D157" s="1" t="s">
        <v>331</v>
      </c>
      <c r="E157" s="3" t="s">
        <v>82</v>
      </c>
      <c r="F157" s="1" t="s">
        <v>1328</v>
      </c>
      <c r="G157" t="str">
        <f t="shared" si="1"/>
        <v>Katea San Jose              </v>
      </c>
      <c r="H157" s="1" t="str">
        <f>IFERROR(__xludf.DUMMYFUNCTION("SPLIT(B157,""-"")"),"Katea San Jose      ")</f>
        <v>Katea San Jose      </v>
      </c>
    </row>
    <row r="158">
      <c r="A158" s="1">
        <v>155.0</v>
      </c>
      <c r="B158" s="3" t="s">
        <v>1329</v>
      </c>
      <c r="C158" s="1">
        <v>4.0</v>
      </c>
      <c r="D158" s="1" t="s">
        <v>333</v>
      </c>
      <c r="E158" s="3" t="s">
        <v>82</v>
      </c>
      <c r="F158" s="1" t="s">
        <v>1330</v>
      </c>
      <c r="G158" t="str">
        <f t="shared" si="1"/>
        <v>Teatop San Jose 2             </v>
      </c>
      <c r="H158" s="1" t="str">
        <f>IFERROR(__xludf.DUMMYFUNCTION("SPLIT(B158,""-"")"),"Teatop San Jose 2     ")</f>
        <v>Teatop San Jose 2     </v>
      </c>
    </row>
    <row r="159">
      <c r="A159" s="1">
        <v>156.0</v>
      </c>
      <c r="B159" s="3" t="s">
        <v>1331</v>
      </c>
      <c r="C159" s="1">
        <v>4.0</v>
      </c>
      <c r="D159" s="1" t="s">
        <v>335</v>
      </c>
      <c r="E159" s="3" t="s">
        <v>82</v>
      </c>
      <c r="F159" s="1" t="s">
        <v>1332</v>
      </c>
      <c r="G159" t="str">
        <f t="shared" si="1"/>
        <v>Bubbly San Jose 4             </v>
      </c>
      <c r="H159" s="1" t="str">
        <f>IFERROR(__xludf.DUMMYFUNCTION("SPLIT(B159,""-"")"),"Bubbly San Jose 4     ")</f>
        <v>Bubbly San Jose 4     </v>
      </c>
    </row>
    <row r="160">
      <c r="A160" s="1">
        <v>157.0</v>
      </c>
      <c r="B160" s="3" t="s">
        <v>1333</v>
      </c>
      <c r="C160" s="1">
        <v>4.0</v>
      </c>
      <c r="D160" s="1" t="s">
        <v>337</v>
      </c>
      <c r="E160" s="3" t="s">
        <v>82</v>
      </c>
      <c r="F160" s="1" t="s">
        <v>1334</v>
      </c>
      <c r="G160" t="str">
        <f t="shared" si="1"/>
        <v>Vampire Penguin Featuring Jastea San Jose           </v>
      </c>
      <c r="H160" s="1" t="str">
        <f>IFERROR(__xludf.DUMMYFUNCTION("SPLIT(B160,""-"")"),"Vampire Penguin Featuring Jastea San Jose   ")</f>
        <v>Vampire Penguin Featuring Jastea San Jose   </v>
      </c>
    </row>
    <row r="161">
      <c r="A161" s="1">
        <v>158.0</v>
      </c>
      <c r="B161" s="3" t="s">
        <v>1335</v>
      </c>
      <c r="C161" s="1">
        <v>4.0</v>
      </c>
      <c r="D161" s="1" t="s">
        <v>311</v>
      </c>
      <c r="E161" s="3" t="s">
        <v>82</v>
      </c>
      <c r="F161" s="1" t="s">
        <v>1336</v>
      </c>
      <c r="G161" t="str">
        <f t="shared" si="1"/>
        <v>Simply Boba San Jose             </v>
      </c>
      <c r="H161" s="1" t="str">
        <f>IFERROR(__xludf.DUMMYFUNCTION("SPLIT(B161,""-"")"),"Simply Boba San Jose     ")</f>
        <v>Simply Boba San Jose     </v>
      </c>
    </row>
    <row r="162">
      <c r="A162" s="1">
        <v>159.0</v>
      </c>
      <c r="B162" s="3" t="s">
        <v>1337</v>
      </c>
      <c r="C162" s="1">
        <v>4.5</v>
      </c>
      <c r="D162" s="1" t="s">
        <v>340</v>
      </c>
      <c r="E162" s="3" t="s">
        <v>341</v>
      </c>
      <c r="F162" s="1" t="s">
        <v>1338</v>
      </c>
      <c r="G162" t="str">
        <f t="shared" si="1"/>
        <v>Happy Lemon Cupertino              </v>
      </c>
      <c r="H162" s="1" t="str">
        <f>IFERROR(__xludf.DUMMYFUNCTION("SPLIT(B162,""-"")"),"Happy Lemon Cupertino      ")</f>
        <v>Happy Lemon Cupertino      </v>
      </c>
    </row>
    <row r="163">
      <c r="A163" s="1">
        <v>160.0</v>
      </c>
      <c r="B163" s="3" t="s">
        <v>1339</v>
      </c>
      <c r="C163" s="1">
        <v>5.0</v>
      </c>
      <c r="D163" s="1" t="s">
        <v>343</v>
      </c>
      <c r="E163" s="3" t="s">
        <v>82</v>
      </c>
      <c r="F163" s="1" t="s">
        <v>1340</v>
      </c>
      <c r="G163" t="str">
        <f t="shared" si="1"/>
        <v>Amor Cafe And Tea San Jose           </v>
      </c>
      <c r="H163" s="1" t="str">
        <f>IFERROR(__xludf.DUMMYFUNCTION("SPLIT(B163,""-"")"),"Amor Cafe And Tea San Jose   ")</f>
        <v>Amor Cafe And Tea San Jose   </v>
      </c>
    </row>
    <row r="164">
      <c r="A164" s="1">
        <v>161.0</v>
      </c>
      <c r="B164" s="3" t="s">
        <v>1341</v>
      </c>
      <c r="C164" s="1">
        <v>4.0</v>
      </c>
      <c r="D164" s="1" t="s">
        <v>345</v>
      </c>
      <c r="E164" s="3" t="s">
        <v>82</v>
      </c>
      <c r="F164" s="1" t="s">
        <v>1342</v>
      </c>
      <c r="G164" t="str">
        <f t="shared" si="1"/>
        <v>Shincha Tea San Jose 3            </v>
      </c>
      <c r="H164" s="1" t="str">
        <f>IFERROR(__xludf.DUMMYFUNCTION("SPLIT(B164,""-"")"),"Shincha Tea San Jose 3    ")</f>
        <v>Shincha Tea San Jose 3    </v>
      </c>
    </row>
    <row r="165">
      <c r="A165" s="1">
        <v>162.0</v>
      </c>
      <c r="B165" s="3" t="s">
        <v>1343</v>
      </c>
      <c r="C165" s="1">
        <v>4.0</v>
      </c>
      <c r="D165" s="1" t="s">
        <v>347</v>
      </c>
      <c r="E165" s="3" t="s">
        <v>348</v>
      </c>
      <c r="F165" s="1" t="s">
        <v>1344</v>
      </c>
      <c r="G165" t="str">
        <f t="shared" si="1"/>
        <v>Sharetea Santa Clara 3             </v>
      </c>
      <c r="H165" s="1" t="str">
        <f>IFERROR(__xludf.DUMMYFUNCTION("SPLIT(B165,""-"")"),"Sharetea Santa Clara 3     ")</f>
        <v>Sharetea Santa Clara 3     </v>
      </c>
    </row>
    <row r="166">
      <c r="A166" s="1">
        <v>163.0</v>
      </c>
      <c r="B166" s="3" t="s">
        <v>1345</v>
      </c>
      <c r="C166" s="1">
        <v>4.0</v>
      </c>
      <c r="D166" s="1" t="s">
        <v>350</v>
      </c>
      <c r="E166" s="3" t="s">
        <v>82</v>
      </c>
      <c r="F166" s="1" t="s">
        <v>1346</v>
      </c>
      <c r="G166" t="str">
        <f t="shared" si="1"/>
        <v>Chatime San Jose San Jose 3           </v>
      </c>
      <c r="H166" s="1" t="str">
        <f>IFERROR(__xludf.DUMMYFUNCTION("SPLIT(B166,""-"")"),"Chatime San Jose San Jose 3   ")</f>
        <v>Chatime San Jose San Jose 3   </v>
      </c>
    </row>
    <row r="167">
      <c r="A167" s="1">
        <v>164.0</v>
      </c>
      <c r="B167" s="3" t="s">
        <v>1347</v>
      </c>
      <c r="C167" s="1">
        <v>3.5</v>
      </c>
      <c r="D167" s="1" t="s">
        <v>352</v>
      </c>
      <c r="E167" s="3" t="s">
        <v>82</v>
      </c>
      <c r="F167" s="1" t="s">
        <v>1348</v>
      </c>
      <c r="G167" t="str">
        <f t="shared" si="1"/>
        <v>Pure Tea Bar San Jose            </v>
      </c>
      <c r="H167" s="1" t="str">
        <f>IFERROR(__xludf.DUMMYFUNCTION("SPLIT(B167,""-"")"),"Pure Tea Bar San Jose    ")</f>
        <v>Pure Tea Bar San Jose    </v>
      </c>
    </row>
    <row r="168">
      <c r="A168" s="1">
        <v>165.0</v>
      </c>
      <c r="B168" s="3" t="s">
        <v>1349</v>
      </c>
      <c r="C168" s="1">
        <v>4.0</v>
      </c>
      <c r="D168" s="1" t="s">
        <v>354</v>
      </c>
      <c r="E168" s="3" t="s">
        <v>82</v>
      </c>
      <c r="F168" s="1" t="s">
        <v>1350</v>
      </c>
      <c r="G168" t="str">
        <f t="shared" si="1"/>
        <v>T Spot Boba Drinks And Snacks San Jose         </v>
      </c>
      <c r="H168" s="1" t="str">
        <f>IFERROR(__xludf.DUMMYFUNCTION("SPLIT(B168,""-"")"),"T Spot Boba Drinks And Snacks San Jose ")</f>
        <v>T Spot Boba Drinks And Snacks San Jose </v>
      </c>
    </row>
    <row r="169">
      <c r="A169" s="1">
        <v>166.0</v>
      </c>
      <c r="B169" s="3" t="s">
        <v>1351</v>
      </c>
      <c r="C169" s="1">
        <v>4.0</v>
      </c>
      <c r="D169" s="1" t="s">
        <v>356</v>
      </c>
      <c r="E169" s="3" t="s">
        <v>82</v>
      </c>
      <c r="F169" s="1" t="s">
        <v>1352</v>
      </c>
      <c r="G169" t="str">
        <f t="shared" si="1"/>
        <v>Meow Tea San Jose             </v>
      </c>
      <c r="H169" s="1" t="str">
        <f>IFERROR(__xludf.DUMMYFUNCTION("SPLIT(B169,""-"")"),"Meow Tea San Jose     ")</f>
        <v>Meow Tea San Jose     </v>
      </c>
    </row>
    <row r="170">
      <c r="A170" s="1">
        <v>167.0</v>
      </c>
      <c r="B170" s="3" t="s">
        <v>1353</v>
      </c>
      <c r="C170" s="1">
        <v>3.5</v>
      </c>
      <c r="D170" s="1" t="s">
        <v>358</v>
      </c>
      <c r="E170" s="3" t="s">
        <v>82</v>
      </c>
      <c r="F170" s="1" t="s">
        <v>1354</v>
      </c>
      <c r="G170" t="str">
        <f t="shared" si="1"/>
        <v>Fantasia Coffee And Tea San Jose 4          </v>
      </c>
      <c r="H170" s="1" t="str">
        <f>IFERROR(__xludf.DUMMYFUNCTION("SPLIT(B170,""-"")"),"Fantasia Coffee And Tea San Jose 4  ")</f>
        <v>Fantasia Coffee And Tea San Jose 4  </v>
      </c>
    </row>
    <row r="171">
      <c r="A171" s="1">
        <v>168.0</v>
      </c>
      <c r="B171" s="3" t="s">
        <v>1355</v>
      </c>
      <c r="C171" s="1">
        <v>3.5</v>
      </c>
      <c r="D171" s="1" t="s">
        <v>360</v>
      </c>
      <c r="E171" s="3" t="s">
        <v>341</v>
      </c>
      <c r="F171" s="1" t="s">
        <v>1356</v>
      </c>
      <c r="G171" t="str">
        <f t="shared" si="1"/>
        <v>Monster Boba Cupertino 3             </v>
      </c>
      <c r="H171" s="1" t="str">
        <f>IFERROR(__xludf.DUMMYFUNCTION("SPLIT(B171,""-"")"),"Monster Boba Cupertino 3     ")</f>
        <v>Monster Boba Cupertino 3     </v>
      </c>
    </row>
    <row r="172">
      <c r="A172" s="1">
        <v>169.0</v>
      </c>
      <c r="B172" s="3" t="s">
        <v>1357</v>
      </c>
      <c r="C172" s="1">
        <v>3.5</v>
      </c>
      <c r="D172" s="1" t="s">
        <v>362</v>
      </c>
      <c r="E172" s="3" t="s">
        <v>82</v>
      </c>
      <c r="F172" s="1" t="s">
        <v>1358</v>
      </c>
      <c r="G172" t="str">
        <f t="shared" si="1"/>
        <v>Teasociety San Jose              </v>
      </c>
      <c r="H172" s="1" t="str">
        <f>IFERROR(__xludf.DUMMYFUNCTION("SPLIT(B172,""-"")"),"Teasociety San Jose      ")</f>
        <v>Teasociety San Jose      </v>
      </c>
    </row>
    <row r="173">
      <c r="A173" s="1">
        <v>170.0</v>
      </c>
      <c r="B173" s="3" t="s">
        <v>1359</v>
      </c>
      <c r="C173" s="1">
        <v>4.0</v>
      </c>
      <c r="D173" s="1" t="s">
        <v>311</v>
      </c>
      <c r="E173" s="3" t="s">
        <v>82</v>
      </c>
      <c r="F173" s="1" t="s">
        <v>1360</v>
      </c>
      <c r="G173" t="str">
        <f t="shared" si="1"/>
        <v>Bfresh Snacks And Drinks San Jose           </v>
      </c>
      <c r="H173" s="1" t="str">
        <f>IFERROR(__xludf.DUMMYFUNCTION("SPLIT(B173,""-"")"),"Bfresh Snacks And Drinks San Jose   ")</f>
        <v>Bfresh Snacks And Drinks San Jose   </v>
      </c>
    </row>
    <row r="174">
      <c r="A174" s="1">
        <v>171.0</v>
      </c>
      <c r="B174" s="3" t="s">
        <v>1361</v>
      </c>
      <c r="C174" s="1">
        <v>4.0</v>
      </c>
      <c r="D174" s="1" t="s">
        <v>365</v>
      </c>
      <c r="E174" s="3" t="s">
        <v>82</v>
      </c>
      <c r="F174" s="1" t="s">
        <v>1362</v>
      </c>
      <c r="G174" t="str">
        <f t="shared" si="1"/>
        <v>Beibay Tea San Jose             </v>
      </c>
      <c r="H174" s="1" t="str">
        <f>IFERROR(__xludf.DUMMYFUNCTION("SPLIT(B174,""-"")"),"Beibay Tea San Jose     ")</f>
        <v>Beibay Tea San Jose     </v>
      </c>
    </row>
    <row r="175">
      <c r="A175" s="1">
        <v>172.0</v>
      </c>
      <c r="B175" s="3" t="s">
        <v>1363</v>
      </c>
      <c r="C175" s="1">
        <v>3.5</v>
      </c>
      <c r="D175" s="1" t="s">
        <v>367</v>
      </c>
      <c r="E175" s="3" t="s">
        <v>82</v>
      </c>
      <c r="F175" s="1" t="s">
        <v>1364</v>
      </c>
      <c r="G175" t="str">
        <f t="shared" si="1"/>
        <v>Gong Cha San Jose 19            </v>
      </c>
      <c r="H175" s="1" t="str">
        <f>IFERROR(__xludf.DUMMYFUNCTION("SPLIT(B175,""-"")"),"Gong Cha San Jose 19    ")</f>
        <v>Gong Cha San Jose 19    </v>
      </c>
    </row>
    <row r="176">
      <c r="A176" s="1">
        <v>173.0</v>
      </c>
      <c r="B176" s="3" t="s">
        <v>1365</v>
      </c>
      <c r="C176" s="1">
        <v>4.5</v>
      </c>
      <c r="D176" s="1" t="s">
        <v>301</v>
      </c>
      <c r="E176" s="3" t="s">
        <v>82</v>
      </c>
      <c r="F176" s="1" t="s">
        <v>1366</v>
      </c>
      <c r="G176" t="str">
        <f t="shared" si="1"/>
        <v>Sweet Gelato Tea Lounge San Jose           </v>
      </c>
      <c r="H176" s="1" t="str">
        <f>IFERROR(__xludf.DUMMYFUNCTION("SPLIT(B176,""-"")"),"Sweet Gelato Tea Lounge San Jose   ")</f>
        <v>Sweet Gelato Tea Lounge San Jose   </v>
      </c>
    </row>
    <row r="177">
      <c r="A177" s="1">
        <v>174.0</v>
      </c>
      <c r="B177" s="3" t="s">
        <v>1367</v>
      </c>
      <c r="C177" s="1">
        <v>3.5</v>
      </c>
      <c r="D177" s="1" t="s">
        <v>370</v>
      </c>
      <c r="E177" s="3" t="s">
        <v>82</v>
      </c>
      <c r="F177" s="1" t="s">
        <v>1368</v>
      </c>
      <c r="G177" t="str">
        <f t="shared" si="1"/>
        <v>Sharetea San Jose 3             </v>
      </c>
      <c r="H177" s="1" t="str">
        <f>IFERROR(__xludf.DUMMYFUNCTION("SPLIT(B177,""-"")"),"Sharetea San Jose 3     ")</f>
        <v>Sharetea San Jose 3     </v>
      </c>
    </row>
    <row r="178">
      <c r="A178" s="1">
        <v>175.0</v>
      </c>
      <c r="B178" s="3" t="s">
        <v>1369</v>
      </c>
      <c r="C178" s="1">
        <v>3.5</v>
      </c>
      <c r="D178" s="1" t="s">
        <v>372</v>
      </c>
      <c r="E178" s="3" t="s">
        <v>82</v>
      </c>
      <c r="F178" s="1" t="s">
        <v>1370</v>
      </c>
      <c r="G178" t="str">
        <f t="shared" si="1"/>
        <v>Gong Cha San Jose 8            </v>
      </c>
      <c r="H178" s="1" t="str">
        <f>IFERROR(__xludf.DUMMYFUNCTION("SPLIT(B178,""-"")"),"Gong Cha San Jose 8    ")</f>
        <v>Gong Cha San Jose 8    </v>
      </c>
    </row>
    <row r="179">
      <c r="A179" s="1">
        <v>176.0</v>
      </c>
      <c r="B179" s="3" t="s">
        <v>1371</v>
      </c>
      <c r="C179" s="1">
        <v>4.0</v>
      </c>
      <c r="D179" s="1" t="s">
        <v>311</v>
      </c>
      <c r="E179" s="3" t="s">
        <v>82</v>
      </c>
      <c r="F179" s="1" t="s">
        <v>1372</v>
      </c>
      <c r="G179" t="str">
        <f t="shared" si="1"/>
        <v>Soyful Desserts San Jose 8            </v>
      </c>
      <c r="H179" s="1" t="str">
        <f>IFERROR(__xludf.DUMMYFUNCTION("SPLIT(B179,""-"")"),"Soyful Desserts San Jose 8    ")</f>
        <v>Soyful Desserts San Jose 8    </v>
      </c>
    </row>
    <row r="180">
      <c r="A180" s="1">
        <v>177.0</v>
      </c>
      <c r="B180" s="3" t="s">
        <v>1373</v>
      </c>
      <c r="C180" s="1">
        <v>4.0</v>
      </c>
      <c r="D180" s="1" t="s">
        <v>375</v>
      </c>
      <c r="E180" s="3" t="s">
        <v>82</v>
      </c>
      <c r="F180" s="1" t="s">
        <v>1374</v>
      </c>
      <c r="G180" t="str">
        <f t="shared" si="1"/>
        <v>Oooh San Jose 4             </v>
      </c>
      <c r="H180" s="1" t="str">
        <f>IFERROR(__xludf.DUMMYFUNCTION("SPLIT(B180,""-"")"),"Oooh San Jose 4     ")</f>
        <v>Oooh San Jose 4     </v>
      </c>
    </row>
    <row r="181">
      <c r="A181" s="1">
        <v>178.0</v>
      </c>
      <c r="B181" s="3" t="s">
        <v>1375</v>
      </c>
      <c r="C181" s="1">
        <v>4.0</v>
      </c>
      <c r="D181" s="1" t="s">
        <v>377</v>
      </c>
      <c r="E181" s="3" t="s">
        <v>82</v>
      </c>
      <c r="F181" s="1" t="s">
        <v>1376</v>
      </c>
      <c r="G181" t="str">
        <f t="shared" si="1"/>
        <v>The Tea Zone Lounge San Jose           </v>
      </c>
      <c r="H181" s="1" t="str">
        <f>IFERROR(__xludf.DUMMYFUNCTION("SPLIT(B181,""-"")"),"The Tea Zone Lounge San Jose   ")</f>
        <v>The Tea Zone Lounge San Jose   </v>
      </c>
    </row>
    <row r="182">
      <c r="A182" s="1">
        <v>179.0</v>
      </c>
      <c r="B182" s="3" t="s">
        <v>1377</v>
      </c>
      <c r="C182" s="1">
        <v>3.5</v>
      </c>
      <c r="D182" s="1" t="s">
        <v>379</v>
      </c>
      <c r="E182" s="3" t="s">
        <v>348</v>
      </c>
      <c r="F182" s="1" t="s">
        <v>1378</v>
      </c>
      <c r="G182" t="str">
        <f t="shared" si="1"/>
        <v>The Moo Bar Santa Clara            </v>
      </c>
      <c r="H182" s="1" t="str">
        <f>IFERROR(__xludf.DUMMYFUNCTION("SPLIT(B182,""-"")"),"The Moo Bar Santa Clara    ")</f>
        <v>The Moo Bar Santa Clara    </v>
      </c>
    </row>
    <row r="183">
      <c r="A183" s="1">
        <v>180.0</v>
      </c>
      <c r="B183" s="3" t="s">
        <v>1379</v>
      </c>
      <c r="C183" s="1">
        <v>4.0</v>
      </c>
      <c r="D183" s="1" t="s">
        <v>381</v>
      </c>
      <c r="E183" s="3" t="s">
        <v>82</v>
      </c>
      <c r="F183" s="1" t="s">
        <v>1380</v>
      </c>
      <c r="G183" t="str">
        <f t="shared" si="1"/>
        <v>Tapioca Express San Jose 8            </v>
      </c>
      <c r="H183" s="1" t="str">
        <f>IFERROR(__xludf.DUMMYFUNCTION("SPLIT(B183,""-"")"),"Tapioca Express San Jose 8    ")</f>
        <v>Tapioca Express San Jose 8    </v>
      </c>
    </row>
    <row r="184">
      <c r="A184" s="1">
        <v>181.0</v>
      </c>
      <c r="B184" s="3" t="s">
        <v>1381</v>
      </c>
      <c r="C184" s="1">
        <v>3.5</v>
      </c>
      <c r="D184" s="1" t="s">
        <v>383</v>
      </c>
      <c r="E184" s="3" t="s">
        <v>82</v>
      </c>
      <c r="F184" s="1" t="s">
        <v>1382</v>
      </c>
      <c r="G184" t="str">
        <f t="shared" si="1"/>
        <v>Purple Kow San Jose 4            </v>
      </c>
      <c r="H184" s="1" t="str">
        <f>IFERROR(__xludf.DUMMYFUNCTION("SPLIT(B184,""-"")"),"Purple Kow San Jose 4    ")</f>
        <v>Purple Kow San Jose 4    </v>
      </c>
    </row>
    <row r="185">
      <c r="A185" s="1">
        <v>182.0</v>
      </c>
      <c r="B185" s="3" t="s">
        <v>1383</v>
      </c>
      <c r="C185" s="1">
        <v>4.5</v>
      </c>
      <c r="D185" s="1" t="s">
        <v>385</v>
      </c>
      <c r="E185" s="3" t="s">
        <v>386</v>
      </c>
      <c r="F185" s="1" t="s">
        <v>1384</v>
      </c>
      <c r="G185" t="str">
        <f t="shared" si="1"/>
        <v>Heritage Eats Napa              </v>
      </c>
      <c r="H185" s="1" t="str">
        <f>IFERROR(__xludf.DUMMYFUNCTION("SPLIT(B185,""-"")"),"Heritage Eats Napa      ")</f>
        <v>Heritage Eats Napa      </v>
      </c>
    </row>
    <row r="186">
      <c r="A186" s="1">
        <v>183.0</v>
      </c>
      <c r="B186" s="3" t="s">
        <v>1385</v>
      </c>
      <c r="C186" s="1">
        <v>3.5</v>
      </c>
      <c r="D186" s="1" t="s">
        <v>388</v>
      </c>
      <c r="E186" s="3" t="s">
        <v>386</v>
      </c>
      <c r="F186" s="1" t="s">
        <v>1386</v>
      </c>
      <c r="G186" t="str">
        <f t="shared" si="1"/>
        <v>Yobelle Napa 2              </v>
      </c>
      <c r="H186" s="1" t="str">
        <f>IFERROR(__xludf.DUMMYFUNCTION("SPLIT(B186,""-"")"),"Yobelle Napa 2      ")</f>
        <v>Yobelle Napa 2      </v>
      </c>
    </row>
    <row r="187">
      <c r="A187" s="1">
        <v>184.0</v>
      </c>
      <c r="B187" s="3" t="s">
        <v>1387</v>
      </c>
      <c r="C187" s="1">
        <v>4.0</v>
      </c>
      <c r="D187" s="1" t="s">
        <v>390</v>
      </c>
      <c r="E187" s="3" t="s">
        <v>386</v>
      </c>
      <c r="F187" s="1" t="s">
        <v>1388</v>
      </c>
      <c r="G187" t="str">
        <f t="shared" si="1"/>
        <v>Morimoto Napa Napa              </v>
      </c>
      <c r="H187" s="1" t="str">
        <f>IFERROR(__xludf.DUMMYFUNCTION("SPLIT(B187,""-"")"),"Morimoto Napa Napa      ")</f>
        <v>Morimoto Napa Napa      </v>
      </c>
    </row>
    <row r="188">
      <c r="A188" s="1">
        <v>185.0</v>
      </c>
      <c r="B188" s="3" t="s">
        <v>1389</v>
      </c>
      <c r="C188" s="1">
        <v>3.0</v>
      </c>
      <c r="D188" s="1" t="s">
        <v>392</v>
      </c>
      <c r="E188" s="3" t="s">
        <v>386</v>
      </c>
      <c r="F188" s="1" t="s">
        <v>1390</v>
      </c>
      <c r="G188" t="str">
        <f t="shared" si="1"/>
        <v>Napa Noodles Napa              </v>
      </c>
      <c r="H188" s="1" t="str">
        <f>IFERROR(__xludf.DUMMYFUNCTION("SPLIT(B188,""-"")"),"Napa Noodles Napa      ")</f>
        <v>Napa Noodles Napa      </v>
      </c>
    </row>
    <row r="189">
      <c r="A189" s="1">
        <v>186.0</v>
      </c>
      <c r="B189" s="3" t="s">
        <v>1391</v>
      </c>
      <c r="C189" s="1">
        <v>3.5</v>
      </c>
      <c r="D189" s="1" t="s">
        <v>394</v>
      </c>
      <c r="E189" s="3" t="s">
        <v>395</v>
      </c>
      <c r="F189" s="1" t="s">
        <v>1392</v>
      </c>
      <c r="G189" t="str">
        <f t="shared" si="1"/>
        <v>Crave Cafe And Catering American Canyon           </v>
      </c>
      <c r="H189" s="1" t="str">
        <f>IFERROR(__xludf.DUMMYFUNCTION("SPLIT(B189,""-"")"),"Crave Cafe And Catering American Canyon   ")</f>
        <v>Crave Cafe And Catering American Canyon   </v>
      </c>
    </row>
    <row r="190">
      <c r="A190" s="1">
        <v>187.0</v>
      </c>
      <c r="B190" s="3" t="s">
        <v>1393</v>
      </c>
      <c r="C190" s="1">
        <v>2.5</v>
      </c>
      <c r="D190" s="1" t="s">
        <v>397</v>
      </c>
      <c r="E190" s="3" t="s">
        <v>395</v>
      </c>
      <c r="F190" s="1" t="s">
        <v>1394</v>
      </c>
      <c r="G190" t="str">
        <f t="shared" si="1"/>
        <v>Quickly American Canyon 3             </v>
      </c>
      <c r="H190" s="1" t="str">
        <f>IFERROR(__xludf.DUMMYFUNCTION("SPLIT(B190,""-"")"),"Quickly American Canyon 3     ")</f>
        <v>Quickly American Canyon 3     </v>
      </c>
    </row>
    <row r="191">
      <c r="A191" s="1">
        <v>188.0</v>
      </c>
      <c r="B191" s="3" t="s">
        <v>1395</v>
      </c>
      <c r="C191" s="1">
        <v>3.5</v>
      </c>
      <c r="D191" s="1" t="s">
        <v>399</v>
      </c>
      <c r="E191" s="3" t="s">
        <v>400</v>
      </c>
      <c r="F191" s="1" t="s">
        <v>1396</v>
      </c>
      <c r="G191" t="str">
        <f t="shared" si="1"/>
        <v>Top That Frozen Yogurt Sonoma            </v>
      </c>
      <c r="H191" s="1" t="str">
        <f>IFERROR(__xludf.DUMMYFUNCTION("SPLIT(B191,""-"")"),"Top That Frozen Yogurt Sonoma    ")</f>
        <v>Top That Frozen Yogurt Sonoma    </v>
      </c>
    </row>
    <row r="192">
      <c r="A192" s="1">
        <v>189.0</v>
      </c>
      <c r="B192" s="3" t="s">
        <v>1397</v>
      </c>
      <c r="C192" s="1">
        <v>2.5</v>
      </c>
      <c r="D192" s="1" t="s">
        <v>402</v>
      </c>
      <c r="E192" s="3" t="s">
        <v>395</v>
      </c>
      <c r="F192" s="1" t="s">
        <v>1398</v>
      </c>
      <c r="G192" t="str">
        <f t="shared" si="1"/>
        <v>Over The Top Shop Frozen Yogurt American Canyon         </v>
      </c>
      <c r="H192" s="1" t="str">
        <f>IFERROR(__xludf.DUMMYFUNCTION("SPLIT(B192,""-"")"),"Over The Top Shop Frozen Yogurt American Canyon ")</f>
        <v>Over The Top Shop Frozen Yogurt American Canyon </v>
      </c>
    </row>
    <row r="193">
      <c r="A193" s="1">
        <v>190.0</v>
      </c>
      <c r="B193" s="3" t="s">
        <v>1399</v>
      </c>
      <c r="C193" s="1">
        <v>4.0</v>
      </c>
      <c r="D193" s="1" t="s">
        <v>404</v>
      </c>
      <c r="E193" s="3" t="s">
        <v>405</v>
      </c>
      <c r="F193" s="1" t="s">
        <v>1400</v>
      </c>
      <c r="G193" t="str">
        <f t="shared" si="1"/>
        <v>Sushi Grill Vallejo              </v>
      </c>
      <c r="H193" s="1" t="str">
        <f>IFERROR(__xludf.DUMMYFUNCTION("SPLIT(B193,""-"")"),"Sushi Grill Vallejo      ")</f>
        <v>Sushi Grill Vallejo      </v>
      </c>
    </row>
    <row r="194">
      <c r="A194" s="1">
        <v>191.0</v>
      </c>
      <c r="B194" s="3" t="s">
        <v>1401</v>
      </c>
      <c r="C194" s="1">
        <v>4.5</v>
      </c>
      <c r="D194" s="1" t="s">
        <v>407</v>
      </c>
      <c r="E194" s="3" t="s">
        <v>408</v>
      </c>
      <c r="F194" s="1" t="s">
        <v>1402</v>
      </c>
      <c r="G194" t="str">
        <f t="shared" si="1"/>
        <v>Palm Thai Bistro Fairfield             </v>
      </c>
      <c r="H194" s="1" t="str">
        <f>IFERROR(__xludf.DUMMYFUNCTION("SPLIT(B194,""-"")"),"Palm Thai Bistro Fairfield     ")</f>
        <v>Palm Thai Bistro Fairfield     </v>
      </c>
    </row>
    <row r="195">
      <c r="A195" s="1">
        <v>192.0</v>
      </c>
      <c r="B195" s="3" t="s">
        <v>1403</v>
      </c>
      <c r="C195" s="1">
        <v>3.5</v>
      </c>
      <c r="D195" s="1" t="s">
        <v>410</v>
      </c>
      <c r="E195" s="3" t="s">
        <v>408</v>
      </c>
      <c r="F195" s="1" t="s">
        <v>1404</v>
      </c>
      <c r="G195" t="str">
        <f t="shared" si="1"/>
        <v>Green Bamboo Restaurant Fairfield             </v>
      </c>
      <c r="H195" s="1" t="str">
        <f>IFERROR(__xludf.DUMMYFUNCTION("SPLIT(B195,""-"")"),"Green Bamboo Restaurant Fairfield     ")</f>
        <v>Green Bamboo Restaurant Fairfield     </v>
      </c>
    </row>
    <row r="196">
      <c r="A196" s="1">
        <v>193.0</v>
      </c>
      <c r="B196" s="3" t="s">
        <v>1405</v>
      </c>
      <c r="C196" s="1">
        <v>3.5</v>
      </c>
      <c r="D196" s="1" t="s">
        <v>412</v>
      </c>
      <c r="E196" s="3" t="s">
        <v>395</v>
      </c>
      <c r="F196" s="1" t="s">
        <v>1406</v>
      </c>
      <c r="G196" t="str">
        <f t="shared" si="1"/>
        <v>Thai Kitchen American Canyon             </v>
      </c>
      <c r="H196" s="1" t="str">
        <f>IFERROR(__xludf.DUMMYFUNCTION("SPLIT(B196,""-"")"),"Thai Kitchen American Canyon     ")</f>
        <v>Thai Kitchen American Canyon     </v>
      </c>
    </row>
    <row r="197">
      <c r="A197" s="1">
        <v>194.0</v>
      </c>
      <c r="B197" s="3" t="s">
        <v>1407</v>
      </c>
      <c r="C197" s="1">
        <v>3.5</v>
      </c>
      <c r="E197" s="3" t="s">
        <v>414</v>
      </c>
      <c r="F197" s="1" t="s">
        <v>1408</v>
      </c>
      <c r="G197" t="str">
        <f t="shared" si="1"/>
        <v>Sactomofo Sacramento 6              </v>
      </c>
      <c r="H197" s="1" t="str">
        <f>IFERROR(__xludf.DUMMYFUNCTION("SPLIT(B197,""-"")"),"Sactomofo Sacramento 6      ")</f>
        <v>Sactomofo Sacramento 6      </v>
      </c>
    </row>
    <row r="198">
      <c r="A198" s="1">
        <v>195.0</v>
      </c>
      <c r="B198" s="3" t="s">
        <v>1409</v>
      </c>
      <c r="C198" s="1">
        <v>4.0</v>
      </c>
      <c r="D198" s="1" t="s">
        <v>416</v>
      </c>
      <c r="E198" s="3" t="s">
        <v>417</v>
      </c>
      <c r="F198" s="1" t="s">
        <v>1410</v>
      </c>
      <c r="G198" t="str">
        <f t="shared" si="1"/>
        <v>Westea Pleasanton               </v>
      </c>
      <c r="H198" s="1" t="str">
        <f>IFERROR(__xludf.DUMMYFUNCTION("SPLIT(B198,""-"")"),"Westea Pleasanton       ")</f>
        <v>Westea Pleasanton       </v>
      </c>
    </row>
    <row r="199">
      <c r="A199" s="1">
        <v>196.0</v>
      </c>
      <c r="B199" s="3" t="s">
        <v>1411</v>
      </c>
      <c r="C199" s="1">
        <v>4.5</v>
      </c>
      <c r="D199" s="1" t="s">
        <v>419</v>
      </c>
      <c r="E199" s="3" t="s">
        <v>417</v>
      </c>
      <c r="F199" s="1" t="s">
        <v>1412</v>
      </c>
      <c r="G199" t="str">
        <f t="shared" si="1"/>
        <v>Baotea Cafe Pleasanton 2             </v>
      </c>
      <c r="H199" s="1" t="str">
        <f>IFERROR(__xludf.DUMMYFUNCTION("SPLIT(B199,""-"")"),"Baotea Cafe Pleasanton 2     ")</f>
        <v>Baotea Cafe Pleasanton 2     </v>
      </c>
    </row>
    <row r="200">
      <c r="A200" s="1">
        <v>197.0</v>
      </c>
      <c r="B200" s="3" t="s">
        <v>1413</v>
      </c>
      <c r="C200" s="1">
        <v>4.0</v>
      </c>
      <c r="D200" s="1" t="s">
        <v>421</v>
      </c>
      <c r="E200" s="3" t="s">
        <v>422</v>
      </c>
      <c r="F200" s="1" t="s">
        <v>1414</v>
      </c>
      <c r="G200" t="str">
        <f t="shared" si="1"/>
        <v>I Tea Dublin Dublin             </v>
      </c>
      <c r="H200" s="1" t="str">
        <f>IFERROR(__xludf.DUMMYFUNCTION("SPLIT(B200,""-"")"),"I Tea Dublin Dublin     ")</f>
        <v>I Tea Dublin Dublin     </v>
      </c>
    </row>
    <row r="201">
      <c r="A201" s="1">
        <v>198.0</v>
      </c>
      <c r="B201" s="3" t="s">
        <v>1415</v>
      </c>
      <c r="C201" s="1">
        <v>3.5</v>
      </c>
      <c r="D201" s="1" t="s">
        <v>424</v>
      </c>
      <c r="E201" s="3" t="s">
        <v>417</v>
      </c>
      <c r="F201" s="1" t="s">
        <v>1416</v>
      </c>
      <c r="G201" t="str">
        <f t="shared" si="1"/>
        <v>Aroma Tapioca Tea And Coffee Pleasanton           </v>
      </c>
      <c r="H201" s="1" t="str">
        <f>IFERROR(__xludf.DUMMYFUNCTION("SPLIT(B201,""-"")"),"Aroma Tapioca Tea And Coffee Pleasanton   ")</f>
        <v>Aroma Tapioca Tea And Coffee Pleasanton   </v>
      </c>
    </row>
    <row r="202">
      <c r="A202" s="1">
        <v>199.0</v>
      </c>
      <c r="B202" s="3" t="s">
        <v>1417</v>
      </c>
      <c r="C202" s="1">
        <v>4.0</v>
      </c>
      <c r="D202" s="1" t="s">
        <v>426</v>
      </c>
      <c r="E202" s="3" t="s">
        <v>417</v>
      </c>
      <c r="F202" s="1" t="s">
        <v>1418</v>
      </c>
      <c r="G202" t="str">
        <f t="shared" si="1"/>
        <v>I Tea Pleasanton              </v>
      </c>
      <c r="H202" s="1" t="str">
        <f>IFERROR(__xludf.DUMMYFUNCTION("SPLIT(B202,""-"")"),"I Tea Pleasanton      ")</f>
        <v>I Tea Pleasanton      </v>
      </c>
    </row>
    <row r="203">
      <c r="A203" s="1">
        <v>200.0</v>
      </c>
      <c r="B203" s="3" t="s">
        <v>1419</v>
      </c>
      <c r="C203" s="1">
        <v>3.5</v>
      </c>
      <c r="D203" s="1" t="s">
        <v>428</v>
      </c>
      <c r="E203" s="3" t="s">
        <v>422</v>
      </c>
      <c r="F203" s="1" t="s">
        <v>1420</v>
      </c>
      <c r="G203" t="str">
        <f t="shared" si="1"/>
        <v>T4 Dublin               </v>
      </c>
      <c r="H203" s="1" t="str">
        <f>IFERROR(__xludf.DUMMYFUNCTION("SPLIT(B203,""-"")"),"T4 Dublin       ")</f>
        <v>T4 Dublin       </v>
      </c>
    </row>
    <row r="204">
      <c r="A204" s="1">
        <v>201.0</v>
      </c>
      <c r="B204" s="3" t="s">
        <v>1421</v>
      </c>
      <c r="C204" s="1">
        <v>4.0</v>
      </c>
      <c r="D204" s="1" t="s">
        <v>430</v>
      </c>
      <c r="E204" s="3" t="s">
        <v>422</v>
      </c>
      <c r="F204" s="1" t="s">
        <v>1422</v>
      </c>
      <c r="G204" t="str">
        <f t="shared" si="1"/>
        <v>Tea Factory Dublin 2             </v>
      </c>
      <c r="H204" s="1" t="str">
        <f>IFERROR(__xludf.DUMMYFUNCTION("SPLIT(B204,""-"")"),"Tea Factory Dublin 2     ")</f>
        <v>Tea Factory Dublin 2     </v>
      </c>
    </row>
    <row r="205">
      <c r="A205" s="1">
        <v>202.0</v>
      </c>
      <c r="B205" s="3" t="s">
        <v>1423</v>
      </c>
      <c r="C205" s="1">
        <v>4.0</v>
      </c>
      <c r="D205" s="1" t="s">
        <v>432</v>
      </c>
      <c r="E205" s="3" t="s">
        <v>417</v>
      </c>
      <c r="F205" s="1" t="s">
        <v>1424</v>
      </c>
      <c r="G205" t="str">
        <f t="shared" si="1"/>
        <v>Icicles Pleasanton               </v>
      </c>
      <c r="H205" s="1" t="str">
        <f>IFERROR(__xludf.DUMMYFUNCTION("SPLIT(B205,""-"")"),"Icicles Pleasanton       ")</f>
        <v>Icicles Pleasanton       </v>
      </c>
    </row>
    <row r="206">
      <c r="A206" s="1">
        <v>203.0</v>
      </c>
      <c r="B206" s="3" t="s">
        <v>1425</v>
      </c>
      <c r="C206" s="1">
        <v>4.0</v>
      </c>
      <c r="D206" s="1" t="s">
        <v>434</v>
      </c>
      <c r="E206" s="3" t="s">
        <v>422</v>
      </c>
      <c r="F206" s="1" t="s">
        <v>1426</v>
      </c>
      <c r="G206" t="str">
        <f t="shared" si="1"/>
        <v>Sharetea Dublin 3              </v>
      </c>
      <c r="H206" s="1" t="str">
        <f>IFERROR(__xludf.DUMMYFUNCTION("SPLIT(B206,""-"")"),"Sharetea Dublin 3      ")</f>
        <v>Sharetea Dublin 3      </v>
      </c>
    </row>
    <row r="207">
      <c r="A207" s="1">
        <v>204.0</v>
      </c>
      <c r="B207" s="3" t="s">
        <v>1427</v>
      </c>
      <c r="C207" s="1">
        <v>3.5</v>
      </c>
      <c r="D207" s="1" t="s">
        <v>436</v>
      </c>
      <c r="E207" s="3" t="s">
        <v>422</v>
      </c>
      <c r="F207" s="1" t="s">
        <v>1428</v>
      </c>
      <c r="G207" t="str">
        <f t="shared" si="1"/>
        <v>Cafe Tapioca Dublin              </v>
      </c>
      <c r="H207" s="1" t="str">
        <f>IFERROR(__xludf.DUMMYFUNCTION("SPLIT(B207,""-"")"),"Cafe Tapioca Dublin      ")</f>
        <v>Cafe Tapioca Dublin      </v>
      </c>
    </row>
    <row r="208">
      <c r="A208" s="1">
        <v>205.0</v>
      </c>
      <c r="B208" s="3" t="s">
        <v>1429</v>
      </c>
      <c r="C208" s="1">
        <v>3.5</v>
      </c>
      <c r="D208" s="1" t="s">
        <v>438</v>
      </c>
      <c r="E208" s="3" t="s">
        <v>417</v>
      </c>
      <c r="F208" s="1" t="s">
        <v>1430</v>
      </c>
      <c r="G208" t="str">
        <f t="shared" si="1"/>
        <v>Quickly Pleasanton               </v>
      </c>
      <c r="H208" s="1" t="str">
        <f>IFERROR(__xludf.DUMMYFUNCTION("SPLIT(B208,""-"")"),"Quickly Pleasanton       ")</f>
        <v>Quickly Pleasanton       </v>
      </c>
    </row>
    <row r="209">
      <c r="A209" s="1">
        <v>206.0</v>
      </c>
      <c r="B209" s="3" t="s">
        <v>1431</v>
      </c>
      <c r="C209" s="1">
        <v>2.5</v>
      </c>
      <c r="D209" s="1" t="s">
        <v>440</v>
      </c>
      <c r="E209" s="3" t="s">
        <v>417</v>
      </c>
      <c r="F209" s="1" t="s">
        <v>1432</v>
      </c>
      <c r="G209" t="str">
        <f t="shared" si="1"/>
        <v>Letea Pleasanton 2              </v>
      </c>
      <c r="H209" s="1" t="str">
        <f>IFERROR(__xludf.DUMMYFUNCTION("SPLIT(B209,""-"")"),"Letea Pleasanton 2      ")</f>
        <v>Letea Pleasanton 2      </v>
      </c>
    </row>
    <row r="210">
      <c r="A210" s="1">
        <v>207.0</v>
      </c>
      <c r="B210" s="3" t="s">
        <v>1433</v>
      </c>
      <c r="C210" s="1">
        <v>3.0</v>
      </c>
      <c r="D210" s="1" t="s">
        <v>442</v>
      </c>
      <c r="E210" s="3" t="s">
        <v>417</v>
      </c>
      <c r="F210" s="1" t="s">
        <v>1434</v>
      </c>
      <c r="G210" t="str">
        <f t="shared" si="1"/>
        <v>Tea Breeze Pleasanton              </v>
      </c>
      <c r="H210" s="1" t="str">
        <f>IFERROR(__xludf.DUMMYFUNCTION("SPLIT(B210,""-"")"),"Tea Breeze Pleasanton      ")</f>
        <v>Tea Breeze Pleasanton      </v>
      </c>
    </row>
    <row r="211">
      <c r="A211" s="1">
        <v>208.0</v>
      </c>
      <c r="B211" s="3" t="s">
        <v>1435</v>
      </c>
      <c r="C211" s="1">
        <v>4.0</v>
      </c>
      <c r="D211" s="1" t="s">
        <v>444</v>
      </c>
      <c r="E211" s="3" t="s">
        <v>417</v>
      </c>
      <c r="F211" s="1" t="s">
        <v>1436</v>
      </c>
      <c r="G211" t="str">
        <f t="shared" si="1"/>
        <v>360 Crepes Pleasanton 3             </v>
      </c>
      <c r="H211" s="1" t="str">
        <f>IFERROR(__xludf.DUMMYFUNCTION("SPLIT(B211,""-"")"),"360 Crepes Pleasanton 3     ")</f>
        <v>360 Crepes Pleasanton 3     </v>
      </c>
    </row>
    <row r="212">
      <c r="A212" s="1">
        <v>209.0</v>
      </c>
      <c r="B212" s="3" t="s">
        <v>1437</v>
      </c>
      <c r="C212" s="1">
        <v>3.5</v>
      </c>
      <c r="D212" s="1" t="s">
        <v>446</v>
      </c>
      <c r="E212" s="3" t="s">
        <v>447</v>
      </c>
      <c r="F212" s="1" t="s">
        <v>1438</v>
      </c>
      <c r="G212" t="str">
        <f t="shared" si="1"/>
        <v>T4 San Ramon 2             </v>
      </c>
      <c r="H212" s="1" t="str">
        <f>IFERROR(__xludf.DUMMYFUNCTION("SPLIT(B212,""-"")"),"T4 San Ramon 2     ")</f>
        <v>T4 San Ramon 2     </v>
      </c>
    </row>
    <row r="213">
      <c r="A213" s="1">
        <v>210.0</v>
      </c>
      <c r="B213" s="3" t="s">
        <v>1439</v>
      </c>
      <c r="C213" s="1">
        <v>4.0</v>
      </c>
      <c r="D213" s="1" t="s">
        <v>449</v>
      </c>
      <c r="E213" s="3" t="s">
        <v>447</v>
      </c>
      <c r="F213" s="1" t="s">
        <v>1440</v>
      </c>
      <c r="G213" t="str">
        <f t="shared" si="1"/>
        <v>I Tea San Ramon 3            </v>
      </c>
      <c r="H213" s="1" t="str">
        <f>IFERROR(__xludf.DUMMYFUNCTION("SPLIT(B213,""-"")"),"I Tea San Ramon 3    ")</f>
        <v>I Tea San Ramon 3    </v>
      </c>
    </row>
    <row r="214">
      <c r="A214" s="1">
        <v>211.0</v>
      </c>
      <c r="B214" s="3" t="s">
        <v>1441</v>
      </c>
      <c r="C214" s="1">
        <v>3.5</v>
      </c>
      <c r="D214" s="1" t="s">
        <v>451</v>
      </c>
      <c r="E214" s="3" t="s">
        <v>422</v>
      </c>
      <c r="F214" s="1" t="s">
        <v>1442</v>
      </c>
      <c r="G214" t="str">
        <f t="shared" si="1"/>
        <v>Snowflake Dublin               </v>
      </c>
      <c r="H214" s="1" t="str">
        <f>IFERROR(__xludf.DUMMYFUNCTION("SPLIT(B214,""-"")"),"Snowflake Dublin       ")</f>
        <v>Snowflake Dublin       </v>
      </c>
    </row>
    <row r="215">
      <c r="A215" s="1">
        <v>212.0</v>
      </c>
      <c r="B215" s="3" t="s">
        <v>1443</v>
      </c>
      <c r="C215" s="1">
        <v>2.5</v>
      </c>
      <c r="D215" s="1" t="s">
        <v>451</v>
      </c>
      <c r="E215" s="3" t="s">
        <v>422</v>
      </c>
      <c r="F215" s="1" t="s">
        <v>1444</v>
      </c>
      <c r="G215" t="str">
        <f t="shared" si="1"/>
        <v>Quickly Dublin               </v>
      </c>
      <c r="H215" s="1" t="str">
        <f>IFERROR(__xludf.DUMMYFUNCTION("SPLIT(B215,""-"")"),"Quickly Dublin       ")</f>
        <v>Quickly Dublin       </v>
      </c>
    </row>
    <row r="216">
      <c r="A216" s="1">
        <v>213.0</v>
      </c>
      <c r="B216" s="3" t="s">
        <v>1445</v>
      </c>
      <c r="C216" s="1">
        <v>4.0</v>
      </c>
      <c r="D216" s="1" t="s">
        <v>454</v>
      </c>
      <c r="E216" s="3" t="s">
        <v>417</v>
      </c>
      <c r="F216" s="1" t="s">
        <v>1446</v>
      </c>
      <c r="G216" t="str">
        <f t="shared" si="1"/>
        <v>Cafe Taiwan Pleasanton 9             </v>
      </c>
      <c r="H216" s="1" t="str">
        <f>IFERROR(__xludf.DUMMYFUNCTION("SPLIT(B216,""-"")"),"Cafe Taiwan Pleasanton 9     ")</f>
        <v>Cafe Taiwan Pleasanton 9     </v>
      </c>
    </row>
    <row r="217">
      <c r="A217" s="1">
        <v>214.0</v>
      </c>
      <c r="B217" s="3" t="s">
        <v>1447</v>
      </c>
      <c r="C217" s="1">
        <v>4.0</v>
      </c>
      <c r="D217" s="1" t="s">
        <v>456</v>
      </c>
      <c r="E217" s="3" t="s">
        <v>417</v>
      </c>
      <c r="F217" s="1" t="s">
        <v>1448</v>
      </c>
      <c r="G217" t="str">
        <f t="shared" si="1"/>
        <v>Cafe Junction Pleasanton 3             </v>
      </c>
      <c r="H217" s="1" t="str">
        <f>IFERROR(__xludf.DUMMYFUNCTION("SPLIT(B217,""-"")"),"Cafe Junction Pleasanton 3     ")</f>
        <v>Cafe Junction Pleasanton 3     </v>
      </c>
    </row>
    <row r="218">
      <c r="A218" s="1">
        <v>215.0</v>
      </c>
      <c r="B218" s="3" t="s">
        <v>1449</v>
      </c>
      <c r="C218" s="1">
        <v>4.0</v>
      </c>
      <c r="D218" s="1" t="s">
        <v>458</v>
      </c>
      <c r="E218" s="3" t="s">
        <v>422</v>
      </c>
      <c r="F218" s="1" t="s">
        <v>1450</v>
      </c>
      <c r="G218" t="str">
        <f t="shared" si="1"/>
        <v>O Honey Dublin              </v>
      </c>
      <c r="H218" s="1" t="str">
        <f>IFERROR(__xludf.DUMMYFUNCTION("SPLIT(B218,""-"")"),"O Honey Dublin      ")</f>
        <v>O Honey Dublin      </v>
      </c>
    </row>
    <row r="219">
      <c r="A219" s="1">
        <v>216.0</v>
      </c>
      <c r="B219" s="3" t="s">
        <v>1451</v>
      </c>
      <c r="C219" s="1">
        <v>4.0</v>
      </c>
      <c r="D219" s="1" t="s">
        <v>460</v>
      </c>
      <c r="E219" s="3" t="s">
        <v>422</v>
      </c>
      <c r="F219" s="1" t="s">
        <v>1452</v>
      </c>
      <c r="G219" t="str">
        <f t="shared" si="1"/>
        <v>The Mix Creamery Dublin 2            </v>
      </c>
      <c r="H219" s="1" t="str">
        <f>IFERROR(__xludf.DUMMYFUNCTION("SPLIT(B219,""-"")"),"The Mix Creamery Dublin 2    ")</f>
        <v>The Mix Creamery Dublin 2    </v>
      </c>
    </row>
    <row r="220">
      <c r="A220" s="1">
        <v>217.0</v>
      </c>
      <c r="B220" s="3" t="s">
        <v>1453</v>
      </c>
      <c r="C220" s="1">
        <v>4.0</v>
      </c>
      <c r="D220" s="1" t="s">
        <v>451</v>
      </c>
      <c r="E220" s="3" t="s">
        <v>422</v>
      </c>
      <c r="F220" s="1" t="s">
        <v>1454</v>
      </c>
      <c r="G220" t="str">
        <f t="shared" si="1"/>
        <v>Tasty Pot Dublin              </v>
      </c>
      <c r="H220" s="1" t="str">
        <f>IFERROR(__xludf.DUMMYFUNCTION("SPLIT(B220,""-"")"),"Tasty Pot Dublin      ")</f>
        <v>Tasty Pot Dublin      </v>
      </c>
    </row>
    <row r="221">
      <c r="A221" s="1">
        <v>218.0</v>
      </c>
      <c r="B221" s="3" t="s">
        <v>1455</v>
      </c>
      <c r="C221" s="1">
        <v>5.0</v>
      </c>
      <c r="D221" s="1" t="s">
        <v>463</v>
      </c>
      <c r="E221" s="3" t="s">
        <v>417</v>
      </c>
      <c r="F221" s="1" t="s">
        <v>1456</v>
      </c>
      <c r="G221" t="str">
        <f t="shared" si="1"/>
        <v>Ohana Hawaiian Bbq Of Pleasanton Pleasanton           </v>
      </c>
      <c r="H221" s="1" t="str">
        <f>IFERROR(__xludf.DUMMYFUNCTION("SPLIT(B221,""-"")"),"Ohana Hawaiian Bbq Of Pleasanton Pleasanton   ")</f>
        <v>Ohana Hawaiian Bbq Of Pleasanton Pleasanton   </v>
      </c>
    </row>
    <row r="222">
      <c r="A222" s="1">
        <v>219.0</v>
      </c>
      <c r="B222" s="3" t="s">
        <v>1457</v>
      </c>
      <c r="C222" s="1">
        <v>3.5</v>
      </c>
      <c r="D222" s="1" t="s">
        <v>440</v>
      </c>
      <c r="E222" s="3" t="s">
        <v>417</v>
      </c>
      <c r="F222" s="1" t="s">
        <v>1432</v>
      </c>
      <c r="G222" t="str">
        <f t="shared" si="1"/>
        <v>99 Ranch Market Pleasanton             </v>
      </c>
      <c r="H222" s="1" t="str">
        <f>IFERROR(__xludf.DUMMYFUNCTION("SPLIT(B222,""-"")"),"99 Ranch Market Pleasanton     ")</f>
        <v>99 Ranch Market Pleasanton     </v>
      </c>
    </row>
    <row r="223">
      <c r="A223" s="1">
        <v>220.0</v>
      </c>
      <c r="B223" s="3" t="s">
        <v>1458</v>
      </c>
      <c r="C223" s="1">
        <v>4.0</v>
      </c>
      <c r="D223" s="1" t="s">
        <v>466</v>
      </c>
      <c r="E223" s="3" t="s">
        <v>422</v>
      </c>
      <c r="F223" s="1" t="s">
        <v>1459</v>
      </c>
      <c r="G223" t="str">
        <f t="shared" si="1"/>
        <v>Menchies Frozen Yogurt Dublin             </v>
      </c>
      <c r="H223" s="1" t="str">
        <f>IFERROR(__xludf.DUMMYFUNCTION("SPLIT(B223,""-"")"),"Menchies Frozen Yogurt Dublin     ")</f>
        <v>Menchies Frozen Yogurt Dublin     </v>
      </c>
    </row>
    <row r="224">
      <c r="A224" s="1">
        <v>221.0</v>
      </c>
      <c r="B224" s="3" t="s">
        <v>1460</v>
      </c>
      <c r="C224" s="1">
        <v>4.0</v>
      </c>
      <c r="D224" s="1" t="s">
        <v>468</v>
      </c>
      <c r="E224" s="3" t="s">
        <v>422</v>
      </c>
      <c r="F224" s="1" t="s">
        <v>1461</v>
      </c>
      <c r="G224" t="str">
        <f t="shared" si="1"/>
        <v>Blossom Bee Dublin              </v>
      </c>
      <c r="H224" s="1" t="str">
        <f>IFERROR(__xludf.DUMMYFUNCTION("SPLIT(B224,""-"")"),"Blossom Bee Dublin      ")</f>
        <v>Blossom Bee Dublin      </v>
      </c>
    </row>
    <row r="225">
      <c r="A225" s="1">
        <v>222.0</v>
      </c>
      <c r="B225" s="3" t="s">
        <v>1462</v>
      </c>
      <c r="C225" s="1">
        <v>3.0</v>
      </c>
      <c r="D225" s="1" t="s">
        <v>470</v>
      </c>
      <c r="E225" s="3" t="s">
        <v>417</v>
      </c>
      <c r="F225" s="1" t="s">
        <v>1463</v>
      </c>
      <c r="G225" t="str">
        <f t="shared" si="1"/>
        <v>Berry Delight Pleasanton              </v>
      </c>
      <c r="H225" s="1" t="str">
        <f>IFERROR(__xludf.DUMMYFUNCTION("SPLIT(B225,""-"")"),"Berry Delight Pleasanton      ")</f>
        <v>Berry Delight Pleasanton      </v>
      </c>
    </row>
    <row r="226">
      <c r="A226" s="1">
        <v>223.0</v>
      </c>
      <c r="B226" s="3" t="s">
        <v>1464</v>
      </c>
      <c r="C226" s="1">
        <v>4.5</v>
      </c>
      <c r="D226" s="1" t="s">
        <v>472</v>
      </c>
      <c r="E226" s="3" t="s">
        <v>417</v>
      </c>
      <c r="F226" s="1" t="s">
        <v>1465</v>
      </c>
      <c r="G226" t="str">
        <f t="shared" si="1"/>
        <v>New Thai Bistro Pleasanton 2            </v>
      </c>
      <c r="H226" s="1" t="str">
        <f>IFERROR(__xludf.DUMMYFUNCTION("SPLIT(B226,""-"")"),"New Thai Bistro Pleasanton 2    ")</f>
        <v>New Thai Bistro Pleasanton 2    </v>
      </c>
    </row>
    <row r="227">
      <c r="A227" s="1">
        <v>224.0</v>
      </c>
      <c r="B227" s="3" t="s">
        <v>1466</v>
      </c>
      <c r="C227" s="1">
        <v>3.0</v>
      </c>
      <c r="D227" s="1" t="s">
        <v>474</v>
      </c>
      <c r="E227" s="3" t="s">
        <v>422</v>
      </c>
      <c r="F227" s="1" t="s">
        <v>1467</v>
      </c>
      <c r="G227" t="str">
        <f t="shared" si="1"/>
        <v>Tutti Frutti Frozen Yogurt Dublin            </v>
      </c>
      <c r="H227" s="1" t="str">
        <f>IFERROR(__xludf.DUMMYFUNCTION("SPLIT(B227,""-"")"),"Tutti Frutti Frozen Yogurt Dublin    ")</f>
        <v>Tutti Frutti Frozen Yogurt Dublin    </v>
      </c>
    </row>
    <row r="228">
      <c r="A228" s="1">
        <v>225.0</v>
      </c>
      <c r="B228" s="3" t="s">
        <v>1468</v>
      </c>
      <c r="C228" s="1">
        <v>4.0</v>
      </c>
      <c r="D228" s="1" t="s">
        <v>451</v>
      </c>
      <c r="E228" s="3" t="s">
        <v>422</v>
      </c>
      <c r="F228" s="1" t="s">
        <v>1469</v>
      </c>
      <c r="G228" t="str">
        <f t="shared" si="1"/>
        <v>Kee Wah Bakery Dublin             </v>
      </c>
      <c r="H228" s="1" t="str">
        <f>IFERROR(__xludf.DUMMYFUNCTION("SPLIT(B228,""-"")"),"Kee Wah Bakery Dublin     ")</f>
        <v>Kee Wah Bakery Dublin     </v>
      </c>
    </row>
    <row r="229">
      <c r="A229" s="1">
        <v>226.0</v>
      </c>
      <c r="B229" s="3" t="s">
        <v>1470</v>
      </c>
      <c r="C229" s="1">
        <v>4.0</v>
      </c>
      <c r="D229" s="1" t="s">
        <v>477</v>
      </c>
      <c r="E229" s="3" t="s">
        <v>422</v>
      </c>
      <c r="F229" s="1" t="s">
        <v>1471</v>
      </c>
      <c r="G229" t="str">
        <f t="shared" si="1"/>
        <v>Blush Organic Frozen Yogurt Dublin            </v>
      </c>
      <c r="H229" s="1" t="str">
        <f>IFERROR(__xludf.DUMMYFUNCTION("SPLIT(B229,""-"")"),"Blush Organic Frozen Yogurt Dublin    ")</f>
        <v>Blush Organic Frozen Yogurt Dublin    </v>
      </c>
    </row>
    <row r="230">
      <c r="A230" s="1">
        <v>227.0</v>
      </c>
      <c r="B230" s="3" t="s">
        <v>1472</v>
      </c>
      <c r="C230" s="1">
        <v>3.5</v>
      </c>
      <c r="D230" s="1" t="s">
        <v>479</v>
      </c>
      <c r="E230" s="3" t="s">
        <v>422</v>
      </c>
      <c r="F230" s="1" t="s">
        <v>1473</v>
      </c>
      <c r="G230" t="str">
        <f t="shared" si="1"/>
        <v>Koi Palace Dublin              </v>
      </c>
      <c r="H230" s="1" t="str">
        <f>IFERROR(__xludf.DUMMYFUNCTION("SPLIT(B230,""-"")"),"Koi Palace Dublin      ")</f>
        <v>Koi Palace Dublin      </v>
      </c>
    </row>
    <row r="231">
      <c r="A231" s="1">
        <v>228.0</v>
      </c>
      <c r="B231" s="3" t="s">
        <v>1474</v>
      </c>
      <c r="C231" s="1">
        <v>2.5</v>
      </c>
      <c r="D231" s="1" t="s">
        <v>481</v>
      </c>
      <c r="E231" s="3" t="s">
        <v>482</v>
      </c>
      <c r="F231" s="1" t="s">
        <v>1475</v>
      </c>
      <c r="G231" t="str">
        <f t="shared" si="1"/>
        <v>Berry And Berry Yogurt Livermore            </v>
      </c>
      <c r="H231" s="1" t="str">
        <f>IFERROR(__xludf.DUMMYFUNCTION("SPLIT(B231,""-"")"),"Berry And Berry Yogurt Livermore    ")</f>
        <v>Berry And Berry Yogurt Livermore    </v>
      </c>
    </row>
    <row r="232">
      <c r="A232" s="1">
        <v>229.0</v>
      </c>
      <c r="B232" s="3" t="s">
        <v>1476</v>
      </c>
      <c r="C232" s="1">
        <v>3.0</v>
      </c>
      <c r="D232" s="1" t="s">
        <v>442</v>
      </c>
      <c r="E232" s="3" t="s">
        <v>417</v>
      </c>
      <c r="F232" s="1" t="s">
        <v>1477</v>
      </c>
      <c r="G232" t="str">
        <f t="shared" si="1"/>
        <v>Pho Saigon City Pleasanton             </v>
      </c>
      <c r="H232" s="1" t="str">
        <f>IFERROR(__xludf.DUMMYFUNCTION("SPLIT(B232,""-"")"),"Pho Saigon City Pleasanton     ")</f>
        <v>Pho Saigon City Pleasanton     </v>
      </c>
    </row>
    <row r="233">
      <c r="A233" s="1">
        <v>230.0</v>
      </c>
      <c r="B233" s="3" t="s">
        <v>1478</v>
      </c>
      <c r="C233" s="1">
        <v>4.0</v>
      </c>
      <c r="D233" s="1" t="s">
        <v>485</v>
      </c>
      <c r="E233" s="3" t="s">
        <v>422</v>
      </c>
      <c r="F233" s="1" t="s">
        <v>1479</v>
      </c>
      <c r="G233" t="str">
        <f t="shared" si="1"/>
        <v>Yogurtland Dublin               </v>
      </c>
      <c r="H233" s="1" t="str">
        <f>IFERROR(__xludf.DUMMYFUNCTION("SPLIT(B233,""-"")"),"Yogurtland Dublin       ")</f>
        <v>Yogurtland Dublin       </v>
      </c>
    </row>
    <row r="234">
      <c r="A234" s="1">
        <v>231.0</v>
      </c>
      <c r="B234" s="3" t="s">
        <v>1480</v>
      </c>
      <c r="C234" s="1">
        <v>3.5</v>
      </c>
      <c r="D234" s="1" t="s">
        <v>487</v>
      </c>
      <c r="E234" s="3" t="s">
        <v>422</v>
      </c>
      <c r="F234" s="1" t="s">
        <v>1481</v>
      </c>
      <c r="G234" t="str">
        <f t="shared" si="1"/>
        <v>Lees Sandwiches Dublin 2             </v>
      </c>
      <c r="H234" s="1" t="str">
        <f>IFERROR(__xludf.DUMMYFUNCTION("SPLIT(B234,""-"")"),"Lees Sandwiches Dublin 2     ")</f>
        <v>Lees Sandwiches Dublin 2     </v>
      </c>
    </row>
    <row r="235">
      <c r="A235" s="1">
        <v>232.0</v>
      </c>
      <c r="B235" s="3" t="s">
        <v>1482</v>
      </c>
      <c r="C235" s="1">
        <v>3.0</v>
      </c>
      <c r="D235" s="1" t="s">
        <v>451</v>
      </c>
      <c r="E235" s="3" t="s">
        <v>422</v>
      </c>
      <c r="F235" s="1" t="s">
        <v>1483</v>
      </c>
      <c r="G235" t="str">
        <f t="shared" si="1"/>
        <v>Osaka Ramen Dublin              </v>
      </c>
      <c r="H235" s="1" t="str">
        <f>IFERROR(__xludf.DUMMYFUNCTION("SPLIT(B235,""-"")"),"Osaka Ramen Dublin      ")</f>
        <v>Osaka Ramen Dublin      </v>
      </c>
    </row>
    <row r="236">
      <c r="A236" s="1">
        <v>233.0</v>
      </c>
      <c r="B236" s="3" t="s">
        <v>1484</v>
      </c>
      <c r="C236" s="1">
        <v>4.0</v>
      </c>
      <c r="D236" s="1" t="s">
        <v>490</v>
      </c>
      <c r="E236" s="3" t="s">
        <v>422</v>
      </c>
      <c r="F236" s="1" t="s">
        <v>1485</v>
      </c>
      <c r="G236" t="str">
        <f t="shared" si="1"/>
        <v>Pho 99 Dublin 5             </v>
      </c>
      <c r="H236" s="1" t="str">
        <f>IFERROR(__xludf.DUMMYFUNCTION("SPLIT(B236,""-"")"),"Pho 99 Dublin 5     ")</f>
        <v>Pho 99 Dublin 5     </v>
      </c>
    </row>
    <row r="237">
      <c r="A237" s="1">
        <v>234.0</v>
      </c>
      <c r="B237" s="3" t="s">
        <v>1486</v>
      </c>
      <c r="C237" s="1">
        <v>4.0</v>
      </c>
      <c r="D237" s="1" t="s">
        <v>492</v>
      </c>
      <c r="E237" s="3" t="s">
        <v>422</v>
      </c>
      <c r="F237" s="1" t="s">
        <v>1487</v>
      </c>
      <c r="G237" t="str">
        <f t="shared" si="1"/>
        <v>Tandoori Pizza Dublin              </v>
      </c>
      <c r="H237" s="1" t="str">
        <f>IFERROR(__xludf.DUMMYFUNCTION("SPLIT(B237,""-"")"),"Tandoori Pizza Dublin      ")</f>
        <v>Tandoori Pizza Dublin      </v>
      </c>
    </row>
    <row r="238">
      <c r="A238" s="1">
        <v>235.0</v>
      </c>
      <c r="B238" s="3" t="s">
        <v>1488</v>
      </c>
      <c r="C238" s="1">
        <v>3.0</v>
      </c>
      <c r="D238" s="1" t="s">
        <v>451</v>
      </c>
      <c r="E238" s="3" t="s">
        <v>422</v>
      </c>
      <c r="F238" s="1" t="s">
        <v>1489</v>
      </c>
      <c r="G238" t="str">
        <f t="shared" si="1"/>
        <v>Halu Shabu Shabu Dublin             </v>
      </c>
      <c r="H238" s="1" t="str">
        <f>IFERROR(__xludf.DUMMYFUNCTION("SPLIT(B238,""-"")"),"Halu Shabu Shabu Dublin     ")</f>
        <v>Halu Shabu Shabu Dublin     </v>
      </c>
    </row>
    <row r="239">
      <c r="A239" s="1">
        <v>236.0</v>
      </c>
      <c r="B239" s="3" t="s">
        <v>1490</v>
      </c>
      <c r="C239" s="1">
        <v>4.0</v>
      </c>
      <c r="D239" s="1" t="s">
        <v>495</v>
      </c>
      <c r="E239" s="3" t="s">
        <v>422</v>
      </c>
      <c r="F239" s="1" t="s">
        <v>1491</v>
      </c>
      <c r="G239" t="str">
        <f t="shared" si="1"/>
        <v>Amakara Dublin               </v>
      </c>
      <c r="H239" s="1" t="str">
        <f>IFERROR(__xludf.DUMMYFUNCTION("SPLIT(B239,""-"")"),"Amakara Dublin       ")</f>
        <v>Amakara Dublin       </v>
      </c>
    </row>
    <row r="240">
      <c r="A240" s="1">
        <v>237.0</v>
      </c>
      <c r="B240" s="3" t="s">
        <v>1492</v>
      </c>
      <c r="C240" s="1">
        <v>3.5</v>
      </c>
      <c r="D240" s="1" t="s">
        <v>497</v>
      </c>
      <c r="E240" s="3" t="s">
        <v>422</v>
      </c>
      <c r="F240" s="1" t="s">
        <v>1493</v>
      </c>
      <c r="G240" t="str">
        <f t="shared" si="1"/>
        <v>Pho Saigon Garden Dublin             </v>
      </c>
      <c r="H240" s="1" t="str">
        <f>IFERROR(__xludf.DUMMYFUNCTION("SPLIT(B240,""-"")"),"Pho Saigon Garden Dublin     ")</f>
        <v>Pho Saigon Garden Dublin     </v>
      </c>
    </row>
    <row r="241">
      <c r="A241" s="1">
        <v>238.0</v>
      </c>
      <c r="B241" s="3" t="s">
        <v>1494</v>
      </c>
      <c r="C241" s="1">
        <v>3.5</v>
      </c>
      <c r="D241" s="1" t="s">
        <v>499</v>
      </c>
      <c r="E241" s="3" t="s">
        <v>447</v>
      </c>
      <c r="F241" s="1" t="s">
        <v>1495</v>
      </c>
      <c r="G241" t="str">
        <f t="shared" si="1"/>
        <v>Pho Saigon Noodle House San Ramon           </v>
      </c>
      <c r="H241" s="1" t="str">
        <f>IFERROR(__xludf.DUMMYFUNCTION("SPLIT(B241,""-"")"),"Pho Saigon Noodle House San Ramon   ")</f>
        <v>Pho Saigon Noodle House San Ramon   </v>
      </c>
    </row>
    <row r="242">
      <c r="A242" s="1">
        <v>239.0</v>
      </c>
      <c r="B242" s="3" t="s">
        <v>1496</v>
      </c>
      <c r="C242" s="1">
        <v>3.5</v>
      </c>
      <c r="D242" s="1" t="s">
        <v>501</v>
      </c>
      <c r="E242" s="3" t="s">
        <v>20</v>
      </c>
      <c r="F242" s="1" t="s">
        <v>1497</v>
      </c>
      <c r="G242" t="str">
        <f t="shared" si="1"/>
        <v>85 C Bakery Cafe Newark            </v>
      </c>
      <c r="H242" s="1" t="str">
        <f>IFERROR(__xludf.DUMMYFUNCTION("SPLIT(B242,""-"")"),"85 C Bakery Cafe Newark    ")</f>
        <v>85 C Bakery Cafe Newark    </v>
      </c>
    </row>
    <row r="243">
      <c r="A243" s="1">
        <v>240.0</v>
      </c>
      <c r="B243" s="3" t="s">
        <v>1498</v>
      </c>
      <c r="C243" s="1">
        <v>3.5</v>
      </c>
      <c r="D243" s="1" t="s">
        <v>503</v>
      </c>
      <c r="E243" s="3" t="s">
        <v>61</v>
      </c>
      <c r="F243" s="1" t="s">
        <v>1499</v>
      </c>
      <c r="G243" t="str">
        <f t="shared" si="1"/>
        <v>Blackball Desserts Union City Union City           </v>
      </c>
      <c r="H243" s="1" t="str">
        <f>IFERROR(__xludf.DUMMYFUNCTION("SPLIT(B243,""-"")"),"Blackball Desserts Union City Union City   ")</f>
        <v>Blackball Desserts Union City Union City   </v>
      </c>
    </row>
    <row r="244">
      <c r="A244" s="1">
        <v>241.0</v>
      </c>
      <c r="B244" s="3" t="s">
        <v>1500</v>
      </c>
      <c r="C244" s="1">
        <v>4.0</v>
      </c>
      <c r="D244" s="1" t="s">
        <v>505</v>
      </c>
      <c r="E244" s="3" t="s">
        <v>20</v>
      </c>
      <c r="F244" s="1" t="s">
        <v>1501</v>
      </c>
      <c r="G244" t="str">
        <f t="shared" si="1"/>
        <v>Tasty Pot Newark              </v>
      </c>
      <c r="H244" s="1" t="str">
        <f>IFERROR(__xludf.DUMMYFUNCTION("SPLIT(B244,""-"")"),"Tasty Pot Newark      ")</f>
        <v>Tasty Pot Newark      </v>
      </c>
    </row>
    <row r="245">
      <c r="A245" s="1">
        <v>242.0</v>
      </c>
      <c r="B245" s="3" t="s">
        <v>1502</v>
      </c>
      <c r="C245" s="1">
        <v>4.0</v>
      </c>
      <c r="D245" s="1" t="s">
        <v>507</v>
      </c>
      <c r="E245" s="3" t="s">
        <v>20</v>
      </c>
      <c r="F245" s="1" t="s">
        <v>1503</v>
      </c>
      <c r="G245" t="str">
        <f t="shared" si="1"/>
        <v>Icicles Newark               </v>
      </c>
      <c r="H245" s="1" t="str">
        <f>IFERROR(__xludf.DUMMYFUNCTION("SPLIT(B245,""-"")"),"Icicles Newark       ")</f>
        <v>Icicles Newark       </v>
      </c>
    </row>
    <row r="246">
      <c r="A246" s="1">
        <v>243.0</v>
      </c>
      <c r="B246" s="3" t="s">
        <v>1504</v>
      </c>
      <c r="C246" s="1">
        <v>5.0</v>
      </c>
      <c r="D246" s="1" t="s">
        <v>509</v>
      </c>
      <c r="E246" s="3" t="s">
        <v>61</v>
      </c>
      <c r="F246" s="1" t="s">
        <v>1505</v>
      </c>
      <c r="G246" t="str">
        <f t="shared" si="1"/>
        <v>Che Lo Union City 2            </v>
      </c>
      <c r="H246" s="1" t="str">
        <f>IFERROR(__xludf.DUMMYFUNCTION("SPLIT(B246,""-"")"),"Che Lo Union City 2    ")</f>
        <v>Che Lo Union City 2    </v>
      </c>
    </row>
    <row r="247">
      <c r="A247" s="1">
        <v>244.0</v>
      </c>
      <c r="B247" s="3" t="s">
        <v>1506</v>
      </c>
      <c r="C247" s="1">
        <v>4.5</v>
      </c>
      <c r="D247" s="1" t="s">
        <v>511</v>
      </c>
      <c r="E247" s="3" t="s">
        <v>9</v>
      </c>
      <c r="F247" s="1" t="s">
        <v>1507</v>
      </c>
      <c r="G247" t="str">
        <f t="shared" si="1"/>
        <v>Fusion Mix Frozen Yogurt Fremont 2           </v>
      </c>
      <c r="H247" s="1" t="str">
        <f>IFERROR(__xludf.DUMMYFUNCTION("SPLIT(B247,""-"")"),"Fusion Mix Frozen Yogurt Fremont 2   ")</f>
        <v>Fusion Mix Frozen Yogurt Fremont 2   </v>
      </c>
    </row>
    <row r="248">
      <c r="A248" s="1">
        <v>245.0</v>
      </c>
      <c r="B248" s="3" t="s">
        <v>1508</v>
      </c>
      <c r="C248" s="1">
        <v>4.0</v>
      </c>
      <c r="D248" s="1" t="s">
        <v>513</v>
      </c>
      <c r="E248" s="3" t="s">
        <v>20</v>
      </c>
      <c r="F248" s="1" t="s">
        <v>1509</v>
      </c>
      <c r="G248" t="str">
        <f t="shared" si="1"/>
        <v>Crepe Bar Newark              </v>
      </c>
      <c r="H248" s="1" t="str">
        <f>IFERROR(__xludf.DUMMYFUNCTION("SPLIT(B248,""-"")"),"Crepe Bar Newark      ")</f>
        <v>Crepe Bar Newark      </v>
      </c>
    </row>
    <row r="249">
      <c r="A249" s="1">
        <v>246.0</v>
      </c>
      <c r="B249" s="3" t="s">
        <v>1510</v>
      </c>
      <c r="C249" s="1">
        <v>3.0</v>
      </c>
      <c r="D249" s="1" t="s">
        <v>515</v>
      </c>
      <c r="E249" s="3" t="s">
        <v>9</v>
      </c>
      <c r="F249" s="1" t="s">
        <v>1511</v>
      </c>
      <c r="G249" t="str">
        <f t="shared" si="1"/>
        <v>Q Cup Fremont              </v>
      </c>
      <c r="H249" s="1" t="str">
        <f>IFERROR(__xludf.DUMMYFUNCTION("SPLIT(B249,""-"")"),"Q Cup Fremont      ")</f>
        <v>Q Cup Fremont      </v>
      </c>
    </row>
    <row r="250">
      <c r="A250" s="1">
        <v>247.0</v>
      </c>
      <c r="B250" s="3" t="s">
        <v>1512</v>
      </c>
      <c r="C250" s="1">
        <v>3.5</v>
      </c>
      <c r="D250" s="1" t="s">
        <v>517</v>
      </c>
      <c r="E250" s="3" t="s">
        <v>20</v>
      </c>
      <c r="F250" s="1" t="s">
        <v>1513</v>
      </c>
      <c r="G250" t="str">
        <f t="shared" si="1"/>
        <v>Bambu Newark 2              </v>
      </c>
      <c r="H250" s="1" t="str">
        <f>IFERROR(__xludf.DUMMYFUNCTION("SPLIT(B250,""-"")"),"Bambu Newark 2      ")</f>
        <v>Bambu Newark 2      </v>
      </c>
    </row>
    <row r="251">
      <c r="A251" s="1">
        <v>248.0</v>
      </c>
      <c r="B251" s="3" t="s">
        <v>1514</v>
      </c>
      <c r="C251" s="1">
        <v>3.5</v>
      </c>
      <c r="D251" s="1" t="s">
        <v>519</v>
      </c>
      <c r="E251" s="3" t="s">
        <v>61</v>
      </c>
      <c r="F251" s="1" t="s">
        <v>1515</v>
      </c>
      <c r="G251" t="str">
        <f t="shared" si="1"/>
        <v>Bambu Union City 2             </v>
      </c>
      <c r="H251" s="1" t="str">
        <f>IFERROR(__xludf.DUMMYFUNCTION("SPLIT(B251,""-"")"),"Bambu Union City 2     ")</f>
        <v>Bambu Union City 2     </v>
      </c>
    </row>
    <row r="252">
      <c r="A252" s="1">
        <v>249.0</v>
      </c>
      <c r="B252" s="3" t="s">
        <v>1516</v>
      </c>
      <c r="C252" s="1">
        <v>4.5</v>
      </c>
      <c r="D252" s="1" t="s">
        <v>521</v>
      </c>
      <c r="E252" s="3" t="s">
        <v>20</v>
      </c>
      <c r="F252" s="1" t="s">
        <v>1517</v>
      </c>
      <c r="G252" t="str">
        <f t="shared" si="1"/>
        <v>Storm Crepes Newark              </v>
      </c>
      <c r="H252" s="1" t="str">
        <f>IFERROR(__xludf.DUMMYFUNCTION("SPLIT(B252,""-"")"),"Storm Crepes Newark      ")</f>
        <v>Storm Crepes Newark      </v>
      </c>
    </row>
    <row r="253">
      <c r="A253" s="1">
        <v>250.0</v>
      </c>
      <c r="B253" s="3" t="s">
        <v>1518</v>
      </c>
      <c r="C253" s="1">
        <v>4.5</v>
      </c>
      <c r="D253" s="1" t="s">
        <v>48</v>
      </c>
      <c r="E253" s="3" t="s">
        <v>9</v>
      </c>
      <c r="F253" s="1" t="s">
        <v>1519</v>
      </c>
      <c r="G253" t="str">
        <f t="shared" si="1"/>
        <v>Sweet Orchid Fremont              </v>
      </c>
      <c r="H253" s="1" t="str">
        <f>IFERROR(__xludf.DUMMYFUNCTION("SPLIT(B253,""-"")"),"Sweet Orchid Fremont      ")</f>
        <v>Sweet Orchid Fremont      </v>
      </c>
    </row>
    <row r="254">
      <c r="A254" s="1">
        <v>251.0</v>
      </c>
      <c r="B254" s="3" t="s">
        <v>1520</v>
      </c>
      <c r="C254" s="1">
        <v>4.0</v>
      </c>
      <c r="D254" s="1" t="s">
        <v>524</v>
      </c>
      <c r="E254" s="3" t="s">
        <v>61</v>
      </c>
      <c r="F254" s="1" t="s">
        <v>1521</v>
      </c>
      <c r="G254" t="str">
        <f t="shared" si="1"/>
        <v>Jenjons Cafe Union City             </v>
      </c>
      <c r="H254" s="1" t="str">
        <f>IFERROR(__xludf.DUMMYFUNCTION("SPLIT(B254,""-"")"),"Jenjons Cafe Union City     ")</f>
        <v>Jenjons Cafe Union City     </v>
      </c>
    </row>
    <row r="255">
      <c r="A255" s="1">
        <v>252.0</v>
      </c>
      <c r="B255" s="3" t="s">
        <v>1522</v>
      </c>
      <c r="C255" s="1">
        <v>4.0</v>
      </c>
      <c r="D255" s="1" t="s">
        <v>526</v>
      </c>
      <c r="E255" s="3" t="s">
        <v>9</v>
      </c>
      <c r="F255" s="1" t="s">
        <v>1523</v>
      </c>
      <c r="G255" t="str">
        <f t="shared" si="1"/>
        <v>K Pop Cafe Fremont             </v>
      </c>
      <c r="H255" s="1" t="str">
        <f>IFERROR(__xludf.DUMMYFUNCTION("SPLIT(B255,""-"")"),"K Pop Cafe Fremont     ")</f>
        <v>K Pop Cafe Fremont     </v>
      </c>
    </row>
    <row r="256">
      <c r="A256" s="1">
        <v>253.0</v>
      </c>
      <c r="B256" s="3" t="s">
        <v>1524</v>
      </c>
      <c r="C256" s="1">
        <v>3.5</v>
      </c>
      <c r="D256" s="1" t="s">
        <v>528</v>
      </c>
      <c r="E256" s="3" t="s">
        <v>9</v>
      </c>
      <c r="F256" s="1" t="s">
        <v>1525</v>
      </c>
      <c r="G256" t="str">
        <f t="shared" si="1"/>
        <v>Milkcow Fremont 2              </v>
      </c>
      <c r="H256" s="1" t="str">
        <f>IFERROR(__xludf.DUMMYFUNCTION("SPLIT(B256,""-"")"),"Milkcow Fremont 2      ")</f>
        <v>Milkcow Fremont 2      </v>
      </c>
    </row>
    <row r="257">
      <c r="A257" s="1">
        <v>254.0</v>
      </c>
      <c r="B257" s="3" t="s">
        <v>1526</v>
      </c>
      <c r="C257" s="1">
        <v>4.0</v>
      </c>
      <c r="D257" s="1" t="s">
        <v>530</v>
      </c>
      <c r="E257" s="3" t="s">
        <v>531</v>
      </c>
      <c r="F257" s="1" t="s">
        <v>1527</v>
      </c>
      <c r="G257" t="str">
        <f t="shared" si="1"/>
        <v>Boba Guys San Carlos 2            </v>
      </c>
      <c r="H257" s="1" t="str">
        <f>IFERROR(__xludf.DUMMYFUNCTION("SPLIT(B257,""-"")"),"Boba Guys San Carlos 2    ")</f>
        <v>Boba Guys San Carlos 2    </v>
      </c>
    </row>
    <row r="258">
      <c r="A258" s="1">
        <v>255.0</v>
      </c>
      <c r="B258" s="3" t="s">
        <v>1528</v>
      </c>
      <c r="C258" s="1">
        <v>4.5</v>
      </c>
      <c r="D258" s="1" t="s">
        <v>533</v>
      </c>
      <c r="E258" s="3" t="s">
        <v>534</v>
      </c>
      <c r="F258" s="1" t="s">
        <v>1529</v>
      </c>
      <c r="G258" t="str">
        <f t="shared" si="1"/>
        <v>Teaquation Redwood City              </v>
      </c>
      <c r="H258" s="1" t="str">
        <f>IFERROR(__xludf.DUMMYFUNCTION("SPLIT(B258,""-"")"),"Teaquation Redwood City      ")</f>
        <v>Teaquation Redwood City      </v>
      </c>
    </row>
    <row r="259">
      <c r="A259" s="1">
        <v>256.0</v>
      </c>
      <c r="B259" s="3" t="s">
        <v>1530</v>
      </c>
      <c r="C259" s="1">
        <v>3.5</v>
      </c>
      <c r="D259" s="1" t="s">
        <v>536</v>
      </c>
      <c r="E259" s="3" t="s">
        <v>537</v>
      </c>
      <c r="F259" s="1" t="s">
        <v>1531</v>
      </c>
      <c r="G259" t="str">
        <f t="shared" si="1"/>
        <v>T4 Hayward 3              </v>
      </c>
      <c r="H259" s="1" t="str">
        <f>IFERROR(__xludf.DUMMYFUNCTION("SPLIT(B259,""-"")"),"T4 Hayward 3      ")</f>
        <v>T4 Hayward 3      </v>
      </c>
    </row>
    <row r="260">
      <c r="A260" s="1">
        <v>257.0</v>
      </c>
      <c r="B260" s="3" t="s">
        <v>1532</v>
      </c>
      <c r="C260" s="1">
        <v>4.5</v>
      </c>
      <c r="D260" s="1" t="s">
        <v>539</v>
      </c>
      <c r="E260" s="3" t="s">
        <v>85</v>
      </c>
      <c r="F260" s="1" t="s">
        <v>1533</v>
      </c>
      <c r="G260" t="str">
        <f t="shared" si="1"/>
        <v>Sweet Spot Castro Valley             </v>
      </c>
      <c r="H260" s="1" t="str">
        <f>IFERROR(__xludf.DUMMYFUNCTION("SPLIT(B260,""-"")"),"Sweet Spot Castro Valley     ")</f>
        <v>Sweet Spot Castro Valley     </v>
      </c>
    </row>
    <row r="261">
      <c r="A261" s="1">
        <v>258.0</v>
      </c>
      <c r="B261" s="3" t="s">
        <v>1534</v>
      </c>
      <c r="C261" s="1">
        <v>3.5</v>
      </c>
      <c r="D261" s="1" t="s">
        <v>541</v>
      </c>
      <c r="E261" s="3" t="s">
        <v>537</v>
      </c>
      <c r="F261" s="1" t="s">
        <v>1535</v>
      </c>
      <c r="G261" t="str">
        <f t="shared" si="1"/>
        <v>Teaster Hayward 2              </v>
      </c>
      <c r="H261" s="1" t="str">
        <f>IFERROR(__xludf.DUMMYFUNCTION("SPLIT(B261,""-"")"),"Teaster Hayward 2      ")</f>
        <v>Teaster Hayward 2      </v>
      </c>
    </row>
    <row r="262">
      <c r="A262" s="1">
        <v>259.0</v>
      </c>
      <c r="B262" s="3" t="s">
        <v>1536</v>
      </c>
      <c r="C262" s="1">
        <v>4.0</v>
      </c>
      <c r="D262" s="1" t="s">
        <v>543</v>
      </c>
      <c r="E262" s="3" t="s">
        <v>95</v>
      </c>
      <c r="F262" s="1" t="s">
        <v>1537</v>
      </c>
      <c r="G262" t="str">
        <f t="shared" si="1"/>
        <v>Sharetea Palo Alto 2             </v>
      </c>
      <c r="H262" s="1" t="str">
        <f>IFERROR(__xludf.DUMMYFUNCTION("SPLIT(B262,""-"")"),"Sharetea Palo Alto 2     ")</f>
        <v>Sharetea Palo Alto 2     </v>
      </c>
    </row>
    <row r="263">
      <c r="A263" s="1">
        <v>260.0</v>
      </c>
      <c r="B263" s="3" t="s">
        <v>1538</v>
      </c>
      <c r="C263" s="1">
        <v>4.0</v>
      </c>
      <c r="D263" s="1" t="s">
        <v>545</v>
      </c>
      <c r="E263" s="3" t="s">
        <v>534</v>
      </c>
      <c r="F263" s="1" t="s">
        <v>1539</v>
      </c>
      <c r="G263" t="str">
        <f t="shared" si="1"/>
        <v>Chatime Redwood City 2             </v>
      </c>
      <c r="H263" s="1" t="str">
        <f>IFERROR(__xludf.DUMMYFUNCTION("SPLIT(B263,""-"")"),"Chatime Redwood City 2     ")</f>
        <v>Chatime Redwood City 2     </v>
      </c>
    </row>
    <row r="264">
      <c r="A264" s="1">
        <v>261.0</v>
      </c>
      <c r="B264" s="3" t="s">
        <v>1540</v>
      </c>
      <c r="C264" s="1">
        <v>4.0</v>
      </c>
      <c r="D264" s="1" t="s">
        <v>547</v>
      </c>
      <c r="E264" s="3" t="s">
        <v>537</v>
      </c>
      <c r="F264" s="1" t="s">
        <v>1541</v>
      </c>
      <c r="G264" t="str">
        <f t="shared" si="1"/>
        <v>Eko Coffee Bar And Tea House Hayward          </v>
      </c>
      <c r="H264" s="1" t="str">
        <f>IFERROR(__xludf.DUMMYFUNCTION("SPLIT(B264,""-"")"),"Eko Coffee Bar And Tea House Hayward  ")</f>
        <v>Eko Coffee Bar And Tea House Hayward  </v>
      </c>
    </row>
    <row r="265">
      <c r="A265" s="1">
        <v>262.0</v>
      </c>
      <c r="B265" s="3" t="s">
        <v>1542</v>
      </c>
      <c r="C265" s="1">
        <v>4.0</v>
      </c>
      <c r="D265" s="1" t="s">
        <v>549</v>
      </c>
      <c r="E265" s="3" t="s">
        <v>341</v>
      </c>
      <c r="F265" s="1" t="s">
        <v>1543</v>
      </c>
      <c r="G265" t="str">
        <f t="shared" si="1"/>
        <v>Tea Era Cupertino              </v>
      </c>
      <c r="H265" s="1" t="str">
        <f>IFERROR(__xludf.DUMMYFUNCTION("SPLIT(B265,""-"")"),"Tea Era Cupertino      ")</f>
        <v>Tea Era Cupertino      </v>
      </c>
    </row>
    <row r="266">
      <c r="A266" s="1">
        <v>263.0</v>
      </c>
      <c r="B266" s="3" t="s">
        <v>1544</v>
      </c>
      <c r="C266" s="1">
        <v>4.0</v>
      </c>
      <c r="D266" s="1" t="s">
        <v>551</v>
      </c>
      <c r="E266" s="3" t="s">
        <v>341</v>
      </c>
      <c r="F266" s="1" t="s">
        <v>1545</v>
      </c>
      <c r="G266" t="str">
        <f t="shared" si="1"/>
        <v>Fantasia Coffee And Tea Cupertino            </v>
      </c>
      <c r="H266" s="1" t="str">
        <f>IFERROR(__xludf.DUMMYFUNCTION("SPLIT(B266,""-"")"),"Fantasia Coffee And Tea Cupertino    ")</f>
        <v>Fantasia Coffee And Tea Cupertino    </v>
      </c>
    </row>
    <row r="267">
      <c r="A267" s="1">
        <v>264.0</v>
      </c>
      <c r="B267" s="3" t="s">
        <v>1546</v>
      </c>
      <c r="C267" s="1">
        <v>3.5</v>
      </c>
      <c r="D267" s="1" t="s">
        <v>553</v>
      </c>
      <c r="E267" s="3" t="s">
        <v>341</v>
      </c>
      <c r="F267" s="1" t="s">
        <v>1547</v>
      </c>
      <c r="G267" t="str">
        <f t="shared" si="1"/>
        <v>Tpumps Cupertino               </v>
      </c>
      <c r="H267" s="1" t="str">
        <f>IFERROR(__xludf.DUMMYFUNCTION("SPLIT(B267,""-"")"),"Tpumps Cupertino       ")</f>
        <v>Tpumps Cupertino       </v>
      </c>
    </row>
    <row r="268">
      <c r="A268" s="1">
        <v>265.0</v>
      </c>
      <c r="B268" s="3" t="s">
        <v>1548</v>
      </c>
      <c r="C268" s="1">
        <v>3.5</v>
      </c>
      <c r="D268" s="1" t="s">
        <v>555</v>
      </c>
      <c r="E268" s="3" t="s">
        <v>341</v>
      </c>
      <c r="F268" s="1" t="s">
        <v>1549</v>
      </c>
      <c r="G268" t="str">
        <f t="shared" si="1"/>
        <v>Super Cue Cafe Cupertino             </v>
      </c>
      <c r="H268" s="1" t="str">
        <f>IFERROR(__xludf.DUMMYFUNCTION("SPLIT(B268,""-"")"),"Super Cue Cafe Cupertino     ")</f>
        <v>Super Cue Cafe Cupertino     </v>
      </c>
    </row>
    <row r="269">
      <c r="A269" s="1">
        <v>266.0</v>
      </c>
      <c r="B269" s="3" t="s">
        <v>1550</v>
      </c>
      <c r="C269" s="1">
        <v>4.5</v>
      </c>
      <c r="D269" s="1" t="s">
        <v>557</v>
      </c>
      <c r="E269" s="3" t="s">
        <v>341</v>
      </c>
      <c r="F269" s="1" t="s">
        <v>1551</v>
      </c>
      <c r="G269" t="str">
        <f t="shared" si="1"/>
        <v>Happy Lemon Cupertino 5             </v>
      </c>
      <c r="H269" s="1" t="str">
        <f>IFERROR(__xludf.DUMMYFUNCTION("SPLIT(B269,""-"")"),"Happy Lemon Cupertino 5     ")</f>
        <v>Happy Lemon Cupertino 5     </v>
      </c>
    </row>
    <row r="270">
      <c r="A270" s="1">
        <v>267.0</v>
      </c>
      <c r="B270" s="3" t="s">
        <v>1552</v>
      </c>
      <c r="C270" s="1">
        <v>4.0</v>
      </c>
      <c r="D270" s="1" t="s">
        <v>559</v>
      </c>
      <c r="E270" s="3" t="s">
        <v>341</v>
      </c>
      <c r="F270" s="1" t="s">
        <v>1553</v>
      </c>
      <c r="G270" t="str">
        <f t="shared" si="1"/>
        <v>Ten Ren Tea Cupertino             </v>
      </c>
      <c r="H270" s="1" t="str">
        <f>IFERROR(__xludf.DUMMYFUNCTION("SPLIT(B270,""-"")"),"Ten Ren Tea Cupertino     ")</f>
        <v>Ten Ren Tea Cupertino     </v>
      </c>
    </row>
    <row r="271">
      <c r="A271" s="1">
        <v>268.0</v>
      </c>
      <c r="B271" s="3" t="s">
        <v>1554</v>
      </c>
      <c r="C271" s="1">
        <v>3.0</v>
      </c>
      <c r="D271" s="1" t="s">
        <v>561</v>
      </c>
      <c r="E271" s="3" t="s">
        <v>341</v>
      </c>
      <c r="F271" s="1" t="s">
        <v>1555</v>
      </c>
      <c r="G271" t="str">
        <f t="shared" si="1"/>
        <v>Meet Fresh Cupertino              </v>
      </c>
      <c r="H271" s="1" t="str">
        <f>IFERROR(__xludf.DUMMYFUNCTION("SPLIT(B271,""-"")"),"Meet Fresh Cupertino      ")</f>
        <v>Meet Fresh Cupertino      </v>
      </c>
    </row>
    <row r="272">
      <c r="A272" s="1">
        <v>269.0</v>
      </c>
      <c r="B272" s="3" t="s">
        <v>1556</v>
      </c>
      <c r="C272" s="1">
        <v>3.5</v>
      </c>
      <c r="D272" s="1" t="s">
        <v>563</v>
      </c>
      <c r="E272" s="3" t="s">
        <v>341</v>
      </c>
      <c r="F272" s="1" t="s">
        <v>1557</v>
      </c>
      <c r="G272" t="str">
        <f t="shared" si="1"/>
        <v>Hechaa Cupertino 4              </v>
      </c>
      <c r="H272" s="1" t="str">
        <f>IFERROR(__xludf.DUMMYFUNCTION("SPLIT(B272,""-"")"),"Hechaa Cupertino 4      ")</f>
        <v>Hechaa Cupertino 4      </v>
      </c>
    </row>
    <row r="273">
      <c r="A273" s="1">
        <v>270.0</v>
      </c>
      <c r="B273" s="3" t="s">
        <v>1558</v>
      </c>
      <c r="C273" s="1">
        <v>4.5</v>
      </c>
      <c r="D273" s="1" t="s">
        <v>565</v>
      </c>
      <c r="E273" s="3" t="s">
        <v>566</v>
      </c>
      <c r="F273" s="1" t="s">
        <v>1559</v>
      </c>
      <c r="G273" t="str">
        <f t="shared" si="1"/>
        <v>Calibear Cyber Cafe Sunnyvale 6            </v>
      </c>
      <c r="H273" s="1" t="str">
        <f>IFERROR(__xludf.DUMMYFUNCTION("SPLIT(B273,""-"")"),"Calibear Cyber Cafe Sunnyvale 6    ")</f>
        <v>Calibear Cyber Cafe Sunnyvale 6    </v>
      </c>
    </row>
    <row r="274">
      <c r="A274" s="1">
        <v>271.0</v>
      </c>
      <c r="B274" s="3" t="s">
        <v>1560</v>
      </c>
      <c r="C274" s="1">
        <v>5.0</v>
      </c>
      <c r="D274" s="1" t="s">
        <v>568</v>
      </c>
      <c r="E274" s="3" t="s">
        <v>566</v>
      </c>
      <c r="F274" s="1" t="s">
        <v>1561</v>
      </c>
      <c r="G274" t="str">
        <f t="shared" si="1"/>
        <v>Happy Lemon Sunnyvale 2             </v>
      </c>
      <c r="H274" s="1" t="str">
        <f>IFERROR(__xludf.DUMMYFUNCTION("SPLIT(B274,""-"")"),"Happy Lemon Sunnyvale 2     ")</f>
        <v>Happy Lemon Sunnyvale 2     </v>
      </c>
    </row>
    <row r="275">
      <c r="A275" s="1">
        <v>272.0</v>
      </c>
      <c r="B275" s="3" t="s">
        <v>1562</v>
      </c>
      <c r="C275" s="1">
        <v>3.5</v>
      </c>
      <c r="D275" s="1" t="s">
        <v>570</v>
      </c>
      <c r="E275" s="3" t="s">
        <v>341</v>
      </c>
      <c r="F275" s="1" t="s">
        <v>1563</v>
      </c>
      <c r="G275" t="str">
        <f t="shared" si="1"/>
        <v>What8Ver Express Cupertino 2             </v>
      </c>
      <c r="H275" s="1" t="str">
        <f>IFERROR(__xludf.DUMMYFUNCTION("SPLIT(B275,""-"")"),"What8Ver Express Cupertino 2     ")</f>
        <v>What8Ver Express Cupertino 2     </v>
      </c>
    </row>
    <row r="276">
      <c r="A276" s="1">
        <v>273.0</v>
      </c>
      <c r="B276" s="3" t="s">
        <v>1564</v>
      </c>
      <c r="C276" s="1">
        <v>4.5</v>
      </c>
      <c r="D276" s="1" t="s">
        <v>572</v>
      </c>
      <c r="E276" s="3" t="s">
        <v>566</v>
      </c>
      <c r="F276" s="1" t="s">
        <v>1565</v>
      </c>
      <c r="G276" t="str">
        <f t="shared" si="1"/>
        <v>Gong Cha Sunnyvale              </v>
      </c>
      <c r="H276" s="1" t="str">
        <f>IFERROR(__xludf.DUMMYFUNCTION("SPLIT(B276,""-"")"),"Gong Cha Sunnyvale      ")</f>
        <v>Gong Cha Sunnyvale      </v>
      </c>
    </row>
    <row r="277">
      <c r="A277" s="1">
        <v>274.0</v>
      </c>
      <c r="B277" s="3" t="s">
        <v>1566</v>
      </c>
      <c r="C277" s="1">
        <v>3.5</v>
      </c>
      <c r="D277" s="1" t="s">
        <v>574</v>
      </c>
      <c r="E277" s="3" t="s">
        <v>341</v>
      </c>
      <c r="F277" s="1" t="s">
        <v>1567</v>
      </c>
      <c r="G277" t="str">
        <f t="shared" si="1"/>
        <v>Cafe Lattea Cupertino              </v>
      </c>
      <c r="H277" s="1" t="str">
        <f>IFERROR(__xludf.DUMMYFUNCTION("SPLIT(B277,""-"")"),"Cafe Lattea Cupertino      ")</f>
        <v>Cafe Lattea Cupertino      </v>
      </c>
    </row>
    <row r="278">
      <c r="A278" s="1">
        <v>275.0</v>
      </c>
      <c r="B278" s="3" t="s">
        <v>1568</v>
      </c>
      <c r="C278" s="1">
        <v>4.0</v>
      </c>
      <c r="D278" s="1" t="s">
        <v>576</v>
      </c>
      <c r="E278" s="3" t="s">
        <v>341</v>
      </c>
      <c r="F278" s="1" t="s">
        <v>1569</v>
      </c>
      <c r="G278" t="str">
        <f t="shared" si="1"/>
        <v>T4 Cupertino Cupertino              </v>
      </c>
      <c r="H278" s="1" t="str">
        <f>IFERROR(__xludf.DUMMYFUNCTION("SPLIT(B278,""-"")"),"T4 Cupertino Cupertino      ")</f>
        <v>T4 Cupertino Cupertino      </v>
      </c>
    </row>
    <row r="279">
      <c r="A279" s="1">
        <v>276.0</v>
      </c>
      <c r="B279" s="3" t="s">
        <v>1570</v>
      </c>
      <c r="C279" s="1">
        <v>4.0</v>
      </c>
      <c r="D279" s="1" t="s">
        <v>578</v>
      </c>
      <c r="E279" s="3" t="s">
        <v>566</v>
      </c>
      <c r="F279" s="1" t="s">
        <v>1571</v>
      </c>
      <c r="G279" t="str">
        <f t="shared" si="1"/>
        <v>Sharetea Sunnyvale 3              </v>
      </c>
      <c r="H279" s="1" t="str">
        <f>IFERROR(__xludf.DUMMYFUNCTION("SPLIT(B279,""-"")"),"Sharetea Sunnyvale 3      ")</f>
        <v>Sharetea Sunnyvale 3      </v>
      </c>
    </row>
    <row r="280">
      <c r="A280" s="1">
        <v>277.0</v>
      </c>
      <c r="B280" s="3" t="s">
        <v>1572</v>
      </c>
      <c r="C280" s="1">
        <v>3.0</v>
      </c>
      <c r="D280" s="1" t="s">
        <v>561</v>
      </c>
      <c r="E280" s="3" t="s">
        <v>341</v>
      </c>
      <c r="F280" s="1" t="s">
        <v>1573</v>
      </c>
      <c r="G280" t="str">
        <f t="shared" si="1"/>
        <v>Tea Chansii Cupertino              </v>
      </c>
      <c r="H280" s="1" t="str">
        <f>IFERROR(__xludf.DUMMYFUNCTION("SPLIT(B280,""-"")"),"Tea Chansii Cupertino      ")</f>
        <v>Tea Chansii Cupertino      </v>
      </c>
    </row>
    <row r="281">
      <c r="A281" s="1">
        <v>278.0</v>
      </c>
      <c r="B281" s="3" t="s">
        <v>1574</v>
      </c>
      <c r="C281" s="1">
        <v>3.5</v>
      </c>
      <c r="D281" s="1" t="s">
        <v>581</v>
      </c>
      <c r="E281" s="3" t="s">
        <v>341</v>
      </c>
      <c r="F281" s="1" t="s">
        <v>1575</v>
      </c>
      <c r="G281" t="str">
        <f t="shared" si="1"/>
        <v>Verde Tea House Cupertino 2            </v>
      </c>
      <c r="H281" s="1" t="str">
        <f>IFERROR(__xludf.DUMMYFUNCTION("SPLIT(B281,""-"")"),"Verde Tea House Cupertino 2    ")</f>
        <v>Verde Tea House Cupertino 2    </v>
      </c>
    </row>
    <row r="282">
      <c r="A282" s="1">
        <v>279.0</v>
      </c>
      <c r="B282" s="3" t="s">
        <v>1576</v>
      </c>
      <c r="C282" s="1">
        <v>4.0</v>
      </c>
      <c r="D282" s="1" t="s">
        <v>583</v>
      </c>
      <c r="E282" s="3" t="s">
        <v>584</v>
      </c>
      <c r="F282" s="1" t="s">
        <v>1577</v>
      </c>
      <c r="G282" t="str">
        <f t="shared" si="1"/>
        <v>Bubble Tea Time Saratoga             </v>
      </c>
      <c r="H282" s="1" t="str">
        <f>IFERROR(__xludf.DUMMYFUNCTION("SPLIT(B282,""-"")"),"Bubble Tea Time Saratoga     ")</f>
        <v>Bubble Tea Time Saratoga     </v>
      </c>
    </row>
    <row r="283">
      <c r="A283" s="1">
        <v>280.0</v>
      </c>
      <c r="B283" s="3" t="s">
        <v>1578</v>
      </c>
      <c r="C283" s="1">
        <v>4.5</v>
      </c>
      <c r="D283" s="1" t="s">
        <v>586</v>
      </c>
      <c r="E283" s="3" t="s">
        <v>66</v>
      </c>
      <c r="F283" s="1" t="s">
        <v>1579</v>
      </c>
      <c r="G283" t="str">
        <f t="shared" si="1"/>
        <v>The Tea Zone And Fruit Bar Mountain View         </v>
      </c>
      <c r="H283" s="1" t="str">
        <f>IFERROR(__xludf.DUMMYFUNCTION("SPLIT(B283,""-"")"),"The Tea Zone And Fruit Bar Mountain View ")</f>
        <v>The Tea Zone And Fruit Bar Mountain View </v>
      </c>
    </row>
    <row r="284">
      <c r="A284" s="1">
        <v>281.0</v>
      </c>
      <c r="B284" s="3" t="s">
        <v>1580</v>
      </c>
      <c r="C284" s="1">
        <v>4.0</v>
      </c>
      <c r="D284" s="1" t="s">
        <v>588</v>
      </c>
      <c r="E284" s="3" t="s">
        <v>348</v>
      </c>
      <c r="F284" s="1" t="s">
        <v>1581</v>
      </c>
      <c r="G284" t="str">
        <f t="shared" si="1"/>
        <v>Teaspoon Santa Clara 7             </v>
      </c>
      <c r="H284" s="1" t="str">
        <f>IFERROR(__xludf.DUMMYFUNCTION("SPLIT(B284,""-"")"),"Teaspoon Santa Clara 7     ")</f>
        <v>Teaspoon Santa Clara 7     </v>
      </c>
    </row>
    <row r="285">
      <c r="A285" s="1">
        <v>282.0</v>
      </c>
      <c r="B285" s="3" t="s">
        <v>1582</v>
      </c>
      <c r="C285" s="1">
        <v>4.0</v>
      </c>
      <c r="D285" s="1" t="s">
        <v>590</v>
      </c>
      <c r="E285" s="3" t="s">
        <v>348</v>
      </c>
      <c r="F285" s="1" t="s">
        <v>1583</v>
      </c>
      <c r="G285" t="str">
        <f t="shared" si="1"/>
        <v>Beastea Santa Clara              </v>
      </c>
      <c r="H285" s="1" t="str">
        <f>IFERROR(__xludf.DUMMYFUNCTION("SPLIT(B285,""-"")"),"Beastea Santa Clara      ")</f>
        <v>Beastea Santa Clara      </v>
      </c>
    </row>
    <row r="286">
      <c r="A286" s="1">
        <v>283.0</v>
      </c>
      <c r="B286" s="3" t="s">
        <v>1584</v>
      </c>
      <c r="C286" s="1">
        <v>3.5</v>
      </c>
      <c r="D286" s="1" t="s">
        <v>592</v>
      </c>
      <c r="E286" s="3" t="s">
        <v>66</v>
      </c>
      <c r="F286" s="1" t="s">
        <v>1585</v>
      </c>
      <c r="G286" t="str">
        <f t="shared" si="1"/>
        <v>Teaspoon Mountain View              </v>
      </c>
      <c r="H286" s="1" t="str">
        <f>IFERROR(__xludf.DUMMYFUNCTION("SPLIT(B286,""-"")"),"Teaspoon Mountain View      ")</f>
        <v>Teaspoon Mountain View      </v>
      </c>
    </row>
    <row r="287">
      <c r="A287" s="1">
        <v>284.0</v>
      </c>
      <c r="B287" s="3" t="s">
        <v>1586</v>
      </c>
      <c r="C287" s="1">
        <v>4.0</v>
      </c>
      <c r="D287" s="1" t="s">
        <v>594</v>
      </c>
      <c r="E287" s="3" t="s">
        <v>66</v>
      </c>
      <c r="F287" s="1" t="s">
        <v>1587</v>
      </c>
      <c r="G287" t="str">
        <f t="shared" si="1"/>
        <v>Tea Annie Mountain View             </v>
      </c>
      <c r="H287" s="1" t="str">
        <f>IFERROR(__xludf.DUMMYFUNCTION("SPLIT(B287,""-"")"),"Tea Annie Mountain View     ")</f>
        <v>Tea Annie Mountain View     </v>
      </c>
    </row>
    <row r="288">
      <c r="A288" s="1">
        <v>285.0</v>
      </c>
      <c r="B288" s="3" t="s">
        <v>1588</v>
      </c>
      <c r="C288" s="1">
        <v>3.5</v>
      </c>
      <c r="D288" s="1" t="s">
        <v>596</v>
      </c>
      <c r="E288" s="3" t="s">
        <v>66</v>
      </c>
      <c r="F288" s="1" t="s">
        <v>1589</v>
      </c>
      <c r="G288" t="str">
        <f t="shared" si="1"/>
        <v>Verde Tea Cafe Mountain View            </v>
      </c>
      <c r="H288" s="1" t="str">
        <f>IFERROR(__xludf.DUMMYFUNCTION("SPLIT(B288,""-"")"),"Verde Tea Cafe Mountain View    ")</f>
        <v>Verde Tea Cafe Mountain View    </v>
      </c>
    </row>
    <row r="289">
      <c r="A289" s="1">
        <v>286.0</v>
      </c>
      <c r="B289" s="3" t="s">
        <v>1590</v>
      </c>
      <c r="C289" s="1">
        <v>3.5</v>
      </c>
      <c r="D289" s="1" t="s">
        <v>598</v>
      </c>
      <c r="E289" s="3" t="s">
        <v>566</v>
      </c>
      <c r="F289" s="1" t="s">
        <v>1591</v>
      </c>
      <c r="G289" t="str">
        <f t="shared" si="1"/>
        <v>Teafans Sunnyvale               </v>
      </c>
      <c r="H289" s="1" t="str">
        <f>IFERROR(__xludf.DUMMYFUNCTION("SPLIT(B289,""-"")"),"Teafans Sunnyvale       ")</f>
        <v>Teafans Sunnyvale       </v>
      </c>
    </row>
    <row r="290">
      <c r="A290" s="1">
        <v>287.0</v>
      </c>
      <c r="B290" s="3" t="s">
        <v>1592</v>
      </c>
      <c r="C290" s="1">
        <v>3.5</v>
      </c>
      <c r="D290" s="1" t="s">
        <v>600</v>
      </c>
      <c r="E290" s="3" t="s">
        <v>82</v>
      </c>
      <c r="F290" s="1" t="s">
        <v>1593</v>
      </c>
      <c r="G290" t="str">
        <f t="shared" si="1"/>
        <v>85 C Bakery Cafe San Jose 5          </v>
      </c>
      <c r="H290" s="1" t="str">
        <f>IFERROR(__xludf.DUMMYFUNCTION("SPLIT(B290,""-"")"),"85 C Bakery Cafe San Jose 5  ")</f>
        <v>85 C Bakery Cafe San Jose 5  </v>
      </c>
    </row>
    <row r="291">
      <c r="A291" s="1">
        <v>288.0</v>
      </c>
      <c r="B291" s="3" t="s">
        <v>1594</v>
      </c>
      <c r="C291" s="1">
        <v>4.0</v>
      </c>
      <c r="D291" s="1" t="s">
        <v>602</v>
      </c>
      <c r="E291" s="3" t="s">
        <v>82</v>
      </c>
      <c r="F291" s="1" t="s">
        <v>1595</v>
      </c>
      <c r="G291" t="str">
        <f t="shared" si="1"/>
        <v>Matcha Love San Jose 6            </v>
      </c>
      <c r="H291" s="1" t="str">
        <f>IFERROR(__xludf.DUMMYFUNCTION("SPLIT(B291,""-"")"),"Matcha Love San Jose 6    ")</f>
        <v>Matcha Love San Jose 6    </v>
      </c>
    </row>
    <row r="292">
      <c r="A292" s="1">
        <v>289.0</v>
      </c>
      <c r="B292" s="3" t="s">
        <v>1596</v>
      </c>
      <c r="C292" s="1">
        <v>3.5</v>
      </c>
      <c r="D292" s="1" t="s">
        <v>604</v>
      </c>
      <c r="E292" s="3" t="s">
        <v>566</v>
      </c>
      <c r="F292" s="1" t="s">
        <v>1597</v>
      </c>
      <c r="G292" t="str">
        <f t="shared" si="1"/>
        <v>Bambu Sunnyvale 2              </v>
      </c>
      <c r="H292" s="1" t="str">
        <f>IFERROR(__xludf.DUMMYFUNCTION("SPLIT(B292,""-"")"),"Bambu Sunnyvale 2      ")</f>
        <v>Bambu Sunnyvale 2      </v>
      </c>
    </row>
    <row r="293">
      <c r="A293" s="1">
        <v>290.0</v>
      </c>
      <c r="B293" s="3" t="s">
        <v>1598</v>
      </c>
      <c r="C293" s="1">
        <v>4.0</v>
      </c>
      <c r="D293" s="1" t="s">
        <v>606</v>
      </c>
      <c r="E293" s="3" t="s">
        <v>341</v>
      </c>
      <c r="F293" s="1" t="s">
        <v>1599</v>
      </c>
      <c r="G293" t="str">
        <f t="shared" si="1"/>
        <v>Icicles Cupertino               </v>
      </c>
      <c r="H293" s="1" t="str">
        <f>IFERROR(__xludf.DUMMYFUNCTION("SPLIT(B293,""-"")"),"Icicles Cupertino       ")</f>
        <v>Icicles Cupertino       </v>
      </c>
    </row>
    <row r="294">
      <c r="A294" s="1">
        <v>291.0</v>
      </c>
      <c r="B294" s="3" t="s">
        <v>1600</v>
      </c>
      <c r="C294" s="1">
        <v>4.5</v>
      </c>
      <c r="D294" s="1" t="s">
        <v>608</v>
      </c>
      <c r="E294" s="3" t="s">
        <v>566</v>
      </c>
      <c r="F294" s="1" t="s">
        <v>1601</v>
      </c>
      <c r="G294" t="str">
        <f t="shared" si="1"/>
        <v>Sunnywich Cafe Sunnyvale              </v>
      </c>
      <c r="H294" s="1" t="str">
        <f>IFERROR(__xludf.DUMMYFUNCTION("SPLIT(B294,""-"")"),"Sunnywich Cafe Sunnyvale      ")</f>
        <v>Sunnywich Cafe Sunnyvale      </v>
      </c>
    </row>
    <row r="295">
      <c r="A295" s="1">
        <v>292.0</v>
      </c>
      <c r="B295" s="3" t="s">
        <v>1602</v>
      </c>
      <c r="C295" s="1">
        <v>3.5</v>
      </c>
      <c r="D295" s="1" t="s">
        <v>610</v>
      </c>
      <c r="E295" s="3" t="s">
        <v>66</v>
      </c>
      <c r="F295" s="1" t="s">
        <v>1603</v>
      </c>
      <c r="G295" t="str">
        <f t="shared" si="1"/>
        <v>Ocha Tea Café And Restaurant Mountain View 2         </v>
      </c>
      <c r="H295" s="1" t="str">
        <f>IFERROR(__xludf.DUMMYFUNCTION("SPLIT(B295,""-"")"),"Ocha Tea Café And Restaurant Mountain View 2 ")</f>
        <v>Ocha Tea Café And Restaurant Mountain View 2 </v>
      </c>
    </row>
    <row r="296">
      <c r="A296" s="1">
        <v>293.0</v>
      </c>
      <c r="B296" s="3" t="s">
        <v>1604</v>
      </c>
      <c r="C296" s="1">
        <v>3.5</v>
      </c>
      <c r="D296" s="1" t="s">
        <v>612</v>
      </c>
      <c r="E296" s="3" t="s">
        <v>348</v>
      </c>
      <c r="F296" s="1" t="s">
        <v>1605</v>
      </c>
      <c r="G296" t="str">
        <f t="shared" si="1"/>
        <v>Bubble Bay Tea Santa Clara            </v>
      </c>
      <c r="H296" s="1" t="str">
        <f>IFERROR(__xludf.DUMMYFUNCTION("SPLIT(B296,""-"")"),"Bubble Bay Tea Santa Clara    ")</f>
        <v>Bubble Bay Tea Santa Clara    </v>
      </c>
    </row>
    <row r="297">
      <c r="A297" s="1">
        <v>294.0</v>
      </c>
      <c r="B297" s="3" t="s">
        <v>1606</v>
      </c>
      <c r="C297" s="1">
        <v>3.5</v>
      </c>
      <c r="D297" s="1" t="s">
        <v>614</v>
      </c>
      <c r="E297" s="3" t="s">
        <v>82</v>
      </c>
      <c r="F297" s="1" t="s">
        <v>1607</v>
      </c>
      <c r="G297" t="str">
        <f t="shared" si="1"/>
        <v>Jazen Tea San Jose 4            </v>
      </c>
      <c r="H297" s="1" t="str">
        <f>IFERROR(__xludf.DUMMYFUNCTION("SPLIT(B297,""-"")"),"Jazen Tea San Jose 4    ")</f>
        <v>Jazen Tea San Jose 4    </v>
      </c>
    </row>
    <row r="298">
      <c r="A298" s="1">
        <v>295.0</v>
      </c>
      <c r="B298" s="3" t="s">
        <v>1608</v>
      </c>
      <c r="C298" s="1">
        <v>3.5</v>
      </c>
      <c r="D298" s="1" t="s">
        <v>616</v>
      </c>
      <c r="E298" s="3" t="s">
        <v>348</v>
      </c>
      <c r="F298" s="1" t="s">
        <v>1609</v>
      </c>
      <c r="G298" t="str">
        <f t="shared" si="1"/>
        <v>Comebuy Tea And Coffee Santa Clara           </v>
      </c>
      <c r="H298" s="1" t="str">
        <f>IFERROR(__xludf.DUMMYFUNCTION("SPLIT(B298,""-"")"),"Comebuy Tea And Coffee Santa Clara   ")</f>
        <v>Comebuy Tea And Coffee Santa Clara   </v>
      </c>
    </row>
    <row r="299">
      <c r="A299" s="1">
        <v>296.0</v>
      </c>
      <c r="B299" s="3" t="s">
        <v>1610</v>
      </c>
      <c r="C299" s="1">
        <v>3.5</v>
      </c>
      <c r="D299" s="1" t="s">
        <v>618</v>
      </c>
      <c r="E299" s="3" t="s">
        <v>82</v>
      </c>
      <c r="F299" s="1" t="s">
        <v>1611</v>
      </c>
      <c r="G299" t="str">
        <f t="shared" si="1"/>
        <v>Music Tunnel Ktv Cafe San Jose 2          </v>
      </c>
      <c r="H299" s="1" t="str">
        <f>IFERROR(__xludf.DUMMYFUNCTION("SPLIT(B299,""-"")"),"Music Tunnel Ktv Cafe San Jose 2  ")</f>
        <v>Music Tunnel Ktv Cafe San Jose 2  </v>
      </c>
    </row>
    <row r="300">
      <c r="A300" s="1">
        <v>297.0</v>
      </c>
      <c r="B300" s="3" t="s">
        <v>1612</v>
      </c>
      <c r="C300" s="1">
        <v>3.5</v>
      </c>
      <c r="D300" s="1" t="s">
        <v>620</v>
      </c>
      <c r="E300" s="3" t="s">
        <v>348</v>
      </c>
      <c r="F300" s="1" t="s">
        <v>1613</v>
      </c>
      <c r="G300" t="str">
        <f t="shared" si="1"/>
        <v>Jazen Tea Santa Clara 3            </v>
      </c>
      <c r="H300" s="1" t="str">
        <f>IFERROR(__xludf.DUMMYFUNCTION("SPLIT(B300,""-"")"),"Jazen Tea Santa Clara 3    ")</f>
        <v>Jazen Tea Santa Clara 3    </v>
      </c>
    </row>
    <row r="301">
      <c r="A301" s="1">
        <v>298.0</v>
      </c>
      <c r="B301" s="3" t="s">
        <v>1614</v>
      </c>
      <c r="C301" s="1">
        <v>4.0</v>
      </c>
      <c r="D301" s="1" t="s">
        <v>622</v>
      </c>
      <c r="E301" s="3" t="s">
        <v>348</v>
      </c>
      <c r="F301" s="1" t="s">
        <v>1615</v>
      </c>
      <c r="G301" t="str">
        <f t="shared" si="1"/>
        <v>Butterfly Santa Clara              </v>
      </c>
      <c r="H301" s="1" t="str">
        <f>IFERROR(__xludf.DUMMYFUNCTION("SPLIT(B301,""-"")"),"Butterfly Santa Clara      ")</f>
        <v>Butterfly Santa Clara      </v>
      </c>
    </row>
    <row r="302">
      <c r="A302" s="1">
        <v>299.0</v>
      </c>
      <c r="B302" s="3" t="s">
        <v>1616</v>
      </c>
      <c r="C302" s="1">
        <v>3.0</v>
      </c>
      <c r="D302" s="1" t="s">
        <v>624</v>
      </c>
      <c r="E302" s="3" t="s">
        <v>341</v>
      </c>
      <c r="F302" s="1" t="s">
        <v>1617</v>
      </c>
      <c r="G302" t="str">
        <f t="shared" si="1"/>
        <v>Quickly Cupertino               </v>
      </c>
      <c r="H302" s="1" t="str">
        <f>IFERROR(__xludf.DUMMYFUNCTION("SPLIT(B302,""-"")"),"Quickly Cupertino       ")</f>
        <v>Quickly Cupertino       </v>
      </c>
    </row>
    <row r="303">
      <c r="A303" s="1">
        <v>300.0</v>
      </c>
      <c r="B303" s="3" t="s">
        <v>1618</v>
      </c>
      <c r="C303" s="1">
        <v>4.0</v>
      </c>
      <c r="D303" s="1" t="s">
        <v>626</v>
      </c>
      <c r="E303" s="3" t="s">
        <v>348</v>
      </c>
      <c r="F303" s="1" t="s">
        <v>1619</v>
      </c>
      <c r="G303" t="str">
        <f t="shared" si="1"/>
        <v>California Mochi Santa Clara 4            </v>
      </c>
      <c r="H303" s="1" t="str">
        <f>IFERROR(__xludf.DUMMYFUNCTION("SPLIT(B303,""-"")"),"California Mochi Santa Clara 4    ")</f>
        <v>California Mochi Santa Clara 4    </v>
      </c>
    </row>
    <row r="304">
      <c r="A304" s="1">
        <v>301.0</v>
      </c>
      <c r="B304" s="3" t="s">
        <v>1620</v>
      </c>
      <c r="C304" s="1">
        <v>4.0</v>
      </c>
      <c r="D304" s="1" t="s">
        <v>628</v>
      </c>
      <c r="E304" s="3" t="s">
        <v>482</v>
      </c>
      <c r="F304" s="1" t="s">
        <v>1621</v>
      </c>
      <c r="G304" t="str">
        <f t="shared" si="1"/>
        <v>T4 Livermore Livermore 2             </v>
      </c>
      <c r="H304" s="1" t="str">
        <f>IFERROR(__xludf.DUMMYFUNCTION("SPLIT(B304,""-"")"),"T4 Livermore Livermore 2     ")</f>
        <v>T4 Livermore Livermore 2     </v>
      </c>
    </row>
    <row r="305">
      <c r="A305" s="1">
        <v>302.0</v>
      </c>
      <c r="B305" s="3" t="s">
        <v>1622</v>
      </c>
      <c r="C305" s="1">
        <v>4.5</v>
      </c>
      <c r="D305" s="1" t="s">
        <v>630</v>
      </c>
      <c r="E305" s="3" t="s">
        <v>482</v>
      </c>
      <c r="F305" s="1" t="s">
        <v>1623</v>
      </c>
      <c r="G305" t="str">
        <f t="shared" si="1"/>
        <v>Orange Tea Livermore              </v>
      </c>
      <c r="H305" s="1" t="str">
        <f>IFERROR(__xludf.DUMMYFUNCTION("SPLIT(B305,""-"")"),"Orange Tea Livermore      ")</f>
        <v>Orange Tea Livermore      </v>
      </c>
    </row>
    <row r="306">
      <c r="A306" s="1">
        <v>303.0</v>
      </c>
      <c r="B306" s="3" t="s">
        <v>1624</v>
      </c>
      <c r="C306" s="1">
        <v>4.0</v>
      </c>
      <c r="D306" s="1" t="s">
        <v>632</v>
      </c>
      <c r="E306" s="3" t="s">
        <v>482</v>
      </c>
      <c r="F306" s="1" t="s">
        <v>1625</v>
      </c>
      <c r="G306" t="str">
        <f t="shared" si="1"/>
        <v>Big Fat Straw Cafe Livermore 2           </v>
      </c>
      <c r="H306" s="1" t="str">
        <f>IFERROR(__xludf.DUMMYFUNCTION("SPLIT(B306,""-"")"),"Big Fat Straw Cafe Livermore 2   ")</f>
        <v>Big Fat Straw Cafe Livermore 2   </v>
      </c>
    </row>
    <row r="307">
      <c r="A307" s="1">
        <v>304.0</v>
      </c>
      <c r="B307" s="3" t="s">
        <v>1626</v>
      </c>
      <c r="C307" s="1">
        <v>4.0</v>
      </c>
      <c r="D307" s="1" t="s">
        <v>634</v>
      </c>
      <c r="E307" s="3" t="s">
        <v>482</v>
      </c>
      <c r="F307" s="1" t="s">
        <v>1627</v>
      </c>
      <c r="G307" t="str">
        <f t="shared" si="1"/>
        <v>Donut Wheel Livermore              </v>
      </c>
      <c r="H307" s="1" t="str">
        <f>IFERROR(__xludf.DUMMYFUNCTION("SPLIT(B307,""-"")"),"Donut Wheel Livermore      ")</f>
        <v>Donut Wheel Livermore      </v>
      </c>
    </row>
    <row r="308">
      <c r="A308" s="1">
        <v>305.0</v>
      </c>
      <c r="B308" s="3" t="s">
        <v>1628</v>
      </c>
      <c r="C308" s="1">
        <v>3.0</v>
      </c>
      <c r="D308" s="1" t="s">
        <v>636</v>
      </c>
      <c r="E308" s="3" t="s">
        <v>447</v>
      </c>
      <c r="F308" s="1" t="s">
        <v>1629</v>
      </c>
      <c r="G308" t="str">
        <f t="shared" si="1"/>
        <v>T4 San Ramon 3             </v>
      </c>
      <c r="H308" s="1" t="str">
        <f>IFERROR(__xludf.DUMMYFUNCTION("SPLIT(B308,""-"")"),"T4 San Ramon 3     ")</f>
        <v>T4 San Ramon 3     </v>
      </c>
    </row>
    <row r="309">
      <c r="A309" s="1">
        <v>306.0</v>
      </c>
      <c r="B309" s="3" t="s">
        <v>1630</v>
      </c>
      <c r="C309" s="1">
        <v>4.0</v>
      </c>
      <c r="D309" s="1" t="s">
        <v>638</v>
      </c>
      <c r="E309" s="3" t="s">
        <v>482</v>
      </c>
      <c r="F309" s="1" t="s">
        <v>1631</v>
      </c>
      <c r="G309" t="str">
        <f t="shared" si="1"/>
        <v>Saigon Cafe Livermore              </v>
      </c>
      <c r="H309" s="1" t="str">
        <f>IFERROR(__xludf.DUMMYFUNCTION("SPLIT(B309,""-"")"),"Saigon Cafe Livermore      ")</f>
        <v>Saigon Cafe Livermore      </v>
      </c>
    </row>
    <row r="310">
      <c r="A310" s="1">
        <v>307.0</v>
      </c>
      <c r="B310" s="3" t="s">
        <v>1632</v>
      </c>
      <c r="C310" s="1">
        <v>3.5</v>
      </c>
      <c r="D310" s="1" t="s">
        <v>640</v>
      </c>
      <c r="E310" s="3" t="s">
        <v>482</v>
      </c>
      <c r="F310" s="1" t="s">
        <v>1633</v>
      </c>
      <c r="G310" t="str">
        <f t="shared" si="1"/>
        <v>Rice Paper Bistro Livermore             </v>
      </c>
      <c r="H310" s="1" t="str">
        <f>IFERROR(__xludf.DUMMYFUNCTION("SPLIT(B310,""-"")"),"Rice Paper Bistro Livermore     ")</f>
        <v>Rice Paper Bistro Livermore     </v>
      </c>
    </row>
    <row r="311">
      <c r="A311" s="1">
        <v>308.0</v>
      </c>
      <c r="B311" s="3" t="s">
        <v>1634</v>
      </c>
      <c r="C311" s="1">
        <v>4.0</v>
      </c>
      <c r="D311" s="1" t="s">
        <v>642</v>
      </c>
      <c r="E311" s="3" t="s">
        <v>482</v>
      </c>
      <c r="F311" s="1" t="s">
        <v>1635</v>
      </c>
      <c r="G311" t="str">
        <f t="shared" si="1"/>
        <v>Menchies Frozen Yogurt Livermore             </v>
      </c>
      <c r="H311" s="1" t="str">
        <f>IFERROR(__xludf.DUMMYFUNCTION("SPLIT(B311,""-"")"),"Menchies Frozen Yogurt Livermore     ")</f>
        <v>Menchies Frozen Yogurt Livermore     </v>
      </c>
    </row>
    <row r="312">
      <c r="A312" s="1">
        <v>309.0</v>
      </c>
      <c r="B312" s="3" t="s">
        <v>1636</v>
      </c>
      <c r="C312" s="1">
        <v>4.0</v>
      </c>
      <c r="D312" s="1" t="s">
        <v>644</v>
      </c>
      <c r="E312" s="3" t="s">
        <v>9</v>
      </c>
      <c r="F312" s="1" t="s">
        <v>1637</v>
      </c>
      <c r="G312" t="str">
        <f t="shared" si="1"/>
        <v>La Farfalla Bakery Fremont             </v>
      </c>
      <c r="H312" s="1" t="str">
        <f>IFERROR(__xludf.DUMMYFUNCTION("SPLIT(B312,""-"")"),"La Farfalla Bakery Fremont     ")</f>
        <v>La Farfalla Bakery Fremont     </v>
      </c>
    </row>
    <row r="313">
      <c r="A313" s="1">
        <v>310.0</v>
      </c>
      <c r="B313" s="3" t="s">
        <v>1638</v>
      </c>
      <c r="C313" s="1">
        <v>4.0</v>
      </c>
      <c r="D313" s="1" t="s">
        <v>646</v>
      </c>
      <c r="E313" s="3" t="s">
        <v>9</v>
      </c>
      <c r="F313" s="1" t="s">
        <v>1639</v>
      </c>
      <c r="G313" t="str">
        <f t="shared" si="1"/>
        <v>Ice3 Creamery Fremont              </v>
      </c>
      <c r="H313" s="1" t="str">
        <f>IFERROR(__xludf.DUMMYFUNCTION("SPLIT(B313,""-"")"),"Ice3 Creamery Fremont      ")</f>
        <v>Ice3 Creamery Fremont      </v>
      </c>
    </row>
    <row r="314">
      <c r="A314" s="1">
        <v>311.0</v>
      </c>
      <c r="B314" s="3" t="s">
        <v>1640</v>
      </c>
      <c r="C314" s="1">
        <v>4.0</v>
      </c>
      <c r="D314" s="1" t="s">
        <v>648</v>
      </c>
      <c r="E314" s="3" t="s">
        <v>649</v>
      </c>
      <c r="F314" s="1" t="s">
        <v>1641</v>
      </c>
      <c r="G314" t="str">
        <f t="shared" si="1"/>
        <v>Yogurt Shop Danville              </v>
      </c>
      <c r="H314" s="1" t="str">
        <f>IFERROR(__xludf.DUMMYFUNCTION("SPLIT(B314,""-"")"),"Yogurt Shop Danville      ")</f>
        <v>Yogurt Shop Danville      </v>
      </c>
    </row>
    <row r="315">
      <c r="A315" s="1">
        <v>312.0</v>
      </c>
      <c r="B315" s="3" t="s">
        <v>1642</v>
      </c>
      <c r="C315" s="1">
        <v>4.0</v>
      </c>
      <c r="D315" s="1" t="s">
        <v>651</v>
      </c>
      <c r="E315" s="3" t="s">
        <v>9</v>
      </c>
      <c r="F315" s="1" t="s">
        <v>1643</v>
      </c>
      <c r="G315" t="str">
        <f t="shared" si="1"/>
        <v>Bean Scene Cafe Fremont 2            </v>
      </c>
      <c r="H315" s="1" t="str">
        <f>IFERROR(__xludf.DUMMYFUNCTION("SPLIT(B315,""-"")"),"Bean Scene Cafe Fremont 2    ")</f>
        <v>Bean Scene Cafe Fremont 2    </v>
      </c>
    </row>
    <row r="316">
      <c r="A316" s="1">
        <v>313.0</v>
      </c>
      <c r="B316" s="3" t="s">
        <v>1644</v>
      </c>
      <c r="C316" s="1">
        <v>4.0</v>
      </c>
      <c r="D316" s="1" t="s">
        <v>653</v>
      </c>
      <c r="E316" s="3" t="s">
        <v>447</v>
      </c>
      <c r="F316" s="1" t="s">
        <v>1645</v>
      </c>
      <c r="G316" t="str">
        <f t="shared" si="1"/>
        <v>Yogurtland San Ramon              </v>
      </c>
      <c r="H316" s="1" t="str">
        <f>IFERROR(__xludf.DUMMYFUNCTION("SPLIT(B316,""-"")"),"Yogurtland San Ramon      ")</f>
        <v>Yogurtland San Ramon      </v>
      </c>
    </row>
    <row r="317">
      <c r="A317" s="1">
        <v>314.0</v>
      </c>
      <c r="B317" s="3" t="s">
        <v>1646</v>
      </c>
      <c r="C317" s="1">
        <v>4.5</v>
      </c>
      <c r="D317" s="1" t="s">
        <v>655</v>
      </c>
      <c r="E317" s="3" t="s">
        <v>66</v>
      </c>
      <c r="F317" s="1" t="s">
        <v>1647</v>
      </c>
      <c r="G317" t="str">
        <f t="shared" si="1"/>
        <v>Chilly And Munch Mountain View            </v>
      </c>
      <c r="H317" s="1" t="str">
        <f>IFERROR(__xludf.DUMMYFUNCTION("SPLIT(B317,""-"")"),"Chilly And Munch Mountain View    ")</f>
        <v>Chilly And Munch Mountain View    </v>
      </c>
    </row>
    <row r="318">
      <c r="A318" s="1">
        <v>315.0</v>
      </c>
      <c r="B318" s="3" t="s">
        <v>1648</v>
      </c>
      <c r="C318" s="1">
        <v>3.0</v>
      </c>
      <c r="D318" s="1" t="s">
        <v>657</v>
      </c>
      <c r="E318" s="3" t="s">
        <v>66</v>
      </c>
      <c r="F318" s="1" t="s">
        <v>1649</v>
      </c>
      <c r="G318" t="str">
        <f t="shared" si="1"/>
        <v>Jazen Tea Mountain View 3            </v>
      </c>
      <c r="H318" s="1" t="str">
        <f>IFERROR(__xludf.DUMMYFUNCTION("SPLIT(B318,""-"")"),"Jazen Tea Mountain View 3    ")</f>
        <v>Jazen Tea Mountain View 3    </v>
      </c>
    </row>
    <row r="319">
      <c r="A319" s="1">
        <v>316.0</v>
      </c>
      <c r="B319" s="3" t="s">
        <v>1650</v>
      </c>
      <c r="C319" s="1">
        <v>3.5</v>
      </c>
      <c r="D319" s="1" t="s">
        <v>659</v>
      </c>
      <c r="E319" s="3" t="s">
        <v>95</v>
      </c>
      <c r="F319" s="1" t="s">
        <v>1651</v>
      </c>
      <c r="G319" t="str">
        <f t="shared" si="1"/>
        <v>T4 Palo Alto 2             </v>
      </c>
      <c r="H319" s="1" t="str">
        <f>IFERROR(__xludf.DUMMYFUNCTION("SPLIT(B319,""-"")"),"T4 Palo Alto 2     ")</f>
        <v>T4 Palo Alto 2     </v>
      </c>
    </row>
    <row r="320">
      <c r="A320" s="1">
        <v>317.0</v>
      </c>
      <c r="B320" s="3" t="s">
        <v>1652</v>
      </c>
      <c r="C320" s="1">
        <v>3.5</v>
      </c>
      <c r="D320" s="1" t="s">
        <v>661</v>
      </c>
      <c r="E320" s="3" t="s">
        <v>66</v>
      </c>
      <c r="F320" s="1" t="s">
        <v>1653</v>
      </c>
      <c r="G320" t="str">
        <f t="shared" si="1"/>
        <v>Pearl Cafe Mountain View             </v>
      </c>
      <c r="H320" s="1" t="str">
        <f>IFERROR(__xludf.DUMMYFUNCTION("SPLIT(B320,""-"")"),"Pearl Cafe Mountain View     ")</f>
        <v>Pearl Cafe Mountain View     </v>
      </c>
    </row>
    <row r="321">
      <c r="A321" s="1">
        <v>318.0</v>
      </c>
      <c r="B321" s="3" t="s">
        <v>1654</v>
      </c>
      <c r="C321" s="1">
        <v>3.0</v>
      </c>
      <c r="D321" s="1" t="s">
        <v>663</v>
      </c>
      <c r="E321" s="3" t="s">
        <v>66</v>
      </c>
      <c r="F321" s="1" t="s">
        <v>1655</v>
      </c>
      <c r="G321" t="str">
        <f t="shared" si="1"/>
        <v>Tapioca Express Mountain View             </v>
      </c>
      <c r="H321" s="1" t="str">
        <f>IFERROR(__xludf.DUMMYFUNCTION("SPLIT(B321,""-"")"),"Tapioca Express Mountain View     ")</f>
        <v>Tapioca Express Mountain View     </v>
      </c>
    </row>
    <row r="322">
      <c r="A322" s="1">
        <v>319.0</v>
      </c>
      <c r="B322" s="3" t="s">
        <v>1656</v>
      </c>
      <c r="C322" s="1">
        <v>4.5</v>
      </c>
      <c r="D322" s="1" t="s">
        <v>665</v>
      </c>
      <c r="E322" s="3" t="s">
        <v>95</v>
      </c>
      <c r="F322" s="1" t="s">
        <v>1657</v>
      </c>
      <c r="G322" t="str">
        <f t="shared" si="1"/>
        <v>Teaspoon Palo Alto 7             </v>
      </c>
      <c r="H322" s="1" t="str">
        <f>IFERROR(__xludf.DUMMYFUNCTION("SPLIT(B322,""-"")"),"Teaspoon Palo Alto 7     ")</f>
        <v>Teaspoon Palo Alto 7     </v>
      </c>
    </row>
    <row r="323">
      <c r="A323" s="1">
        <v>320.0</v>
      </c>
      <c r="B323" s="3" t="s">
        <v>1658</v>
      </c>
      <c r="C323" s="1">
        <v>4.0</v>
      </c>
      <c r="D323" s="1" t="s">
        <v>667</v>
      </c>
      <c r="E323" s="3" t="s">
        <v>90</v>
      </c>
      <c r="F323" s="1" t="s">
        <v>1659</v>
      </c>
      <c r="G323" t="str">
        <f t="shared" si="1"/>
        <v>Teaspoon Milpitas               </v>
      </c>
      <c r="H323" s="1" t="str">
        <f>IFERROR(__xludf.DUMMYFUNCTION("SPLIT(B323,""-"")"),"Teaspoon Milpitas       ")</f>
        <v>Teaspoon Milpitas       </v>
      </c>
    </row>
    <row r="324">
      <c r="A324" s="1">
        <v>321.0</v>
      </c>
      <c r="B324" s="3" t="s">
        <v>1660</v>
      </c>
      <c r="C324" s="1">
        <v>3.5</v>
      </c>
      <c r="D324" s="1" t="s">
        <v>669</v>
      </c>
      <c r="E324" s="3" t="s">
        <v>90</v>
      </c>
      <c r="F324" s="1" t="s">
        <v>1661</v>
      </c>
      <c r="G324" t="str">
        <f t="shared" si="1"/>
        <v>Teasociety Milpitas               </v>
      </c>
      <c r="H324" s="1" t="str">
        <f>IFERROR(__xludf.DUMMYFUNCTION("SPLIT(B324,""-"")"),"Teasociety Milpitas       ")</f>
        <v>Teasociety Milpitas       </v>
      </c>
    </row>
    <row r="325">
      <c r="A325" s="1">
        <v>322.0</v>
      </c>
      <c r="B325" s="3" t="s">
        <v>1662</v>
      </c>
      <c r="C325" s="1">
        <v>3.5</v>
      </c>
      <c r="D325" s="1" t="s">
        <v>671</v>
      </c>
      <c r="E325" s="3" t="s">
        <v>90</v>
      </c>
      <c r="F325" s="1" t="s">
        <v>1663</v>
      </c>
      <c r="G325" t="str">
        <f t="shared" si="1"/>
        <v>T4 Milpitas               </v>
      </c>
      <c r="H325" s="1" t="str">
        <f>IFERROR(__xludf.DUMMYFUNCTION("SPLIT(B325,""-"")"),"T4 Milpitas       ")</f>
        <v>T4 Milpitas       </v>
      </c>
    </row>
    <row r="326">
      <c r="A326" s="1">
        <v>323.0</v>
      </c>
      <c r="B326" s="3" t="s">
        <v>1664</v>
      </c>
      <c r="C326" s="1">
        <v>4.0</v>
      </c>
      <c r="D326" s="1" t="s">
        <v>673</v>
      </c>
      <c r="E326" s="3" t="s">
        <v>90</v>
      </c>
      <c r="F326" s="1" t="s">
        <v>1665</v>
      </c>
      <c r="G326" t="str">
        <f t="shared" si="1"/>
        <v>Bcute Tea Drinks And Finger Foods Milpitas 2         </v>
      </c>
      <c r="H326" s="1" t="str">
        <f>IFERROR(__xludf.DUMMYFUNCTION("SPLIT(B326,""-"")"),"Bcute Tea Drinks And Finger Foods Milpitas 2 ")</f>
        <v>Bcute Tea Drinks And Finger Foods Milpitas 2 </v>
      </c>
    </row>
    <row r="327">
      <c r="A327" s="1">
        <v>324.0</v>
      </c>
      <c r="B327" s="3" t="s">
        <v>1666</v>
      </c>
      <c r="C327" s="1">
        <v>4.5</v>
      </c>
      <c r="D327" s="1" t="s">
        <v>675</v>
      </c>
      <c r="E327" s="3" t="s">
        <v>90</v>
      </c>
      <c r="F327" s="1" t="s">
        <v>1667</v>
      </c>
      <c r="G327" t="str">
        <f t="shared" si="1"/>
        <v>Poke Xpress Milpitas              </v>
      </c>
      <c r="H327" s="1" t="str">
        <f>IFERROR(__xludf.DUMMYFUNCTION("SPLIT(B327,""-"")"),"Poke Xpress Milpitas      ")</f>
        <v>Poke Xpress Milpitas      </v>
      </c>
    </row>
    <row r="328">
      <c r="A328" s="1">
        <v>325.0</v>
      </c>
      <c r="B328" s="3" t="s">
        <v>1668</v>
      </c>
      <c r="C328" s="1">
        <v>4.0</v>
      </c>
      <c r="D328" s="1" t="s">
        <v>677</v>
      </c>
      <c r="E328" s="3" t="s">
        <v>90</v>
      </c>
      <c r="F328" s="1" t="s">
        <v>1669</v>
      </c>
      <c r="G328" t="str">
        <f t="shared" si="1"/>
        <v>Happy Lemon Milpitas 6             </v>
      </c>
      <c r="H328" s="1" t="str">
        <f>IFERROR(__xludf.DUMMYFUNCTION("SPLIT(B328,""-"")"),"Happy Lemon Milpitas 6     ")</f>
        <v>Happy Lemon Milpitas 6     </v>
      </c>
    </row>
    <row r="329">
      <c r="A329" s="1">
        <v>326.0</v>
      </c>
      <c r="B329" s="3" t="s">
        <v>1670</v>
      </c>
      <c r="C329" s="1">
        <v>4.0</v>
      </c>
      <c r="D329" s="1" t="s">
        <v>679</v>
      </c>
      <c r="E329" s="3" t="s">
        <v>82</v>
      </c>
      <c r="F329" s="1" t="s">
        <v>1671</v>
      </c>
      <c r="G329" t="str">
        <f t="shared" si="1"/>
        <v>Yummi Tea Cafe San Jose 3           </v>
      </c>
      <c r="H329" s="1" t="str">
        <f>IFERROR(__xludf.DUMMYFUNCTION("SPLIT(B329,""-"")"),"Yummi Tea Cafe San Jose 3   ")</f>
        <v>Yummi Tea Cafe San Jose 3   </v>
      </c>
    </row>
    <row r="330">
      <c r="A330" s="1">
        <v>327.0</v>
      </c>
      <c r="B330" s="3" t="s">
        <v>1672</v>
      </c>
      <c r="C330" s="1">
        <v>3.5</v>
      </c>
      <c r="D330" s="1" t="s">
        <v>681</v>
      </c>
      <c r="E330" s="3" t="s">
        <v>90</v>
      </c>
      <c r="F330" s="1" t="s">
        <v>1673</v>
      </c>
      <c r="G330" t="str">
        <f t="shared" si="1"/>
        <v>Sno Crave Tea House Milpitas            </v>
      </c>
      <c r="H330" s="1" t="str">
        <f>IFERROR(__xludf.DUMMYFUNCTION("SPLIT(B330,""-"")"),"Sno Crave Tea House Milpitas    ")</f>
        <v>Sno Crave Tea House Milpitas    </v>
      </c>
    </row>
    <row r="331">
      <c r="A331" s="1">
        <v>328.0</v>
      </c>
      <c r="B331" s="3" t="s">
        <v>1674</v>
      </c>
      <c r="C331" s="1">
        <v>3.5</v>
      </c>
      <c r="D331" s="1" t="s">
        <v>683</v>
      </c>
      <c r="E331" s="3" t="s">
        <v>90</v>
      </c>
      <c r="F331" s="1" t="s">
        <v>1675</v>
      </c>
      <c r="G331" t="str">
        <f t="shared" si="1"/>
        <v>Sancha Bar Milpitas              </v>
      </c>
      <c r="H331" s="1" t="str">
        <f>IFERROR(__xludf.DUMMYFUNCTION("SPLIT(B331,""-"")"),"Sancha Bar Milpitas      ")</f>
        <v>Sancha Bar Milpitas      </v>
      </c>
    </row>
    <row r="332">
      <c r="A332" s="1">
        <v>329.0</v>
      </c>
      <c r="B332" s="3" t="s">
        <v>1676</v>
      </c>
      <c r="C332" s="1">
        <v>3.5</v>
      </c>
      <c r="D332" s="1" t="s">
        <v>685</v>
      </c>
      <c r="E332" s="3" t="s">
        <v>90</v>
      </c>
      <c r="F332" s="1" t="s">
        <v>1677</v>
      </c>
      <c r="G332" t="str">
        <f t="shared" si="1"/>
        <v>Chick And Tea Milpitas 4            </v>
      </c>
      <c r="H332" s="1" t="str">
        <f>IFERROR(__xludf.DUMMYFUNCTION("SPLIT(B332,""-"")"),"Chick And Tea Milpitas 4    ")</f>
        <v>Chick And Tea Milpitas 4    </v>
      </c>
    </row>
    <row r="333">
      <c r="A333" s="1">
        <v>330.0</v>
      </c>
      <c r="B333" s="3" t="s">
        <v>1678</v>
      </c>
      <c r="C333" s="1">
        <v>3.5</v>
      </c>
      <c r="D333" s="1" t="s">
        <v>687</v>
      </c>
      <c r="E333" s="3" t="s">
        <v>82</v>
      </c>
      <c r="F333" s="1" t="s">
        <v>1679</v>
      </c>
      <c r="G333" t="str">
        <f t="shared" si="1"/>
        <v>T4 San Jose              </v>
      </c>
      <c r="H333" s="1" t="str">
        <f>IFERROR(__xludf.DUMMYFUNCTION("SPLIT(B333,""-"")"),"T4 San Jose      ")</f>
        <v>T4 San Jose      </v>
      </c>
    </row>
    <row r="334">
      <c r="A334" s="1">
        <v>331.0</v>
      </c>
      <c r="B334" s="3" t="s">
        <v>1680</v>
      </c>
      <c r="C334" s="1">
        <v>3.5</v>
      </c>
      <c r="D334" s="1" t="s">
        <v>689</v>
      </c>
      <c r="E334" s="3" t="s">
        <v>90</v>
      </c>
      <c r="F334" s="1" t="s">
        <v>1681</v>
      </c>
      <c r="G334" t="str">
        <f t="shared" si="1"/>
        <v>Queens Cafe Milpitas              </v>
      </c>
      <c r="H334" s="1" t="str">
        <f>IFERROR(__xludf.DUMMYFUNCTION("SPLIT(B334,""-"")"),"Queens Cafe Milpitas      ")</f>
        <v>Queens Cafe Milpitas      </v>
      </c>
    </row>
    <row r="335">
      <c r="A335" s="1">
        <v>332.0</v>
      </c>
      <c r="B335" s="3" t="s">
        <v>1682</v>
      </c>
      <c r="C335" s="1">
        <v>4.0</v>
      </c>
      <c r="D335" s="1" t="s">
        <v>691</v>
      </c>
      <c r="E335" s="3" t="s">
        <v>82</v>
      </c>
      <c r="F335" s="1" t="s">
        <v>1683</v>
      </c>
      <c r="G335" t="str">
        <f t="shared" si="1"/>
        <v>The Pennywort San Jose 5            </v>
      </c>
      <c r="H335" s="1" t="str">
        <f>IFERROR(__xludf.DUMMYFUNCTION("SPLIT(B335,""-"")"),"The Pennywort San Jose 5    ")</f>
        <v>The Pennywort San Jose 5    </v>
      </c>
    </row>
    <row r="336">
      <c r="A336" s="1">
        <v>333.0</v>
      </c>
      <c r="B336" s="3" t="s">
        <v>1684</v>
      </c>
      <c r="C336" s="1">
        <v>4.0</v>
      </c>
      <c r="D336" s="1" t="s">
        <v>693</v>
      </c>
      <c r="E336" s="3" t="s">
        <v>82</v>
      </c>
      <c r="F336" s="1" t="s">
        <v>1685</v>
      </c>
      <c r="G336" t="str">
        <f t="shared" si="1"/>
        <v>Bambu San Jose 9             </v>
      </c>
      <c r="H336" s="1" t="str">
        <f>IFERROR(__xludf.DUMMYFUNCTION("SPLIT(B336,""-"")"),"Bambu San Jose 9     ")</f>
        <v>Bambu San Jose 9     </v>
      </c>
    </row>
    <row r="337">
      <c r="A337" s="1">
        <v>334.0</v>
      </c>
      <c r="B337" s="3" t="s">
        <v>1686</v>
      </c>
      <c r="C337" s="1">
        <v>3.0</v>
      </c>
      <c r="D337" s="1" t="s">
        <v>695</v>
      </c>
      <c r="E337" s="3" t="s">
        <v>82</v>
      </c>
      <c r="F337" s="1" t="s">
        <v>1687</v>
      </c>
      <c r="G337" t="str">
        <f t="shared" si="1"/>
        <v>Black Pearl San Jose 2            </v>
      </c>
      <c r="H337" s="1" t="str">
        <f>IFERROR(__xludf.DUMMYFUNCTION("SPLIT(B337,""-"")"),"Black Pearl San Jose 2    ")</f>
        <v>Black Pearl San Jose 2    </v>
      </c>
    </row>
    <row r="338">
      <c r="A338" s="1">
        <v>335.0</v>
      </c>
      <c r="B338" s="3" t="s">
        <v>1688</v>
      </c>
      <c r="C338" s="1">
        <v>4.5</v>
      </c>
      <c r="D338" s="1" t="s">
        <v>693</v>
      </c>
      <c r="E338" s="3" t="s">
        <v>82</v>
      </c>
      <c r="F338" s="1" t="s">
        <v>1689</v>
      </c>
      <c r="G338" t="str">
        <f t="shared" si="1"/>
        <v>Happiness Cafe San Jose             </v>
      </c>
      <c r="H338" s="1" t="str">
        <f>IFERROR(__xludf.DUMMYFUNCTION("SPLIT(B338,""-"")"),"Happiness Cafe San Jose     ")</f>
        <v>Happiness Cafe San Jose     </v>
      </c>
    </row>
    <row r="339">
      <c r="A339" s="1">
        <v>336.0</v>
      </c>
      <c r="B339" s="3" t="s">
        <v>1690</v>
      </c>
      <c r="C339" s="1">
        <v>3.5</v>
      </c>
      <c r="D339" s="1" t="s">
        <v>698</v>
      </c>
      <c r="E339" s="3" t="s">
        <v>90</v>
      </c>
      <c r="F339" s="1" t="s">
        <v>1691</v>
      </c>
      <c r="G339" t="str">
        <f t="shared" si="1"/>
        <v>85 C Bakery Cafe Milpitas 2           </v>
      </c>
      <c r="H339" s="1" t="str">
        <f>IFERROR(__xludf.DUMMYFUNCTION("SPLIT(B339,""-"")"),"85 C Bakery Cafe Milpitas 2   ")</f>
        <v>85 C Bakery Cafe Milpitas 2   </v>
      </c>
    </row>
    <row r="340">
      <c r="A340" s="1">
        <v>337.0</v>
      </c>
      <c r="B340" s="3" t="s">
        <v>1692</v>
      </c>
      <c r="C340" s="1">
        <v>3.5</v>
      </c>
      <c r="D340" s="1" t="s">
        <v>700</v>
      </c>
      <c r="E340" s="3" t="s">
        <v>90</v>
      </c>
      <c r="F340" s="1" t="s">
        <v>1693</v>
      </c>
      <c r="G340" t="str">
        <f t="shared" si="1"/>
        <v>Simpletea Milpitas               </v>
      </c>
      <c r="H340" s="1" t="str">
        <f>IFERROR(__xludf.DUMMYFUNCTION("SPLIT(B340,""-"")"),"Simpletea Milpitas       ")</f>
        <v>Simpletea Milpitas       </v>
      </c>
    </row>
    <row r="341">
      <c r="A341" s="1">
        <v>338.0</v>
      </c>
      <c r="B341" s="3" t="s">
        <v>1694</v>
      </c>
      <c r="C341" s="1">
        <v>3.5</v>
      </c>
      <c r="D341" s="1" t="s">
        <v>702</v>
      </c>
      <c r="E341" s="3" t="s">
        <v>90</v>
      </c>
      <c r="F341" s="1" t="s">
        <v>1695</v>
      </c>
      <c r="G341" t="str">
        <f t="shared" si="1"/>
        <v>Bambu Milpitas 7              </v>
      </c>
      <c r="H341" s="1" t="str">
        <f>IFERROR(__xludf.DUMMYFUNCTION("SPLIT(B341,""-"")"),"Bambu Milpitas 7      ")</f>
        <v>Bambu Milpitas 7      </v>
      </c>
    </row>
    <row r="342">
      <c r="A342" s="1">
        <v>339.0</v>
      </c>
      <c r="B342" s="3" t="s">
        <v>1696</v>
      </c>
      <c r="C342" s="1">
        <v>3.0</v>
      </c>
      <c r="D342" s="1" t="s">
        <v>704</v>
      </c>
      <c r="E342" s="3" t="s">
        <v>348</v>
      </c>
      <c r="F342" s="1" t="s">
        <v>1697</v>
      </c>
      <c r="G342" t="str">
        <f t="shared" si="1"/>
        <v>Fantasia Coffee And Tea Santa Clara           </v>
      </c>
      <c r="H342" s="1" t="str">
        <f>IFERROR(__xludf.DUMMYFUNCTION("SPLIT(B342,""-"")"),"Fantasia Coffee And Tea Santa Clara   ")</f>
        <v>Fantasia Coffee And Tea Santa Clara   </v>
      </c>
    </row>
    <row r="343">
      <c r="A343" s="1">
        <v>340.0</v>
      </c>
      <c r="B343" s="3" t="s">
        <v>1698</v>
      </c>
      <c r="C343" s="1">
        <v>4.0</v>
      </c>
      <c r="D343" s="1" t="s">
        <v>706</v>
      </c>
      <c r="E343" s="3" t="s">
        <v>90</v>
      </c>
      <c r="F343" s="1" t="s">
        <v>1699</v>
      </c>
      <c r="G343" t="str">
        <f t="shared" si="1"/>
        <v>Shihlin Taiwan Street Snacks Milpitas            </v>
      </c>
      <c r="H343" s="1" t="str">
        <f>IFERROR(__xludf.DUMMYFUNCTION("SPLIT(B343,""-"")"),"Shihlin Taiwan Street Snacks Milpitas    ")</f>
        <v>Shihlin Taiwan Street Snacks Milpitas    </v>
      </c>
    </row>
    <row r="344">
      <c r="A344" s="1">
        <v>341.0</v>
      </c>
      <c r="B344" s="3" t="s">
        <v>1700</v>
      </c>
      <c r="C344" s="1">
        <v>2.5</v>
      </c>
      <c r="D344" s="1" t="s">
        <v>708</v>
      </c>
      <c r="E344" s="3" t="s">
        <v>90</v>
      </c>
      <c r="F344" s="1" t="s">
        <v>1701</v>
      </c>
      <c r="G344" t="str">
        <f t="shared" si="1"/>
        <v>Quickly Milpitas 2              </v>
      </c>
      <c r="H344" s="1" t="str">
        <f>IFERROR(__xludf.DUMMYFUNCTION("SPLIT(B344,""-"")"),"Quickly Milpitas 2      ")</f>
        <v>Quickly Milpitas 2      </v>
      </c>
    </row>
    <row r="345">
      <c r="A345" s="1">
        <v>342.0</v>
      </c>
      <c r="B345" s="3" t="s">
        <v>1702</v>
      </c>
      <c r="C345" s="1">
        <v>4.5</v>
      </c>
      <c r="D345" s="1" t="s">
        <v>710</v>
      </c>
      <c r="E345" s="3" t="s">
        <v>82</v>
      </c>
      <c r="F345" s="1" t="s">
        <v>1703</v>
      </c>
      <c r="G345" t="str">
        <f t="shared" si="1"/>
        <v>Honeyberry San Jose 9             </v>
      </c>
      <c r="H345" s="1" t="str">
        <f>IFERROR(__xludf.DUMMYFUNCTION("SPLIT(B345,""-"")"),"Honeyberry San Jose 9     ")</f>
        <v>Honeyberry San Jose 9     </v>
      </c>
    </row>
    <row r="346">
      <c r="A346" s="1">
        <v>343.0</v>
      </c>
      <c r="B346" s="3" t="s">
        <v>1704</v>
      </c>
      <c r="C346" s="1">
        <v>4.0</v>
      </c>
      <c r="D346" s="1" t="s">
        <v>700</v>
      </c>
      <c r="E346" s="3" t="s">
        <v>90</v>
      </c>
      <c r="F346" s="1" t="s">
        <v>1705</v>
      </c>
      <c r="G346" t="str">
        <f t="shared" si="1"/>
        <v>Aroma Coffee And Snacks Milpitas            </v>
      </c>
      <c r="H346" s="1" t="str">
        <f>IFERROR(__xludf.DUMMYFUNCTION("SPLIT(B346,""-"")"),"Aroma Coffee And Snacks Milpitas    ")</f>
        <v>Aroma Coffee And Snacks Milpitas    </v>
      </c>
    </row>
    <row r="347">
      <c r="A347" s="1">
        <v>344.0</v>
      </c>
      <c r="B347" s="3" t="s">
        <v>1706</v>
      </c>
      <c r="C347" s="1">
        <v>4.0</v>
      </c>
      <c r="D347" s="1" t="s">
        <v>713</v>
      </c>
      <c r="E347" s="3" t="s">
        <v>534</v>
      </c>
      <c r="F347" s="1" t="s">
        <v>1707</v>
      </c>
      <c r="G347" t="str">
        <f t="shared" si="1"/>
        <v>Teatime Redwood City              </v>
      </c>
      <c r="H347" s="1" t="str">
        <f>IFERROR(__xludf.DUMMYFUNCTION("SPLIT(B347,""-"")"),"Teatime Redwood City      ")</f>
        <v>Teatime Redwood City      </v>
      </c>
    </row>
    <row r="348">
      <c r="A348" s="1">
        <v>345.0</v>
      </c>
      <c r="B348" s="3" t="s">
        <v>1708</v>
      </c>
      <c r="C348" s="1">
        <v>4.0</v>
      </c>
      <c r="D348" s="1" t="s">
        <v>715</v>
      </c>
      <c r="E348" s="3" t="s">
        <v>534</v>
      </c>
      <c r="F348" s="1" t="s">
        <v>1709</v>
      </c>
      <c r="G348" t="str">
        <f t="shared" si="1"/>
        <v>Comebuy Drinks Redwood City             </v>
      </c>
      <c r="H348" s="1" t="str">
        <f>IFERROR(__xludf.DUMMYFUNCTION("SPLIT(B348,""-"")"),"Comebuy Drinks Redwood City     ")</f>
        <v>Comebuy Drinks Redwood City     </v>
      </c>
    </row>
    <row r="349">
      <c r="A349" s="1">
        <v>346.0</v>
      </c>
      <c r="B349" s="3" t="s">
        <v>1710</v>
      </c>
      <c r="C349" s="1">
        <v>4.0</v>
      </c>
      <c r="D349" s="1" t="s">
        <v>717</v>
      </c>
      <c r="E349" s="3" t="s">
        <v>534</v>
      </c>
      <c r="F349" s="1" t="s">
        <v>1711</v>
      </c>
      <c r="G349" t="str">
        <f t="shared" si="1"/>
        <v>Teaspoon Redwood City              </v>
      </c>
      <c r="H349" s="1" t="str">
        <f>IFERROR(__xludf.DUMMYFUNCTION("SPLIT(B349,""-"")"),"Teaspoon Redwood City      ")</f>
        <v>Teaspoon Redwood City      </v>
      </c>
    </row>
    <row r="350">
      <c r="A350" s="1">
        <v>347.0</v>
      </c>
      <c r="B350" s="3" t="s">
        <v>1712</v>
      </c>
      <c r="C350" s="1">
        <v>4.5</v>
      </c>
      <c r="D350" s="1" t="s">
        <v>719</v>
      </c>
      <c r="E350" s="3" t="s">
        <v>95</v>
      </c>
      <c r="F350" s="1" t="s">
        <v>1713</v>
      </c>
      <c r="G350" t="str">
        <f t="shared" si="1"/>
        <v>Davidstea Palo Alto 2             </v>
      </c>
      <c r="H350" s="1" t="str">
        <f>IFERROR(__xludf.DUMMYFUNCTION("SPLIT(B350,""-"")"),"Davidstea Palo Alto 2     ")</f>
        <v>Davidstea Palo Alto 2     </v>
      </c>
    </row>
    <row r="351">
      <c r="A351" s="1">
        <v>348.0</v>
      </c>
      <c r="B351" s="3" t="s">
        <v>1714</v>
      </c>
      <c r="C351" s="1">
        <v>3.5</v>
      </c>
      <c r="D351" s="1" t="s">
        <v>721</v>
      </c>
      <c r="E351" s="3" t="s">
        <v>95</v>
      </c>
      <c r="F351" s="1" t="s">
        <v>1715</v>
      </c>
      <c r="G351" t="str">
        <f t="shared" si="1"/>
        <v>Pokélove Palo Alto              </v>
      </c>
      <c r="H351" s="1" t="str">
        <f>IFERROR(__xludf.DUMMYFUNCTION("SPLIT(B351,""-"")"),"Pokélove Palo Alto      ")</f>
        <v>Pokélove Palo Alto      </v>
      </c>
    </row>
    <row r="352">
      <c r="A352" s="1">
        <v>349.0</v>
      </c>
      <c r="B352" s="3" t="s">
        <v>1716</v>
      </c>
      <c r="C352" s="1">
        <v>4.0</v>
      </c>
      <c r="D352" s="1" t="s">
        <v>723</v>
      </c>
      <c r="E352" s="3" t="s">
        <v>95</v>
      </c>
      <c r="F352" s="1" t="s">
        <v>1717</v>
      </c>
      <c r="G352" t="str">
        <f t="shared" si="1"/>
        <v>Bare Bowls Palo Alto             </v>
      </c>
      <c r="H352" s="1" t="str">
        <f>IFERROR(__xludf.DUMMYFUNCTION("SPLIT(B352,""-"")"),"Bare Bowls Palo Alto     ")</f>
        <v>Bare Bowls Palo Alto     </v>
      </c>
    </row>
    <row r="353">
      <c r="A353" s="1">
        <v>350.0</v>
      </c>
      <c r="B353" s="3" t="s">
        <v>1718</v>
      </c>
      <c r="C353" s="1">
        <v>3.5</v>
      </c>
      <c r="D353" s="1" t="s">
        <v>725</v>
      </c>
      <c r="E353" s="3" t="s">
        <v>95</v>
      </c>
      <c r="F353" s="1" t="s">
        <v>1719</v>
      </c>
      <c r="G353" t="str">
        <f t="shared" si="1"/>
        <v>Tea Time Palo Alto             </v>
      </c>
      <c r="H353" s="1" t="str">
        <f>IFERROR(__xludf.DUMMYFUNCTION("SPLIT(B353,""-"")"),"Tea Time Palo Alto     ")</f>
        <v>Tea Time Palo Alto     </v>
      </c>
    </row>
    <row r="354">
      <c r="A354" s="1">
        <v>351.0</v>
      </c>
      <c r="B354" s="3" t="s">
        <v>1720</v>
      </c>
      <c r="C354" s="1">
        <v>4.5</v>
      </c>
      <c r="D354" s="1" t="s">
        <v>727</v>
      </c>
      <c r="E354" s="3" t="s">
        <v>95</v>
      </c>
      <c r="F354" s="1" t="s">
        <v>1721</v>
      </c>
      <c r="G354" t="str">
        <f t="shared" si="1"/>
        <v>Chantal Guillon Macarons And Teas Palo Alto 2         </v>
      </c>
      <c r="H354" s="1" t="str">
        <f>IFERROR(__xludf.DUMMYFUNCTION("SPLIT(B354,""-"")"),"Chantal Guillon Macarons And Teas Palo Alto 2 ")</f>
        <v>Chantal Guillon Macarons And Teas Palo Alto 2 </v>
      </c>
    </row>
    <row r="355">
      <c r="A355" s="1">
        <v>352.0</v>
      </c>
      <c r="B355" s="3" t="s">
        <v>1722</v>
      </c>
      <c r="C355" s="1">
        <v>3.5</v>
      </c>
      <c r="D355" s="1" t="s">
        <v>729</v>
      </c>
      <c r="E355" s="3" t="s">
        <v>95</v>
      </c>
      <c r="F355" s="1" t="s">
        <v>1723</v>
      </c>
      <c r="G355" t="str">
        <f t="shared" si="1"/>
        <v>Happy Donuts Palo Alto             </v>
      </c>
      <c r="H355" s="1" t="str">
        <f>IFERROR(__xludf.DUMMYFUNCTION("SPLIT(B355,""-"")"),"Happy Donuts Palo Alto     ")</f>
        <v>Happy Donuts Palo Alto     </v>
      </c>
    </row>
    <row r="356">
      <c r="A356" s="1">
        <v>353.0</v>
      </c>
      <c r="B356" s="3" t="s">
        <v>1724</v>
      </c>
      <c r="C356" s="1">
        <v>3.5</v>
      </c>
      <c r="D356" s="1" t="s">
        <v>731</v>
      </c>
      <c r="E356" s="3" t="s">
        <v>566</v>
      </c>
      <c r="F356" s="1" t="s">
        <v>1725</v>
      </c>
      <c r="G356" t="str">
        <f t="shared" si="1"/>
        <v>Quickly Sunnyvale 4              </v>
      </c>
      <c r="H356" s="1" t="str">
        <f>IFERROR(__xludf.DUMMYFUNCTION("SPLIT(B356,""-"")"),"Quickly Sunnyvale 4      ")</f>
        <v>Quickly Sunnyvale 4      </v>
      </c>
    </row>
    <row r="357">
      <c r="A357" s="1">
        <v>354.0</v>
      </c>
      <c r="B357" s="3" t="s">
        <v>1726</v>
      </c>
      <c r="C357" s="1">
        <v>4.0</v>
      </c>
      <c r="D357" s="1" t="s">
        <v>733</v>
      </c>
      <c r="E357" s="3" t="s">
        <v>95</v>
      </c>
      <c r="F357" s="1" t="s">
        <v>1727</v>
      </c>
      <c r="G357" t="str">
        <f t="shared" si="1"/>
        <v>Fraiche Palo Alto 2             </v>
      </c>
      <c r="H357" s="1" t="str">
        <f>IFERROR(__xludf.DUMMYFUNCTION("SPLIT(B357,""-"")"),"Fraiche Palo Alto 2     ")</f>
        <v>Fraiche Palo Alto 2     </v>
      </c>
    </row>
    <row r="358">
      <c r="A358" s="1">
        <v>355.0</v>
      </c>
      <c r="B358" s="3" t="s">
        <v>1728</v>
      </c>
      <c r="C358" s="1">
        <v>3.0</v>
      </c>
      <c r="D358" s="1" t="s">
        <v>735</v>
      </c>
      <c r="E358" s="3" t="s">
        <v>534</v>
      </c>
      <c r="F358" s="1" t="s">
        <v>1729</v>
      </c>
      <c r="G358" t="str">
        <f t="shared" si="1"/>
        <v>Quickly Redwood City              </v>
      </c>
      <c r="H358" s="1" t="str">
        <f>IFERROR(__xludf.DUMMYFUNCTION("SPLIT(B358,""-"")"),"Quickly Redwood City      ")</f>
        <v>Quickly Redwood City      </v>
      </c>
    </row>
    <row r="359">
      <c r="A359" s="1">
        <v>356.0</v>
      </c>
      <c r="B359" s="3" t="s">
        <v>1730</v>
      </c>
      <c r="C359" s="1">
        <v>3.5</v>
      </c>
      <c r="D359" s="1" t="s">
        <v>737</v>
      </c>
      <c r="E359" s="3" t="s">
        <v>95</v>
      </c>
      <c r="F359" s="1" t="s">
        <v>1731</v>
      </c>
      <c r="G359" t="str">
        <f t="shared" si="1"/>
        <v>Coupa Café Palo Alto 3            </v>
      </c>
      <c r="H359" s="1" t="str">
        <f>IFERROR(__xludf.DUMMYFUNCTION("SPLIT(B359,""-"")"),"Coupa Café Palo Alto 3    ")</f>
        <v>Coupa Café Palo Alto 3    </v>
      </c>
    </row>
    <row r="360">
      <c r="A360" s="1">
        <v>357.0</v>
      </c>
      <c r="B360" s="3" t="s">
        <v>1732</v>
      </c>
      <c r="C360" s="1">
        <v>3.5</v>
      </c>
      <c r="D360" s="1" t="s">
        <v>739</v>
      </c>
      <c r="E360" s="3" t="s">
        <v>95</v>
      </c>
      <c r="F360" s="1" t="s">
        <v>1733</v>
      </c>
      <c r="G360" t="str">
        <f t="shared" si="1"/>
        <v>Cream Palo Alto 3             </v>
      </c>
      <c r="H360" s="1" t="str">
        <f>IFERROR(__xludf.DUMMYFUNCTION("SPLIT(B360,""-"")"),"Cream Palo Alto 3     ")</f>
        <v>Cream Palo Alto 3     </v>
      </c>
    </row>
    <row r="361">
      <c r="A361" s="1">
        <v>358.0</v>
      </c>
      <c r="B361" s="3" t="s">
        <v>1734</v>
      </c>
      <c r="C361" s="1">
        <v>4.0</v>
      </c>
      <c r="D361" s="1" t="s">
        <v>741</v>
      </c>
      <c r="E361" s="3" t="s">
        <v>534</v>
      </c>
      <c r="F361" s="1" t="s">
        <v>1735</v>
      </c>
      <c r="G361" t="str">
        <f t="shared" si="1"/>
        <v>Ohana Express Redwood City 2            </v>
      </c>
      <c r="H361" s="1" t="str">
        <f>IFERROR(__xludf.DUMMYFUNCTION("SPLIT(B361,""-"")"),"Ohana Express Redwood City 2    ")</f>
        <v>Ohana Express Redwood City 2    </v>
      </c>
    </row>
    <row r="362">
      <c r="A362" s="1">
        <v>359.0</v>
      </c>
      <c r="B362" s="3" t="s">
        <v>1736</v>
      </c>
      <c r="C362" s="1">
        <v>4.0</v>
      </c>
      <c r="D362" s="1" t="s">
        <v>743</v>
      </c>
      <c r="E362" s="3" t="s">
        <v>95</v>
      </c>
      <c r="F362" s="1" t="s">
        <v>1737</v>
      </c>
      <c r="G362" t="str">
        <f t="shared" si="1"/>
        <v>Yogurtland Palo Alto              </v>
      </c>
      <c r="H362" s="1" t="str">
        <f>IFERROR(__xludf.DUMMYFUNCTION("SPLIT(B362,""-"")"),"Yogurtland Palo Alto      ")</f>
        <v>Yogurtland Palo Alto      </v>
      </c>
    </row>
    <row r="363">
      <c r="A363" s="1">
        <v>360.0</v>
      </c>
      <c r="B363" s="3" t="s">
        <v>1738</v>
      </c>
      <c r="C363" s="1">
        <v>3.5</v>
      </c>
      <c r="D363" s="1" t="s">
        <v>745</v>
      </c>
      <c r="E363" s="3" t="s">
        <v>95</v>
      </c>
      <c r="F363" s="1" t="s">
        <v>1739</v>
      </c>
      <c r="G363" t="str">
        <f t="shared" si="1"/>
        <v>Coupa Café Lytton Palo Alto            </v>
      </c>
      <c r="H363" s="1" t="str">
        <f>IFERROR(__xludf.DUMMYFUNCTION("SPLIT(B363,""-"")"),"Coupa Café Lytton Palo Alto    ")</f>
        <v>Coupa Café Lytton Palo Alto    </v>
      </c>
    </row>
    <row r="364">
      <c r="A364" s="1">
        <v>361.0</v>
      </c>
      <c r="B364" s="3" t="s">
        <v>1740</v>
      </c>
      <c r="C364" s="1">
        <v>3.5</v>
      </c>
      <c r="D364" s="1" t="s">
        <v>747</v>
      </c>
      <c r="E364" s="3" t="s">
        <v>69</v>
      </c>
      <c r="F364" s="1" t="s">
        <v>1741</v>
      </c>
      <c r="G364" t="str">
        <f t="shared" si="1"/>
        <v>Green Bakery And Café Los Altos 11          </v>
      </c>
      <c r="H364" s="1" t="str">
        <f>IFERROR(__xludf.DUMMYFUNCTION("SPLIT(B364,""-"")"),"Green Bakery And Café Los Altos 11  ")</f>
        <v>Green Bakery And Café Los Altos 11  </v>
      </c>
    </row>
    <row r="365">
      <c r="A365" s="1">
        <v>362.0</v>
      </c>
      <c r="B365" s="3" t="s">
        <v>1742</v>
      </c>
      <c r="C365" s="1">
        <v>3.5</v>
      </c>
      <c r="D365" s="1" t="s">
        <v>749</v>
      </c>
      <c r="E365" s="3" t="s">
        <v>750</v>
      </c>
      <c r="F365" s="1" t="s">
        <v>1743</v>
      </c>
      <c r="G365" t="str">
        <f t="shared" si="1"/>
        <v>Wild Berry Yogurt Menlo Park            </v>
      </c>
      <c r="H365" s="1" t="str">
        <f>IFERROR(__xludf.DUMMYFUNCTION("SPLIT(B365,""-"")"),"Wild Berry Yogurt Menlo Park    ")</f>
        <v>Wild Berry Yogurt Menlo Park    </v>
      </c>
    </row>
    <row r="366">
      <c r="A366" s="1">
        <v>363.0</v>
      </c>
      <c r="B366" s="3" t="s">
        <v>1744</v>
      </c>
      <c r="C366" s="1">
        <v>3.5</v>
      </c>
      <c r="D366" s="1" t="s">
        <v>752</v>
      </c>
      <c r="E366" s="3" t="s">
        <v>69</v>
      </c>
      <c r="F366" s="1" t="s">
        <v>1745</v>
      </c>
      <c r="G366" t="str">
        <f t="shared" si="1"/>
        <v>The Posh Bagel Los Altos            </v>
      </c>
      <c r="H366" s="1" t="str">
        <f>IFERROR(__xludf.DUMMYFUNCTION("SPLIT(B366,""-"")"),"The Posh Bagel Los Altos    ")</f>
        <v>The Posh Bagel Los Altos    </v>
      </c>
    </row>
    <row r="367">
      <c r="A367" s="1">
        <v>364.0</v>
      </c>
      <c r="B367" s="3" t="s">
        <v>1746</v>
      </c>
      <c r="C367" s="1">
        <v>3.5</v>
      </c>
      <c r="D367" s="1" t="s">
        <v>754</v>
      </c>
      <c r="E367" s="3" t="s">
        <v>95</v>
      </c>
      <c r="F367" s="1" t="s">
        <v>1747</v>
      </c>
      <c r="G367" t="str">
        <f t="shared" si="1"/>
        <v>Paris Baguette Palo Alto             </v>
      </c>
      <c r="H367" s="1" t="str">
        <f>IFERROR(__xludf.DUMMYFUNCTION("SPLIT(B367,""-"")"),"Paris Baguette Palo Alto     ")</f>
        <v>Paris Baguette Palo Alto     </v>
      </c>
    </row>
    <row r="368">
      <c r="A368" s="1">
        <v>365.0</v>
      </c>
      <c r="B368" s="3" t="s">
        <v>1748</v>
      </c>
      <c r="C368" s="1">
        <v>5.0</v>
      </c>
      <c r="D368" s="1" t="s">
        <v>756</v>
      </c>
      <c r="E368" s="3" t="s">
        <v>534</v>
      </c>
      <c r="F368" s="1" t="s">
        <v>1749</v>
      </c>
      <c r="G368" t="str">
        <f t="shared" si="1"/>
        <v>Taza Deli And Cafe Redwood City           </v>
      </c>
      <c r="H368" s="1" t="str">
        <f>IFERROR(__xludf.DUMMYFUNCTION("SPLIT(B368,""-"")"),"Taza Deli And Cafe Redwood City   ")</f>
        <v>Taza Deli And Cafe Redwood City   </v>
      </c>
    </row>
    <row r="369">
      <c r="A369" s="1">
        <v>366.0</v>
      </c>
      <c r="B369" s="3" t="s">
        <v>1750</v>
      </c>
      <c r="C369" s="1">
        <v>3.5</v>
      </c>
      <c r="D369" s="1" t="s">
        <v>758</v>
      </c>
      <c r="E369" s="3" t="s">
        <v>95</v>
      </c>
      <c r="F369" s="1" t="s">
        <v>1751</v>
      </c>
      <c r="G369" t="str">
        <f t="shared" si="1"/>
        <v>Rojoz Gourmet Wraps Palo Alto 2           </v>
      </c>
      <c r="H369" s="1" t="str">
        <f>IFERROR(__xludf.DUMMYFUNCTION("SPLIT(B369,""-"")"),"Rojoz Gourmet Wraps Palo Alto 2   ")</f>
        <v>Rojoz Gourmet Wraps Palo Alto 2   </v>
      </c>
    </row>
    <row r="370">
      <c r="A370" s="1">
        <v>367.0</v>
      </c>
      <c r="B370" s="3" t="s">
        <v>1752</v>
      </c>
      <c r="C370" s="1">
        <v>4.0</v>
      </c>
      <c r="D370" s="1" t="s">
        <v>760</v>
      </c>
      <c r="E370" s="3" t="s">
        <v>534</v>
      </c>
      <c r="F370" s="1" t="s">
        <v>1753</v>
      </c>
      <c r="G370" t="str">
        <f t="shared" si="1"/>
        <v>Froyola Redwood City              </v>
      </c>
      <c r="H370" s="1" t="str">
        <f>IFERROR(__xludf.DUMMYFUNCTION("SPLIT(B370,""-"")"),"Froyola Redwood City      ")</f>
        <v>Froyola Redwood City      </v>
      </c>
    </row>
    <row r="371">
      <c r="A371" s="1">
        <v>368.0</v>
      </c>
      <c r="B371" s="3" t="s">
        <v>1754</v>
      </c>
      <c r="C371" s="1">
        <v>5.0</v>
      </c>
      <c r="D371" s="1" t="s">
        <v>762</v>
      </c>
      <c r="E371" s="3" t="s">
        <v>566</v>
      </c>
      <c r="F371" s="1" t="s">
        <v>1755</v>
      </c>
      <c r="G371" t="str">
        <f t="shared" si="1"/>
        <v>Mr Green Bubble Sunnyvale             </v>
      </c>
      <c r="H371" s="1" t="str">
        <f>IFERROR(__xludf.DUMMYFUNCTION("SPLIT(B371,""-"")"),"Mr Green Bubble Sunnyvale     ")</f>
        <v>Mr Green Bubble Sunnyvale     </v>
      </c>
    </row>
    <row r="372">
      <c r="A372" s="1">
        <v>369.0</v>
      </c>
      <c r="B372" s="3" t="s">
        <v>1756</v>
      </c>
      <c r="C372" s="1">
        <v>3.5</v>
      </c>
      <c r="D372" s="1" t="s">
        <v>764</v>
      </c>
      <c r="E372" s="3" t="s">
        <v>765</v>
      </c>
      <c r="F372" s="1" t="s">
        <v>1757</v>
      </c>
      <c r="G372" t="str">
        <f t="shared" si="1"/>
        <v>Coupa Cafe Green Library Stanford            </v>
      </c>
      <c r="H372" s="1" t="str">
        <f>IFERROR(__xludf.DUMMYFUNCTION("SPLIT(B372,""-"")"),"Coupa Cafe Green Library Stanford    ")</f>
        <v>Coupa Cafe Green Library Stanford    </v>
      </c>
    </row>
    <row r="373">
      <c r="A373" s="1">
        <v>370.0</v>
      </c>
      <c r="B373" s="3" t="s">
        <v>1758</v>
      </c>
      <c r="C373" s="1">
        <v>3.5</v>
      </c>
      <c r="D373" s="1" t="s">
        <v>767</v>
      </c>
      <c r="E373" s="3" t="s">
        <v>95</v>
      </c>
      <c r="F373" s="1" t="s">
        <v>1759</v>
      </c>
      <c r="G373" t="str">
        <f t="shared" si="1"/>
        <v>Dohatsuten Palo Alto              </v>
      </c>
      <c r="H373" s="1" t="str">
        <f>IFERROR(__xludf.DUMMYFUNCTION("SPLIT(B373,""-"")"),"Dohatsuten Palo Alto      ")</f>
        <v>Dohatsuten Palo Alto      </v>
      </c>
    </row>
    <row r="374">
      <c r="A374" s="1">
        <v>371.0</v>
      </c>
      <c r="B374" s="3" t="s">
        <v>1760</v>
      </c>
      <c r="C374" s="1">
        <v>2.0</v>
      </c>
      <c r="D374" s="1" t="s">
        <v>769</v>
      </c>
      <c r="E374" s="3" t="s">
        <v>66</v>
      </c>
      <c r="F374" s="1" t="s">
        <v>1761</v>
      </c>
      <c r="G374" t="str">
        <f t="shared" si="1"/>
        <v>Panda Express Mountain View 2            </v>
      </c>
      <c r="H374" s="1" t="str">
        <f>IFERROR(__xludf.DUMMYFUNCTION("SPLIT(B374,""-"")"),"Panda Express Mountain View 2    ")</f>
        <v>Panda Express Mountain View 2    </v>
      </c>
    </row>
    <row r="375">
      <c r="A375" s="1">
        <v>372.0</v>
      </c>
      <c r="B375" s="3" t="s">
        <v>1762</v>
      </c>
      <c r="C375" s="1">
        <v>3.5</v>
      </c>
      <c r="D375" s="1" t="s">
        <v>771</v>
      </c>
      <c r="E375" s="3" t="s">
        <v>66</v>
      </c>
      <c r="F375" s="1" t="s">
        <v>1763</v>
      </c>
      <c r="G375" t="str">
        <f t="shared" si="1"/>
        <v>Nekter Juice Bar Mountain View            </v>
      </c>
      <c r="H375" s="1" t="str">
        <f>IFERROR(__xludf.DUMMYFUNCTION("SPLIT(B375,""-"")"),"Nekter Juice Bar Mountain View    ")</f>
        <v>Nekter Juice Bar Mountain View    </v>
      </c>
    </row>
    <row r="376">
      <c r="A376" s="1">
        <v>373.0</v>
      </c>
      <c r="B376" s="3" t="s">
        <v>1764</v>
      </c>
      <c r="C376" s="1">
        <v>4.0</v>
      </c>
      <c r="D376" s="1" t="s">
        <v>772</v>
      </c>
      <c r="E376" s="3" t="s">
        <v>534</v>
      </c>
      <c r="F376" s="1" t="s">
        <v>1765</v>
      </c>
      <c r="G376" t="str">
        <f t="shared" si="1"/>
        <v>Green Leaf Asian Bistro And Cafe Redwood City 2        </v>
      </c>
      <c r="H376" s="1" t="str">
        <f>IFERROR(__xludf.DUMMYFUNCTION("SPLIT(B376,""-"")"),"Green Leaf Asian Bistro And Cafe Redwood City 2")</f>
        <v>Green Leaf Asian Bistro And Cafe Redwood City 2</v>
      </c>
    </row>
    <row r="377">
      <c r="A377" s="1">
        <v>374.0</v>
      </c>
      <c r="B377" s="3" t="s">
        <v>1766</v>
      </c>
      <c r="C377" s="1">
        <v>3.5</v>
      </c>
      <c r="D377" s="1" t="s">
        <v>773</v>
      </c>
      <c r="E377" s="3" t="s">
        <v>750</v>
      </c>
      <c r="F377" s="1" t="s">
        <v>1767</v>
      </c>
      <c r="G377" t="str">
        <f t="shared" si="1"/>
        <v>Koma Sushi Restaurant Menlo Park 3           </v>
      </c>
      <c r="H377" s="1" t="str">
        <f>IFERROR(__xludf.DUMMYFUNCTION("SPLIT(B377,""-"")"),"Koma Sushi Restaurant Menlo Park 3   ")</f>
        <v>Koma Sushi Restaurant Menlo Park 3   </v>
      </c>
    </row>
    <row r="378">
      <c r="A378" s="1">
        <v>375.0</v>
      </c>
      <c r="B378" s="3" t="s">
        <v>1768</v>
      </c>
      <c r="C378" s="1">
        <v>2.5</v>
      </c>
      <c r="D378" s="1" t="s">
        <v>774</v>
      </c>
      <c r="E378" s="3" t="s">
        <v>765</v>
      </c>
      <c r="F378" s="1" t="s">
        <v>1769</v>
      </c>
      <c r="G378" t="str">
        <f t="shared" si="1"/>
        <v>The Axe And Palm Stanford            </v>
      </c>
      <c r="H378" s="1" t="str">
        <f>IFERROR(__xludf.DUMMYFUNCTION("SPLIT(B378,""-"")"),"The Axe And Palm Stanford    ")</f>
        <v>The Axe And Palm Stanford    </v>
      </c>
    </row>
    <row r="379">
      <c r="A379" s="1">
        <v>376.0</v>
      </c>
      <c r="B379" s="3" t="s">
        <v>1770</v>
      </c>
      <c r="C379" s="1">
        <v>4.0</v>
      </c>
      <c r="D379" s="1" t="s">
        <v>775</v>
      </c>
      <c r="E379" s="3" t="s">
        <v>566</v>
      </c>
      <c r="F379" s="1" t="s">
        <v>1771</v>
      </c>
      <c r="G379" t="str">
        <f t="shared" si="1"/>
        <v>Cocohodo Sunnyvale 2              </v>
      </c>
      <c r="H379" s="1" t="str">
        <f>IFERROR(__xludf.DUMMYFUNCTION("SPLIT(B379,""-"")"),"Cocohodo Sunnyvale 2      ")</f>
        <v>Cocohodo Sunnyvale 2      </v>
      </c>
    </row>
    <row r="380">
      <c r="A380" s="1">
        <v>377.0</v>
      </c>
      <c r="B380" s="3" t="s">
        <v>1772</v>
      </c>
      <c r="C380" s="1">
        <v>3.5</v>
      </c>
      <c r="D380" s="1" t="s">
        <v>776</v>
      </c>
      <c r="E380" s="3" t="s">
        <v>566</v>
      </c>
      <c r="F380" s="1" t="s">
        <v>1773</v>
      </c>
      <c r="G380" t="str">
        <f t="shared" si="1"/>
        <v>Hotpot First Sunnyvale              </v>
      </c>
      <c r="H380" s="1" t="str">
        <f>IFERROR(__xludf.DUMMYFUNCTION("SPLIT(B380,""-"")"),"Hotpot First Sunnyvale      ")</f>
        <v>Hotpot First Sunnyvale      </v>
      </c>
    </row>
    <row r="381">
      <c r="A381" s="1">
        <v>378.0</v>
      </c>
      <c r="B381" s="3" t="s">
        <v>1774</v>
      </c>
      <c r="C381" s="1">
        <v>3.5</v>
      </c>
      <c r="D381" s="1" t="s">
        <v>777</v>
      </c>
      <c r="E381" s="3" t="s">
        <v>566</v>
      </c>
      <c r="F381" s="1" t="s">
        <v>1775</v>
      </c>
      <c r="G381" t="str">
        <f t="shared" si="1"/>
        <v>Bean Scene Sunnyvale              </v>
      </c>
      <c r="H381" s="1" t="str">
        <f>IFERROR(__xludf.DUMMYFUNCTION("SPLIT(B381,""-"")"),"Bean Scene Sunnyvale      ")</f>
        <v>Bean Scene Sunnyvale      </v>
      </c>
    </row>
    <row r="382">
      <c r="A382" s="1">
        <v>379.0</v>
      </c>
      <c r="B382" s="3" t="s">
        <v>1776</v>
      </c>
      <c r="C382" s="1">
        <v>3.5</v>
      </c>
      <c r="D382" s="1" t="s">
        <v>778</v>
      </c>
      <c r="E382" s="3" t="s">
        <v>348</v>
      </c>
      <c r="F382" s="1" t="s">
        <v>1777</v>
      </c>
      <c r="G382" t="str">
        <f t="shared" si="1"/>
        <v>Sharetea Santa Clara 7             </v>
      </c>
      <c r="H382" s="1" t="str">
        <f>IFERROR(__xludf.DUMMYFUNCTION("SPLIT(B382,""-"")"),"Sharetea Santa Clara 7     ")</f>
        <v>Sharetea Santa Clara 7     </v>
      </c>
    </row>
    <row r="383">
      <c r="A383" s="1">
        <v>380.0</v>
      </c>
      <c r="B383" s="3" t="s">
        <v>1778</v>
      </c>
      <c r="C383" s="1">
        <v>2.5</v>
      </c>
      <c r="D383" s="1" t="s">
        <v>779</v>
      </c>
      <c r="E383" s="3" t="s">
        <v>348</v>
      </c>
      <c r="F383" s="1" t="s">
        <v>1779</v>
      </c>
      <c r="G383" t="str">
        <f t="shared" si="1"/>
        <v>Jazen Tea Santa Clara Santa Clara           </v>
      </c>
      <c r="H383" s="1" t="str">
        <f>IFERROR(__xludf.DUMMYFUNCTION("SPLIT(B383,""-"")"),"Jazen Tea Santa Clara Santa Clara   ")</f>
        <v>Jazen Tea Santa Clara Santa Clara   </v>
      </c>
    </row>
    <row r="384">
      <c r="A384" s="1">
        <v>381.0</v>
      </c>
      <c r="B384" s="3" t="s">
        <v>1780</v>
      </c>
      <c r="C384" s="1">
        <v>3.5</v>
      </c>
      <c r="D384" s="1" t="s">
        <v>780</v>
      </c>
      <c r="E384" s="3" t="s">
        <v>348</v>
      </c>
      <c r="F384" s="1" t="s">
        <v>1781</v>
      </c>
      <c r="G384" t="str">
        <f t="shared" si="1"/>
        <v>Honeyberry Santa Clara              </v>
      </c>
      <c r="H384" s="1" t="str">
        <f>IFERROR(__xludf.DUMMYFUNCTION("SPLIT(B384,""-"")"),"Honeyberry Santa Clara      ")</f>
        <v>Honeyberry Santa Clara      </v>
      </c>
    </row>
    <row r="385">
      <c r="A385" s="1">
        <v>382.0</v>
      </c>
      <c r="B385" s="3" t="s">
        <v>1782</v>
      </c>
      <c r="C385" s="1">
        <v>4.5</v>
      </c>
      <c r="D385" s="1" t="s">
        <v>781</v>
      </c>
      <c r="E385" s="3" t="s">
        <v>348</v>
      </c>
      <c r="F385" s="1" t="s">
        <v>1783</v>
      </c>
      <c r="G385" t="str">
        <f t="shared" si="1"/>
        <v>World Wrapps 2 0 Santa Clara           </v>
      </c>
      <c r="H385" s="1" t="str">
        <f>IFERROR(__xludf.DUMMYFUNCTION("SPLIT(B385,""-"")"),"World Wrapps 2 0 Santa Clara   ")</f>
        <v>World Wrapps 2 0 Santa Clara   </v>
      </c>
    </row>
    <row r="386">
      <c r="A386" s="1">
        <v>383.0</v>
      </c>
      <c r="B386" s="3" t="s">
        <v>1784</v>
      </c>
      <c r="C386" s="1">
        <v>2.5</v>
      </c>
      <c r="D386" s="1" t="s">
        <v>778</v>
      </c>
      <c r="E386" s="3" t="s">
        <v>348</v>
      </c>
      <c r="F386" s="1" t="s">
        <v>1785</v>
      </c>
      <c r="G386" t="str">
        <f t="shared" si="1"/>
        <v>Youji Fresh Rolls Wine And Tea Santa Clara         </v>
      </c>
      <c r="H386" s="1" t="str">
        <f>IFERROR(__xludf.DUMMYFUNCTION("SPLIT(B386,""-"")"),"Youji Fresh Rolls Wine And Tea Santa Clara ")</f>
        <v>Youji Fresh Rolls Wine And Tea Santa Clara </v>
      </c>
    </row>
    <row r="387">
      <c r="A387" s="1">
        <v>384.0</v>
      </c>
      <c r="B387" s="3" t="s">
        <v>1786</v>
      </c>
      <c r="C387" s="1">
        <v>3.5</v>
      </c>
      <c r="D387" s="1" t="s">
        <v>622</v>
      </c>
      <c r="E387" s="3" t="s">
        <v>348</v>
      </c>
      <c r="F387" s="1" t="s">
        <v>1787</v>
      </c>
      <c r="G387" t="str">
        <f t="shared" si="1"/>
        <v>Frozos Frozen Yogurt Santa Clara            </v>
      </c>
      <c r="H387" s="1" t="str">
        <f>IFERROR(__xludf.DUMMYFUNCTION("SPLIT(B387,""-"")"),"Frozos Frozen Yogurt Santa Clara    ")</f>
        <v>Frozos Frozen Yogurt Santa Clara    </v>
      </c>
    </row>
    <row r="388">
      <c r="A388" s="1">
        <v>385.0</v>
      </c>
      <c r="B388" s="3" t="s">
        <v>1788</v>
      </c>
      <c r="C388" s="1">
        <v>3.5</v>
      </c>
      <c r="D388" s="1" t="s">
        <v>782</v>
      </c>
      <c r="E388" s="3" t="s">
        <v>783</v>
      </c>
      <c r="F388" s="1" t="s">
        <v>1789</v>
      </c>
      <c r="G388" t="str">
        <f t="shared" si="1"/>
        <v>Cool Tea Bar South San Francisco 4          </v>
      </c>
      <c r="H388" s="1" t="str">
        <f>IFERROR(__xludf.DUMMYFUNCTION("SPLIT(B388,""-"")"),"Cool Tea Bar South San Francisco 4  ")</f>
        <v>Cool Tea Bar South San Francisco 4  </v>
      </c>
    </row>
    <row r="389">
      <c r="A389" s="1">
        <v>386.0</v>
      </c>
      <c r="B389" s="3" t="s">
        <v>1790</v>
      </c>
      <c r="C389" s="1">
        <v>4.5</v>
      </c>
      <c r="D389" s="1" t="s">
        <v>784</v>
      </c>
      <c r="E389" s="3" t="s">
        <v>785</v>
      </c>
      <c r="F389" s="1" t="s">
        <v>1791</v>
      </c>
      <c r="G389" t="str">
        <f t="shared" si="1"/>
        <v>Tiger Tea And Juice Burlingame 3           </v>
      </c>
      <c r="H389" s="1" t="str">
        <f>IFERROR(__xludf.DUMMYFUNCTION("SPLIT(B389,""-"")"),"Tiger Tea And Juice Burlingame 3   ")</f>
        <v>Tiger Tea And Juice Burlingame 3   </v>
      </c>
    </row>
    <row r="390">
      <c r="A390" s="1">
        <v>387.0</v>
      </c>
      <c r="B390" s="3" t="s">
        <v>1792</v>
      </c>
      <c r="C390" s="1">
        <v>4.5</v>
      </c>
      <c r="D390" s="1" t="s">
        <v>786</v>
      </c>
      <c r="E390" s="3" t="s">
        <v>787</v>
      </c>
      <c r="F390" s="1" t="s">
        <v>1793</v>
      </c>
      <c r="G390" t="str">
        <f t="shared" si="1"/>
        <v>Aqua Club Dessert And Beverage San Bruno          </v>
      </c>
      <c r="H390" s="1" t="str">
        <f>IFERROR(__xludf.DUMMYFUNCTION("SPLIT(B390,""-"")"),"Aqua Club Dessert And Beverage San Bruno  ")</f>
        <v>Aqua Club Dessert And Beverage San Bruno  </v>
      </c>
    </row>
    <row r="391">
      <c r="A391" s="1">
        <v>388.0</v>
      </c>
      <c r="B391" s="3" t="s">
        <v>1794</v>
      </c>
      <c r="C391" s="1">
        <v>4.0</v>
      </c>
      <c r="D391" s="1" t="s">
        <v>788</v>
      </c>
      <c r="E391" s="3" t="s">
        <v>789</v>
      </c>
      <c r="F391" s="1" t="s">
        <v>1795</v>
      </c>
      <c r="G391" t="str">
        <f t="shared" si="1"/>
        <v>Bobabia San Mateo              </v>
      </c>
      <c r="H391" s="1" t="str">
        <f>IFERROR(__xludf.DUMMYFUNCTION("SPLIT(B391,""-"")"),"Bobabia San Mateo      ")</f>
        <v>Bobabia San Mateo      </v>
      </c>
    </row>
    <row r="392">
      <c r="A392" s="1">
        <v>389.0</v>
      </c>
      <c r="B392" s="3" t="s">
        <v>1796</v>
      </c>
      <c r="C392" s="1">
        <v>4.0</v>
      </c>
      <c r="D392" s="1" t="s">
        <v>790</v>
      </c>
      <c r="E392" s="3" t="s">
        <v>785</v>
      </c>
      <c r="F392" s="1" t="s">
        <v>1797</v>
      </c>
      <c r="G392" t="str">
        <f t="shared" si="1"/>
        <v>Happy Lemon Burlingame 4             </v>
      </c>
      <c r="H392" s="1" t="str">
        <f>IFERROR(__xludf.DUMMYFUNCTION("SPLIT(B392,""-"")"),"Happy Lemon Burlingame 4     ")</f>
        <v>Happy Lemon Burlingame 4     </v>
      </c>
    </row>
    <row r="393">
      <c r="A393" s="1">
        <v>390.0</v>
      </c>
      <c r="B393" s="3" t="s">
        <v>1798</v>
      </c>
      <c r="C393" s="1">
        <v>4.0</v>
      </c>
      <c r="D393" s="1" t="s">
        <v>791</v>
      </c>
      <c r="E393" s="3" t="s">
        <v>783</v>
      </c>
      <c r="F393" s="1" t="s">
        <v>1799</v>
      </c>
      <c r="G393" t="str">
        <f t="shared" si="1"/>
        <v>Eggettes South San Francisco             </v>
      </c>
      <c r="H393" s="1" t="str">
        <f>IFERROR(__xludf.DUMMYFUNCTION("SPLIT(B393,""-"")"),"Eggettes South San Francisco     ")</f>
        <v>Eggettes South San Francisco     </v>
      </c>
    </row>
    <row r="394">
      <c r="A394" s="1">
        <v>391.0</v>
      </c>
      <c r="B394" s="3" t="s">
        <v>1800</v>
      </c>
      <c r="C394" s="1">
        <v>4.0</v>
      </c>
      <c r="D394" s="1" t="s">
        <v>792</v>
      </c>
      <c r="E394" s="3" t="s">
        <v>785</v>
      </c>
      <c r="F394" s="1" t="s">
        <v>1801</v>
      </c>
      <c r="G394" t="str">
        <f t="shared" si="1"/>
        <v>Tpumps Burlingame               </v>
      </c>
      <c r="H394" s="1" t="str">
        <f>IFERROR(__xludf.DUMMYFUNCTION("SPLIT(B394,""-"")"),"Tpumps Burlingame       ")</f>
        <v>Tpumps Burlingame       </v>
      </c>
    </row>
    <row r="395">
      <c r="A395" s="1">
        <v>392.0</v>
      </c>
      <c r="B395" s="3" t="s">
        <v>1802</v>
      </c>
      <c r="C395" s="1">
        <v>4.0</v>
      </c>
      <c r="D395" s="1" t="s">
        <v>793</v>
      </c>
      <c r="E395" s="3" t="s">
        <v>789</v>
      </c>
      <c r="F395" s="1" t="s">
        <v>1803</v>
      </c>
      <c r="G395" t="str">
        <f t="shared" si="1"/>
        <v>Teaspoon San Mateo              </v>
      </c>
      <c r="H395" s="1" t="str">
        <f>IFERROR(__xludf.DUMMYFUNCTION("SPLIT(B395,""-"")"),"Teaspoon San Mateo      ")</f>
        <v>Teaspoon San Mateo      </v>
      </c>
    </row>
    <row r="396">
      <c r="A396" s="1">
        <v>393.0</v>
      </c>
      <c r="B396" s="3" t="s">
        <v>1804</v>
      </c>
      <c r="C396" s="1">
        <v>4.0</v>
      </c>
      <c r="D396" s="1" t="s">
        <v>794</v>
      </c>
      <c r="E396" s="3" t="s">
        <v>789</v>
      </c>
      <c r="F396" s="1" t="s">
        <v>1805</v>
      </c>
      <c r="G396" t="str">
        <f t="shared" si="1"/>
        <v>Cha Express San Mateo             </v>
      </c>
      <c r="H396" s="1" t="str">
        <f>IFERROR(__xludf.DUMMYFUNCTION("SPLIT(B396,""-"")"),"Cha Express San Mateo     ")</f>
        <v>Cha Express San Mateo     </v>
      </c>
    </row>
    <row r="397">
      <c r="A397" s="1">
        <v>394.0</v>
      </c>
      <c r="B397" s="3" t="s">
        <v>1806</v>
      </c>
      <c r="C397" s="1">
        <v>4.0</v>
      </c>
      <c r="D397" s="1" t="s">
        <v>795</v>
      </c>
      <c r="E397" s="3" t="s">
        <v>796</v>
      </c>
      <c r="F397" s="1" t="s">
        <v>1807</v>
      </c>
      <c r="G397" t="str">
        <f t="shared" si="1"/>
        <v>Search Tea Millbrae 5             </v>
      </c>
      <c r="H397" s="1" t="str">
        <f>IFERROR(__xludf.DUMMYFUNCTION("SPLIT(B397,""-"")"),"Search Tea Millbrae 5     ")</f>
        <v>Search Tea Millbrae 5     </v>
      </c>
    </row>
    <row r="398">
      <c r="A398" s="1">
        <v>395.0</v>
      </c>
      <c r="B398" s="3" t="s">
        <v>1808</v>
      </c>
      <c r="C398" s="1">
        <v>4.0</v>
      </c>
      <c r="D398" s="1" t="s">
        <v>797</v>
      </c>
      <c r="E398" s="3" t="s">
        <v>798</v>
      </c>
      <c r="F398" s="1" t="s">
        <v>1809</v>
      </c>
      <c r="G398" t="str">
        <f t="shared" si="1"/>
        <v>Tea World Pacifica              </v>
      </c>
      <c r="H398" s="1" t="str">
        <f>IFERROR(__xludf.DUMMYFUNCTION("SPLIT(B398,""-"")"),"Tea World Pacifica      ")</f>
        <v>Tea World Pacifica      </v>
      </c>
    </row>
    <row r="399">
      <c r="A399" s="1">
        <v>396.0</v>
      </c>
      <c r="B399" s="3" t="s">
        <v>1810</v>
      </c>
      <c r="C399" s="1">
        <v>3.5</v>
      </c>
      <c r="D399" s="1" t="s">
        <v>799</v>
      </c>
      <c r="E399" s="3" t="s">
        <v>796</v>
      </c>
      <c r="F399" s="1" t="s">
        <v>1811</v>
      </c>
      <c r="G399" t="str">
        <f t="shared" si="1"/>
        <v>T4 Millbrae 10              </v>
      </c>
      <c r="H399" s="1" t="str">
        <f>IFERROR(__xludf.DUMMYFUNCTION("SPLIT(B399,""-"")"),"T4 Millbrae 10      ")</f>
        <v>T4 Millbrae 10      </v>
      </c>
    </row>
    <row r="400">
      <c r="A400" s="1">
        <v>397.0</v>
      </c>
      <c r="B400" s="3" t="s">
        <v>1812</v>
      </c>
      <c r="C400" s="1">
        <v>5.0</v>
      </c>
      <c r="D400" s="1" t="s">
        <v>800</v>
      </c>
      <c r="E400" s="3" t="s">
        <v>785</v>
      </c>
      <c r="F400" s="1" t="s">
        <v>1813</v>
      </c>
      <c r="G400" t="str">
        <f t="shared" si="1"/>
        <v>I Tea Burlingame 2             </v>
      </c>
      <c r="H400" s="1" t="str">
        <f>IFERROR(__xludf.DUMMYFUNCTION("SPLIT(B400,""-"")"),"I Tea Burlingame 2     ")</f>
        <v>I Tea Burlingame 2     </v>
      </c>
    </row>
    <row r="401">
      <c r="A401" s="1">
        <v>398.0</v>
      </c>
      <c r="B401" s="3" t="s">
        <v>1814</v>
      </c>
      <c r="C401" s="1">
        <v>3.5</v>
      </c>
      <c r="D401" s="1" t="s">
        <v>801</v>
      </c>
      <c r="E401" s="3" t="s">
        <v>802</v>
      </c>
      <c r="F401" s="1" t="s">
        <v>1815</v>
      </c>
      <c r="G401" t="str">
        <f t="shared" si="1"/>
        <v>Boba Dude Half Moon Bay            </v>
      </c>
      <c r="H401" s="1" t="str">
        <f>IFERROR(__xludf.DUMMYFUNCTION("SPLIT(B401,""-"")"),"Boba Dude Half Moon Bay    ")</f>
        <v>Boba Dude Half Moon Bay    </v>
      </c>
    </row>
    <row r="402">
      <c r="A402" s="1">
        <v>399.0</v>
      </c>
      <c r="B402" s="3" t="s">
        <v>1816</v>
      </c>
      <c r="C402" s="1">
        <v>4.0</v>
      </c>
      <c r="D402" s="1" t="s">
        <v>803</v>
      </c>
      <c r="E402" s="3" t="s">
        <v>796</v>
      </c>
      <c r="F402" s="1" t="s">
        <v>1817</v>
      </c>
      <c r="G402" t="str">
        <f t="shared" si="1"/>
        <v>Eggettes Millbrae 2              </v>
      </c>
      <c r="H402" s="1" t="str">
        <f>IFERROR(__xludf.DUMMYFUNCTION("SPLIT(B402,""-"")"),"Eggettes Millbrae 2      ")</f>
        <v>Eggettes Millbrae 2      </v>
      </c>
    </row>
    <row r="403">
      <c r="A403" s="1">
        <v>400.0</v>
      </c>
      <c r="B403" s="3" t="s">
        <v>1818</v>
      </c>
      <c r="C403" s="1">
        <v>3.5</v>
      </c>
      <c r="D403" s="1" t="s">
        <v>804</v>
      </c>
      <c r="E403" s="3" t="s">
        <v>789</v>
      </c>
      <c r="F403" s="1" t="s">
        <v>1819</v>
      </c>
      <c r="G403" t="str">
        <f t="shared" si="1"/>
        <v>Gong Cha San Mateo 2            </v>
      </c>
      <c r="H403" s="1" t="str">
        <f>IFERROR(__xludf.DUMMYFUNCTION("SPLIT(B403,""-"")"),"Gong Cha San Mateo 2    ")</f>
        <v>Gong Cha San Mateo 2    </v>
      </c>
    </row>
    <row r="404">
      <c r="A404" s="1">
        <v>401.0</v>
      </c>
      <c r="B404" s="3" t="s">
        <v>1820</v>
      </c>
      <c r="C404" s="1">
        <v>3.5</v>
      </c>
      <c r="D404" s="1" t="s">
        <v>805</v>
      </c>
      <c r="E404" s="3" t="s">
        <v>783</v>
      </c>
      <c r="F404" s="1" t="s">
        <v>1821</v>
      </c>
      <c r="G404" t="str">
        <f t="shared" si="1"/>
        <v>Bambu South San Francisco             </v>
      </c>
      <c r="H404" s="1" t="str">
        <f>IFERROR(__xludf.DUMMYFUNCTION("SPLIT(B404,""-"")"),"Bambu South San Francisco     ")</f>
        <v>Bambu South San Francisco     </v>
      </c>
    </row>
    <row r="405">
      <c r="A405" s="1">
        <v>402.0</v>
      </c>
      <c r="B405" s="3" t="s">
        <v>1822</v>
      </c>
      <c r="C405" s="1">
        <v>3.5</v>
      </c>
      <c r="D405" s="1" t="s">
        <v>806</v>
      </c>
      <c r="E405" s="3" t="s">
        <v>789</v>
      </c>
      <c r="F405" s="1" t="s">
        <v>1823</v>
      </c>
      <c r="G405" t="str">
        <f t="shared" si="1"/>
        <v>Super Cue Cafe San Mateo 2           </v>
      </c>
      <c r="H405" s="1" t="str">
        <f>IFERROR(__xludf.DUMMYFUNCTION("SPLIT(B405,""-"")"),"Super Cue Cafe San Mateo 2   ")</f>
        <v>Super Cue Cafe San Mateo 2   </v>
      </c>
    </row>
    <row r="406">
      <c r="A406" s="1">
        <v>403.0</v>
      </c>
      <c r="B406" s="3" t="s">
        <v>1824</v>
      </c>
      <c r="C406" s="1">
        <v>4.0</v>
      </c>
      <c r="D406" s="1" t="s">
        <v>807</v>
      </c>
      <c r="E406" s="3" t="s">
        <v>789</v>
      </c>
      <c r="F406" s="1" t="s">
        <v>1825</v>
      </c>
      <c r="G406" t="str">
        <f t="shared" si="1"/>
        <v>Bambu San Mateo 2             </v>
      </c>
      <c r="H406" s="1" t="str">
        <f>IFERROR(__xludf.DUMMYFUNCTION("SPLIT(B406,""-"")"),"Bambu San Mateo 2     ")</f>
        <v>Bambu San Mateo 2     </v>
      </c>
    </row>
    <row r="407">
      <c r="A407" s="1">
        <v>404.0</v>
      </c>
      <c r="B407" s="3" t="s">
        <v>1826</v>
      </c>
      <c r="C407" s="1">
        <v>4.0</v>
      </c>
      <c r="D407" s="1" t="s">
        <v>808</v>
      </c>
      <c r="E407" s="3" t="s">
        <v>789</v>
      </c>
      <c r="F407" s="1" t="s">
        <v>1827</v>
      </c>
      <c r="G407" t="str">
        <f t="shared" si="1"/>
        <v>Eggettes San Mateo              </v>
      </c>
      <c r="H407" s="1" t="str">
        <f>IFERROR(__xludf.DUMMYFUNCTION("SPLIT(B407,""-"")"),"Eggettes San Mateo      ")</f>
        <v>Eggettes San Mateo      </v>
      </c>
    </row>
    <row r="408">
      <c r="A408" s="1">
        <v>405.0</v>
      </c>
      <c r="B408" s="3" t="s">
        <v>1828</v>
      </c>
      <c r="C408" s="1">
        <v>3.5</v>
      </c>
      <c r="D408" s="1" t="s">
        <v>809</v>
      </c>
      <c r="E408" s="3" t="s">
        <v>789</v>
      </c>
      <c r="F408" s="1" t="s">
        <v>1829</v>
      </c>
      <c r="G408" t="str">
        <f t="shared" si="1"/>
        <v>Chatime San Mateo 2             </v>
      </c>
      <c r="H408" s="1" t="str">
        <f>IFERROR(__xludf.DUMMYFUNCTION("SPLIT(B408,""-"")"),"Chatime San Mateo 2     ")</f>
        <v>Chatime San Mateo 2     </v>
      </c>
    </row>
    <row r="409">
      <c r="A409" s="1">
        <v>406.0</v>
      </c>
      <c r="B409" s="3" t="s">
        <v>1830</v>
      </c>
      <c r="C409" s="1">
        <v>4.0</v>
      </c>
      <c r="D409" s="1" t="s">
        <v>810</v>
      </c>
      <c r="E409" s="3" t="s">
        <v>811</v>
      </c>
      <c r="F409" s="1" t="s">
        <v>1831</v>
      </c>
      <c r="G409" t="str">
        <f t="shared" si="1"/>
        <v>Tpumps Foster City              </v>
      </c>
      <c r="H409" s="1" t="str">
        <f>IFERROR(__xludf.DUMMYFUNCTION("SPLIT(B409,""-"")"),"Tpumps Foster City      ")</f>
        <v>Tpumps Foster City      </v>
      </c>
    </row>
    <row r="410">
      <c r="A410" s="1">
        <v>407.0</v>
      </c>
      <c r="B410" s="3" t="s">
        <v>1832</v>
      </c>
      <c r="C410" s="1">
        <v>4.0</v>
      </c>
      <c r="D410" s="1" t="s">
        <v>812</v>
      </c>
      <c r="E410" s="3" t="s">
        <v>789</v>
      </c>
      <c r="F410" s="1" t="s">
        <v>1833</v>
      </c>
      <c r="G410" t="str">
        <f t="shared" si="1"/>
        <v>Creme Brewlee San Mateo 2            </v>
      </c>
      <c r="H410" s="1" t="str">
        <f>IFERROR(__xludf.DUMMYFUNCTION("SPLIT(B410,""-"")"),"Creme Brewlee San Mateo 2    ")</f>
        <v>Creme Brewlee San Mateo 2    </v>
      </c>
    </row>
    <row r="411">
      <c r="A411" s="1">
        <v>408.0</v>
      </c>
      <c r="B411" s="3" t="s">
        <v>1834</v>
      </c>
      <c r="C411" s="1">
        <v>3.5</v>
      </c>
      <c r="D411" s="1" t="s">
        <v>813</v>
      </c>
      <c r="E411" s="3" t="s">
        <v>811</v>
      </c>
      <c r="F411" s="1" t="s">
        <v>1835</v>
      </c>
      <c r="G411" t="str">
        <f t="shared" si="1"/>
        <v>Chatime Foster City              </v>
      </c>
      <c r="H411" s="1" t="str">
        <f>IFERROR(__xludf.DUMMYFUNCTION("SPLIT(B411,""-"")"),"Chatime Foster City      ")</f>
        <v>Chatime Foster City      </v>
      </c>
    </row>
    <row r="412">
      <c r="A412" s="1">
        <v>409.0</v>
      </c>
      <c r="B412" s="3" t="s">
        <v>1836</v>
      </c>
      <c r="C412" s="1">
        <v>3.5</v>
      </c>
      <c r="D412" s="1" t="s">
        <v>814</v>
      </c>
      <c r="E412" s="3" t="s">
        <v>789</v>
      </c>
      <c r="F412" s="1" t="s">
        <v>1837</v>
      </c>
      <c r="G412" t="str">
        <f t="shared" si="1"/>
        <v>Quickly San Mateo              </v>
      </c>
      <c r="H412" s="1" t="str">
        <f>IFERROR(__xludf.DUMMYFUNCTION("SPLIT(B412,""-"")"),"Quickly San Mateo      ")</f>
        <v>Quickly San Mateo      </v>
      </c>
    </row>
    <row r="413">
      <c r="A413" s="1">
        <v>410.0</v>
      </c>
      <c r="B413" s="3" t="s">
        <v>1838</v>
      </c>
      <c r="C413" s="1">
        <v>3.0</v>
      </c>
      <c r="D413" s="1" t="s">
        <v>815</v>
      </c>
      <c r="E413" s="3" t="s">
        <v>789</v>
      </c>
      <c r="F413" s="1" t="s">
        <v>1839</v>
      </c>
      <c r="G413" t="str">
        <f t="shared" si="1"/>
        <v>Fresh Nation Desserts San Mateo 2           </v>
      </c>
      <c r="H413" s="1" t="str">
        <f>IFERROR(__xludf.DUMMYFUNCTION("SPLIT(B413,""-"")"),"Fresh Nation Desserts San Mateo 2   ")</f>
        <v>Fresh Nation Desserts San Mateo 2   </v>
      </c>
    </row>
    <row r="414">
      <c r="A414" s="1">
        <v>411.0</v>
      </c>
      <c r="B414" s="3" t="s">
        <v>1840</v>
      </c>
      <c r="C414" s="1">
        <v>4.0</v>
      </c>
      <c r="D414" s="1" t="s">
        <v>816</v>
      </c>
      <c r="E414" s="3" t="s">
        <v>817</v>
      </c>
      <c r="F414" s="1" t="s">
        <v>1841</v>
      </c>
      <c r="G414" t="str">
        <f t="shared" si="1"/>
        <v>Ya Ua Yogurt And Boba Tea Belmont 2         </v>
      </c>
      <c r="H414" s="1" t="str">
        <f>IFERROR(__xludf.DUMMYFUNCTION("SPLIT(B414,""-"")"),"Ya Ua Yogurt And Boba Tea Belmont 2 ")</f>
        <v>Ya Ua Yogurt And Boba Tea Belmont 2 </v>
      </c>
    </row>
    <row r="415">
      <c r="A415" s="1">
        <v>412.0</v>
      </c>
      <c r="B415" s="3" t="s">
        <v>1842</v>
      </c>
      <c r="C415" s="1">
        <v>4.5</v>
      </c>
      <c r="D415" s="1" t="s">
        <v>818</v>
      </c>
      <c r="E415" s="3" t="s">
        <v>789</v>
      </c>
      <c r="F415" s="1" t="s">
        <v>1843</v>
      </c>
      <c r="G415" t="str">
        <f t="shared" si="1"/>
        <v>Snacks San Mateo 2             </v>
      </c>
      <c r="H415" s="1" t="str">
        <f>IFERROR(__xludf.DUMMYFUNCTION("SPLIT(B415,""-"")"),"Snacks San Mateo 2     ")</f>
        <v>Snacks San Mateo 2     </v>
      </c>
    </row>
    <row r="416">
      <c r="A416" s="1">
        <v>413.0</v>
      </c>
      <c r="B416" s="3" t="s">
        <v>1844</v>
      </c>
      <c r="C416" s="1">
        <v>3.5</v>
      </c>
      <c r="D416" s="1" t="s">
        <v>819</v>
      </c>
      <c r="E416" s="3" t="s">
        <v>789</v>
      </c>
      <c r="F416" s="1" t="s">
        <v>1845</v>
      </c>
      <c r="G416" t="str">
        <f t="shared" si="1"/>
        <v>Dessert Republic San Mateo             </v>
      </c>
      <c r="H416" s="1" t="str">
        <f>IFERROR(__xludf.DUMMYFUNCTION("SPLIT(B416,""-"")"),"Dessert Republic San Mateo     ")</f>
        <v>Dessert Republic San Mateo     </v>
      </c>
    </row>
    <row r="417">
      <c r="A417" s="1">
        <v>414.0</v>
      </c>
      <c r="B417" s="3" t="s">
        <v>1846</v>
      </c>
      <c r="C417" s="1">
        <v>4.5</v>
      </c>
      <c r="D417" s="1" t="s">
        <v>820</v>
      </c>
      <c r="E417" s="3" t="s">
        <v>531</v>
      </c>
      <c r="F417" s="1" t="s">
        <v>1847</v>
      </c>
      <c r="G417" t="str">
        <f t="shared" si="1"/>
        <v>Mints And Honey San Carlos            </v>
      </c>
      <c r="H417" s="1" t="str">
        <f>IFERROR(__xludf.DUMMYFUNCTION("SPLIT(B417,""-"")"),"Mints And Honey San Carlos    ")</f>
        <v>Mints And Honey San Carlos    </v>
      </c>
    </row>
    <row r="418">
      <c r="A418" s="1">
        <v>415.0</v>
      </c>
      <c r="B418" s="3" t="s">
        <v>1848</v>
      </c>
      <c r="C418" s="1">
        <v>4.5</v>
      </c>
      <c r="D418" s="1" t="s">
        <v>821</v>
      </c>
      <c r="E418" s="3" t="s">
        <v>796</v>
      </c>
      <c r="F418" s="1" t="s">
        <v>1849</v>
      </c>
      <c r="G418" t="str">
        <f t="shared" si="1"/>
        <v>Bambu Millbrae 2              </v>
      </c>
      <c r="H418" s="1" t="str">
        <f>IFERROR(__xludf.DUMMYFUNCTION("SPLIT(B418,""-"")"),"Bambu Millbrae 2      ")</f>
        <v>Bambu Millbrae 2      </v>
      </c>
    </row>
    <row r="419">
      <c r="A419" s="1">
        <v>416.0</v>
      </c>
      <c r="B419" s="3" t="s">
        <v>1850</v>
      </c>
      <c r="C419" s="1">
        <v>4.0</v>
      </c>
      <c r="D419" s="1" t="s">
        <v>822</v>
      </c>
      <c r="E419" s="3" t="s">
        <v>789</v>
      </c>
      <c r="F419" s="1" t="s">
        <v>1851</v>
      </c>
      <c r="G419" t="str">
        <f t="shared" si="1"/>
        <v>Icicles San Mateo              </v>
      </c>
      <c r="H419" s="1" t="str">
        <f>IFERROR(__xludf.DUMMYFUNCTION("SPLIT(B419,""-"")"),"Icicles San Mateo      ")</f>
        <v>Icicles San Mateo      </v>
      </c>
    </row>
    <row r="420">
      <c r="A420" s="1">
        <v>417.0</v>
      </c>
      <c r="B420" s="3" t="s">
        <v>1852</v>
      </c>
      <c r="C420" s="1">
        <v>4.5</v>
      </c>
      <c r="D420" s="1" t="s">
        <v>823</v>
      </c>
      <c r="E420" s="3" t="s">
        <v>789</v>
      </c>
      <c r="F420" s="1" t="s">
        <v>1853</v>
      </c>
      <c r="G420" t="str">
        <f t="shared" si="1"/>
        <v>Kingkat Bar And Eatery San Mateo 2          </v>
      </c>
      <c r="H420" s="1" t="str">
        <f>IFERROR(__xludf.DUMMYFUNCTION("SPLIT(B420,""-"")"),"Kingkat Bar And Eatery San Mateo 2  ")</f>
        <v>Kingkat Bar And Eatery San Mateo 2  </v>
      </c>
    </row>
    <row r="421">
      <c r="A421" s="1">
        <v>418.0</v>
      </c>
      <c r="B421" s="3" t="s">
        <v>1854</v>
      </c>
      <c r="C421" s="1">
        <v>3.5</v>
      </c>
      <c r="D421" s="1" t="s">
        <v>824</v>
      </c>
      <c r="E421" s="3" t="s">
        <v>785</v>
      </c>
      <c r="F421" s="1" t="s">
        <v>1855</v>
      </c>
      <c r="G421" t="str">
        <f t="shared" si="1"/>
        <v>Quickly Burlingame 2              </v>
      </c>
      <c r="H421" s="1" t="str">
        <f>IFERROR(__xludf.DUMMYFUNCTION("SPLIT(B421,""-"")"),"Quickly Burlingame 2      ")</f>
        <v>Quickly Burlingame 2      </v>
      </c>
    </row>
    <row r="422">
      <c r="A422" s="1">
        <v>419.0</v>
      </c>
      <c r="B422" s="3" t="s">
        <v>1856</v>
      </c>
      <c r="C422" s="1">
        <v>4.5</v>
      </c>
      <c r="D422" s="1" t="s">
        <v>825</v>
      </c>
      <c r="E422" s="3" t="s">
        <v>789</v>
      </c>
      <c r="F422" s="1" t="s">
        <v>1857</v>
      </c>
      <c r="G422" t="str">
        <f t="shared" si="1"/>
        <v>Antoines Cookie Shop San Mateo 3           </v>
      </c>
      <c r="H422" s="1" t="str">
        <f>IFERROR(__xludf.DUMMYFUNCTION("SPLIT(B422,""-"")"),"Antoines Cookie Shop San Mateo 3   ")</f>
        <v>Antoines Cookie Shop San Mateo 3   </v>
      </c>
    </row>
    <row r="423">
      <c r="A423" s="1">
        <v>420.0</v>
      </c>
      <c r="B423" s="3" t="s">
        <v>1858</v>
      </c>
      <c r="C423" s="1">
        <v>3.0</v>
      </c>
      <c r="D423" s="1" t="s">
        <v>826</v>
      </c>
      <c r="E423" s="3" t="s">
        <v>811</v>
      </c>
      <c r="F423" s="1" t="s">
        <v>1859</v>
      </c>
      <c r="G423" t="str">
        <f t="shared" si="1"/>
        <v>Quickly Foster City 3             </v>
      </c>
      <c r="H423" s="1" t="str">
        <f>IFERROR(__xludf.DUMMYFUNCTION("SPLIT(B423,""-"")"),"Quickly Foster City 3     ")</f>
        <v>Quickly Foster City 3     </v>
      </c>
    </row>
    <row r="424">
      <c r="A424" s="1">
        <v>421.0</v>
      </c>
      <c r="B424" s="3" t="s">
        <v>1860</v>
      </c>
      <c r="C424" s="1">
        <v>4.0</v>
      </c>
      <c r="D424" s="1" t="s">
        <v>827</v>
      </c>
      <c r="E424" s="3" t="s">
        <v>811</v>
      </c>
      <c r="F424" s="1" t="s">
        <v>1861</v>
      </c>
      <c r="G424" t="str">
        <f t="shared" si="1"/>
        <v>Moo Moo Yogurt Foster City            </v>
      </c>
      <c r="H424" s="1" t="str">
        <f>IFERROR(__xludf.DUMMYFUNCTION("SPLIT(B424,""-"")"),"Moo Moo Yogurt Foster City    ")</f>
        <v>Moo Moo Yogurt Foster City    </v>
      </c>
    </row>
    <row r="425">
      <c r="A425" s="1">
        <v>422.0</v>
      </c>
      <c r="B425" s="3" t="s">
        <v>1862</v>
      </c>
      <c r="C425" s="1">
        <v>4.0</v>
      </c>
      <c r="D425" s="1" t="s">
        <v>828</v>
      </c>
      <c r="E425" s="3" t="s">
        <v>789</v>
      </c>
      <c r="F425" s="1" t="s">
        <v>1863</v>
      </c>
      <c r="G425" t="str">
        <f t="shared" si="1"/>
        <v>Clear Optometry San Mateo             </v>
      </c>
      <c r="H425" s="1" t="str">
        <f>IFERROR(__xludf.DUMMYFUNCTION("SPLIT(B425,""-"")"),"Clear Optometry San Mateo     ")</f>
        <v>Clear Optometry San Mateo     </v>
      </c>
    </row>
    <row r="426">
      <c r="A426" s="1">
        <v>423.0</v>
      </c>
      <c r="B426" s="3" t="s">
        <v>1864</v>
      </c>
      <c r="C426" s="1">
        <v>3.0</v>
      </c>
      <c r="D426" s="1" t="s">
        <v>829</v>
      </c>
      <c r="E426" s="3" t="s">
        <v>789</v>
      </c>
      <c r="F426" s="1" t="s">
        <v>1865</v>
      </c>
      <c r="G426" t="str">
        <f t="shared" si="1"/>
        <v>Boiling Point San Mateo             </v>
      </c>
      <c r="H426" s="1" t="str">
        <f>IFERROR(__xludf.DUMMYFUNCTION("SPLIT(B426,""-"")"),"Boiling Point San Mateo     ")</f>
        <v>Boiling Point San Mateo     </v>
      </c>
    </row>
    <row r="427">
      <c r="A427" s="1">
        <v>424.0</v>
      </c>
      <c r="B427" s="3" t="s">
        <v>1866</v>
      </c>
      <c r="C427" s="1">
        <v>4.0</v>
      </c>
      <c r="D427" s="1" t="s">
        <v>830</v>
      </c>
      <c r="E427" s="3" t="s">
        <v>789</v>
      </c>
      <c r="F427" s="1" t="s">
        <v>1867</v>
      </c>
      <c r="G427" t="str">
        <f t="shared" si="1"/>
        <v>Cream San Mateo              </v>
      </c>
      <c r="H427" s="1" t="str">
        <f>IFERROR(__xludf.DUMMYFUNCTION("SPLIT(B427,""-"")"),"Cream San Mateo      ")</f>
        <v>Cream San Mateo      </v>
      </c>
    </row>
    <row r="428">
      <c r="A428" s="1">
        <v>425.0</v>
      </c>
      <c r="B428" s="3" t="s">
        <v>1868</v>
      </c>
      <c r="C428" s="1">
        <v>4.0</v>
      </c>
      <c r="D428" s="1" t="s">
        <v>831</v>
      </c>
      <c r="E428" s="3" t="s">
        <v>789</v>
      </c>
      <c r="F428" s="1" t="s">
        <v>1869</v>
      </c>
      <c r="G428" t="str">
        <f t="shared" si="1"/>
        <v>Poke Island Creasian Kitchen San Mateo           </v>
      </c>
      <c r="H428" s="1" t="str">
        <f>IFERROR(__xludf.DUMMYFUNCTION("SPLIT(B428,""-"")"),"Poke Island Creasian Kitchen San Mateo   ")</f>
        <v>Poke Island Creasian Kitchen San Mateo   </v>
      </c>
    </row>
    <row r="429">
      <c r="A429" s="1">
        <v>426.0</v>
      </c>
      <c r="B429" s="3" t="s">
        <v>1870</v>
      </c>
      <c r="C429" s="1">
        <v>5.0</v>
      </c>
      <c r="D429" s="1" t="s">
        <v>832</v>
      </c>
      <c r="E429" s="3" t="s">
        <v>785</v>
      </c>
      <c r="F429" s="1" t="s">
        <v>1871</v>
      </c>
      <c r="G429" t="str">
        <f t="shared" si="1"/>
        <v>Waterfront Cafe Burlingame              </v>
      </c>
      <c r="H429" s="1" t="str">
        <f>IFERROR(__xludf.DUMMYFUNCTION("SPLIT(B429,""-"")"),"Waterfront Cafe Burlingame      ")</f>
        <v>Waterfront Cafe Burlingame      </v>
      </c>
    </row>
    <row r="430">
      <c r="A430" s="1">
        <v>427.0</v>
      </c>
      <c r="B430" s="3" t="s">
        <v>1872</v>
      </c>
      <c r="C430" s="1">
        <v>3.5</v>
      </c>
      <c r="D430" s="1" t="s">
        <v>833</v>
      </c>
      <c r="E430" s="3" t="s">
        <v>787</v>
      </c>
      <c r="F430" s="1" t="s">
        <v>1873</v>
      </c>
      <c r="G430" t="str">
        <f t="shared" si="1"/>
        <v>Never Too Latte San Bruno 2           </v>
      </c>
      <c r="H430" s="1" t="str">
        <f>IFERROR(__xludf.DUMMYFUNCTION("SPLIT(B430,""-"")"),"Never Too Latte San Bruno 2   ")</f>
        <v>Never Too Latte San Bruno 2   </v>
      </c>
    </row>
    <row r="431">
      <c r="A431" s="1">
        <v>428.0</v>
      </c>
      <c r="B431" s="3" t="s">
        <v>1874</v>
      </c>
      <c r="C431" s="1">
        <v>4.5</v>
      </c>
      <c r="D431" s="1" t="s">
        <v>834</v>
      </c>
      <c r="E431" s="3" t="s">
        <v>785</v>
      </c>
      <c r="F431" s="1" t="s">
        <v>1875</v>
      </c>
      <c r="G431" t="str">
        <f t="shared" si="1"/>
        <v>Jougert Bar Burlingame              </v>
      </c>
      <c r="H431" s="1" t="str">
        <f>IFERROR(__xludf.DUMMYFUNCTION("SPLIT(B431,""-"")"),"Jougert Bar Burlingame      ")</f>
        <v>Jougert Bar Burlingame      </v>
      </c>
    </row>
    <row r="432">
      <c r="A432" s="1">
        <v>429.0</v>
      </c>
      <c r="B432" s="3" t="s">
        <v>1876</v>
      </c>
      <c r="C432" s="1">
        <v>4.0</v>
      </c>
      <c r="D432" s="1" t="s">
        <v>835</v>
      </c>
      <c r="E432" s="3" t="s">
        <v>789</v>
      </c>
      <c r="F432" s="1" t="s">
        <v>1877</v>
      </c>
      <c r="G432" t="str">
        <f t="shared" si="1"/>
        <v>Mini Coffee San Mateo 2            </v>
      </c>
      <c r="H432" s="1" t="str">
        <f>IFERROR(__xludf.DUMMYFUNCTION("SPLIT(B432,""-"")"),"Mini Coffee San Mateo 2    ")</f>
        <v>Mini Coffee San Mateo 2    </v>
      </c>
    </row>
    <row r="433">
      <c r="A433" s="1">
        <v>430.0</v>
      </c>
      <c r="B433" s="3" t="s">
        <v>1878</v>
      </c>
      <c r="C433" s="1">
        <v>3.0</v>
      </c>
      <c r="D433" s="1" t="s">
        <v>836</v>
      </c>
      <c r="E433" s="3" t="s">
        <v>796</v>
      </c>
      <c r="F433" s="1" t="s">
        <v>1879</v>
      </c>
      <c r="G433" t="str">
        <f t="shared" si="1"/>
        <v>Sweet Indulgence Millbrae 3             </v>
      </c>
      <c r="H433" s="1" t="str">
        <f>IFERROR(__xludf.DUMMYFUNCTION("SPLIT(B433,""-"")"),"Sweet Indulgence Millbrae 3     ")</f>
        <v>Sweet Indulgence Millbrae 3     </v>
      </c>
    </row>
    <row r="434">
      <c r="A434" s="1">
        <v>431.0</v>
      </c>
      <c r="B434" s="3" t="s">
        <v>1880</v>
      </c>
      <c r="C434" s="1">
        <v>4.0</v>
      </c>
      <c r="D434" s="1" t="s">
        <v>837</v>
      </c>
      <c r="E434" s="3" t="s">
        <v>789</v>
      </c>
      <c r="F434" s="1" t="s">
        <v>1881</v>
      </c>
      <c r="G434" t="str">
        <f t="shared" si="1"/>
        <v>Ramen Dojo San Mateo             </v>
      </c>
      <c r="H434" s="1" t="str">
        <f>IFERROR(__xludf.DUMMYFUNCTION("SPLIT(B434,""-"")"),"Ramen Dojo San Mateo     ")</f>
        <v>Ramen Dojo San Mateo     </v>
      </c>
    </row>
    <row r="435">
      <c r="A435" s="1">
        <v>432.0</v>
      </c>
      <c r="B435" s="3" t="s">
        <v>1882</v>
      </c>
      <c r="C435" s="1">
        <v>4.5</v>
      </c>
      <c r="D435" s="1" t="s">
        <v>838</v>
      </c>
      <c r="E435" s="3" t="s">
        <v>796</v>
      </c>
      <c r="F435" s="1" t="s">
        <v>1883</v>
      </c>
      <c r="G435" t="str">
        <f t="shared" si="1"/>
        <v>Quickly Millbrae 4              </v>
      </c>
      <c r="H435" s="1" t="str">
        <f>IFERROR(__xludf.DUMMYFUNCTION("SPLIT(B435,""-"")"),"Quickly Millbrae 4      ")</f>
        <v>Quickly Millbrae 4      </v>
      </c>
    </row>
    <row r="436">
      <c r="A436" s="1">
        <v>433.0</v>
      </c>
      <c r="B436" s="3" t="s">
        <v>1884</v>
      </c>
      <c r="C436" s="1">
        <v>3.5</v>
      </c>
      <c r="D436" s="1" t="s">
        <v>839</v>
      </c>
      <c r="E436" s="3" t="s">
        <v>408</v>
      </c>
      <c r="F436" s="1" t="s">
        <v>1885</v>
      </c>
      <c r="G436" t="str">
        <f t="shared" si="1"/>
        <v>Bobo Drinks Fairfield 2             </v>
      </c>
      <c r="H436" s="1" t="str">
        <f>IFERROR(__xludf.DUMMYFUNCTION("SPLIT(B436,""-"")"),"Bobo Drinks Fairfield 2     ")</f>
        <v>Bobo Drinks Fairfield 2     </v>
      </c>
    </row>
    <row r="437">
      <c r="A437" s="1">
        <v>434.0</v>
      </c>
      <c r="B437" s="3" t="s">
        <v>1886</v>
      </c>
      <c r="C437" s="1">
        <v>3.0</v>
      </c>
      <c r="D437" s="1" t="s">
        <v>840</v>
      </c>
      <c r="E437" s="3" t="s">
        <v>408</v>
      </c>
      <c r="F437" s="1" t="s">
        <v>1887</v>
      </c>
      <c r="G437" t="str">
        <f t="shared" si="1"/>
        <v>T4 Tea For U Fairfield            </v>
      </c>
      <c r="H437" s="1" t="str">
        <f>IFERROR(__xludf.DUMMYFUNCTION("SPLIT(B437,""-"")"),"T4 Tea For U Fairfield    ")</f>
        <v>T4 Tea For U Fairfield    </v>
      </c>
    </row>
    <row r="438">
      <c r="A438" s="1">
        <v>435.0</v>
      </c>
      <c r="B438" s="3" t="s">
        <v>1888</v>
      </c>
      <c r="C438" s="1">
        <v>4.0</v>
      </c>
      <c r="D438" s="1" t="s">
        <v>841</v>
      </c>
      <c r="E438" s="3" t="s">
        <v>842</v>
      </c>
      <c r="F438" s="1" t="s">
        <v>1889</v>
      </c>
      <c r="G438" t="str">
        <f t="shared" si="1"/>
        <v>Peace Love And Boba Vacaville            </v>
      </c>
      <c r="H438" s="1" t="str">
        <f>IFERROR(__xludf.DUMMYFUNCTION("SPLIT(B438,""-"")"),"Peace Love And Boba Vacaville    ")</f>
        <v>Peace Love And Boba Vacaville    </v>
      </c>
    </row>
    <row r="439">
      <c r="A439" s="1">
        <v>436.0</v>
      </c>
      <c r="B439" s="3" t="s">
        <v>1890</v>
      </c>
      <c r="C439" s="1">
        <v>4.0</v>
      </c>
      <c r="D439" s="1" t="s">
        <v>843</v>
      </c>
      <c r="E439" s="3" t="s">
        <v>844</v>
      </c>
      <c r="F439" s="1" t="s">
        <v>1891</v>
      </c>
      <c r="G439" t="str">
        <f t="shared" si="1"/>
        <v>Halo Halo Bar And Boba Station Suisun City         </v>
      </c>
      <c r="H439" s="1" t="str">
        <f>IFERROR(__xludf.DUMMYFUNCTION("SPLIT(B439,""-"")"),"Halo Halo Bar And Boba Station Suisun City ")</f>
        <v>Halo Halo Bar And Boba Station Suisun City </v>
      </c>
    </row>
    <row r="440">
      <c r="A440" s="1">
        <v>437.0</v>
      </c>
      <c r="B440" s="3" t="s">
        <v>1892</v>
      </c>
      <c r="C440" s="1">
        <v>2.5</v>
      </c>
      <c r="D440" s="1" t="s">
        <v>845</v>
      </c>
      <c r="E440" s="3" t="s">
        <v>408</v>
      </c>
      <c r="F440" s="1" t="s">
        <v>1893</v>
      </c>
      <c r="G440" t="str">
        <f t="shared" si="1"/>
        <v>Quickly Fairfield 3              </v>
      </c>
      <c r="H440" s="1" t="str">
        <f>IFERROR(__xludf.DUMMYFUNCTION("SPLIT(B440,""-"")"),"Quickly Fairfield 3      ")</f>
        <v>Quickly Fairfield 3      </v>
      </c>
    </row>
    <row r="441">
      <c r="A441" s="1">
        <v>438.0</v>
      </c>
      <c r="B441" s="3" t="s">
        <v>1894</v>
      </c>
      <c r="C441" s="1">
        <v>4.0</v>
      </c>
      <c r="D441" s="1" t="s">
        <v>846</v>
      </c>
      <c r="E441" s="3" t="s">
        <v>408</v>
      </c>
      <c r="F441" s="1" t="s">
        <v>1895</v>
      </c>
      <c r="G441" t="str">
        <f t="shared" si="1"/>
        <v>Tutti Frutti Fairfield 2             </v>
      </c>
      <c r="H441" s="1" t="str">
        <f>IFERROR(__xludf.DUMMYFUNCTION("SPLIT(B441,""-"")"),"Tutti Frutti Fairfield 2     ")</f>
        <v>Tutti Frutti Fairfield 2     </v>
      </c>
    </row>
    <row r="442">
      <c r="A442" s="1">
        <v>439.0</v>
      </c>
      <c r="B442" s="3" t="s">
        <v>1896</v>
      </c>
      <c r="C442" s="1">
        <v>4.0</v>
      </c>
      <c r="D442" s="1" t="s">
        <v>847</v>
      </c>
      <c r="E442" s="3" t="s">
        <v>848</v>
      </c>
      <c r="F442" s="1" t="s">
        <v>1897</v>
      </c>
      <c r="G442" t="str">
        <f t="shared" si="1"/>
        <v>Sharetea Concord 3              </v>
      </c>
      <c r="H442" s="1" t="str">
        <f>IFERROR(__xludf.DUMMYFUNCTION("SPLIT(B442,""-"")"),"Sharetea Concord 3      ")</f>
        <v>Sharetea Concord 3      </v>
      </c>
    </row>
    <row r="443">
      <c r="A443" s="1">
        <v>440.0</v>
      </c>
      <c r="B443" s="3" t="s">
        <v>1898</v>
      </c>
      <c r="C443" s="1">
        <v>4.0</v>
      </c>
      <c r="D443" s="1" t="s">
        <v>849</v>
      </c>
      <c r="E443" s="3" t="s">
        <v>850</v>
      </c>
      <c r="F443" s="1" t="s">
        <v>1899</v>
      </c>
      <c r="G443" t="str">
        <f t="shared" si="1"/>
        <v>I Tea Pittsburg              </v>
      </c>
      <c r="H443" s="1" t="str">
        <f>IFERROR(__xludf.DUMMYFUNCTION("SPLIT(B443,""-"")"),"I Tea Pittsburg      ")</f>
        <v>I Tea Pittsburg      </v>
      </c>
    </row>
    <row r="444">
      <c r="A444" s="1">
        <v>441.0</v>
      </c>
      <c r="B444" s="3" t="s">
        <v>1900</v>
      </c>
      <c r="C444" s="1">
        <v>3.5</v>
      </c>
      <c r="D444" s="1" t="s">
        <v>851</v>
      </c>
      <c r="E444" s="3" t="s">
        <v>405</v>
      </c>
      <c r="F444" s="1" t="s">
        <v>1901</v>
      </c>
      <c r="G444" t="str">
        <f t="shared" si="1"/>
        <v>Quickly Vallejo 12              </v>
      </c>
      <c r="H444" s="1" t="str">
        <f>IFERROR(__xludf.DUMMYFUNCTION("SPLIT(B444,""-"")"),"Quickly Vallejo 12      ")</f>
        <v>Quickly Vallejo 12      </v>
      </c>
    </row>
    <row r="445">
      <c r="A445" s="1">
        <v>442.0</v>
      </c>
      <c r="B445" s="3" t="s">
        <v>1902</v>
      </c>
      <c r="C445" s="1">
        <v>4.5</v>
      </c>
      <c r="D445" s="1" t="s">
        <v>852</v>
      </c>
      <c r="E445" s="3" t="s">
        <v>853</v>
      </c>
      <c r="F445" s="1" t="s">
        <v>1903</v>
      </c>
      <c r="G445" t="str">
        <f t="shared" si="1"/>
        <v>Teazentea Brentwood 3              </v>
      </c>
      <c r="H445" s="1" t="str">
        <f>IFERROR(__xludf.DUMMYFUNCTION("SPLIT(B445,""-"")"),"Teazentea Brentwood 3      ")</f>
        <v>Teazentea Brentwood 3      </v>
      </c>
    </row>
    <row r="446">
      <c r="A446" s="1">
        <v>443.0</v>
      </c>
      <c r="B446" s="3" t="s">
        <v>1904</v>
      </c>
      <c r="C446" s="1">
        <v>2.5</v>
      </c>
      <c r="D446" s="1" t="s">
        <v>854</v>
      </c>
      <c r="E446" s="3" t="s">
        <v>842</v>
      </c>
      <c r="F446" s="1" t="s">
        <v>1905</v>
      </c>
      <c r="G446" t="str">
        <f t="shared" si="1"/>
        <v>Quickly Vacaville               </v>
      </c>
      <c r="H446" s="1" t="str">
        <f>IFERROR(__xludf.DUMMYFUNCTION("SPLIT(B446,""-"")"),"Quickly Vacaville       ")</f>
        <v>Quickly Vacaville       </v>
      </c>
    </row>
    <row r="447">
      <c r="A447" s="1">
        <v>444.0</v>
      </c>
      <c r="B447" s="3" t="s">
        <v>1906</v>
      </c>
      <c r="C447" s="1">
        <v>4.0</v>
      </c>
      <c r="D447" s="1" t="s">
        <v>855</v>
      </c>
      <c r="E447" s="3" t="s">
        <v>856</v>
      </c>
      <c r="F447" s="1" t="s">
        <v>1907</v>
      </c>
      <c r="G447" t="str">
        <f t="shared" si="1"/>
        <v>Mandro Teahouse Davis              </v>
      </c>
      <c r="H447" s="1" t="str">
        <f>IFERROR(__xludf.DUMMYFUNCTION("SPLIT(B447,""-"")"),"Mandro Teahouse Davis      ")</f>
        <v>Mandro Teahouse Davis      </v>
      </c>
    </row>
    <row r="448">
      <c r="A448" s="1">
        <v>445.0</v>
      </c>
      <c r="B448" s="3" t="s">
        <v>1908</v>
      </c>
      <c r="C448" s="1">
        <v>3.0</v>
      </c>
      <c r="D448" s="1" t="s">
        <v>857</v>
      </c>
      <c r="E448" s="3" t="s">
        <v>405</v>
      </c>
      <c r="F448" s="1" t="s">
        <v>1909</v>
      </c>
      <c r="G448" t="str">
        <f t="shared" si="1"/>
        <v>Tapioca Express Vallejo              </v>
      </c>
      <c r="H448" s="1" t="str">
        <f>IFERROR(__xludf.DUMMYFUNCTION("SPLIT(B448,""-"")"),"Tapioca Express Vallejo      ")</f>
        <v>Tapioca Express Vallejo      </v>
      </c>
    </row>
    <row r="449">
      <c r="A449" s="1">
        <v>446.0</v>
      </c>
      <c r="B449" s="3" t="s">
        <v>1910</v>
      </c>
      <c r="C449" s="1">
        <v>4.5</v>
      </c>
      <c r="D449" s="1" t="s">
        <v>858</v>
      </c>
      <c r="E449" s="3" t="s">
        <v>842</v>
      </c>
      <c r="F449" s="1" t="s">
        <v>1911</v>
      </c>
      <c r="G449" t="str">
        <f t="shared" si="1"/>
        <v>Okashi Fusion Vacaville              </v>
      </c>
      <c r="H449" s="1" t="str">
        <f>IFERROR(__xludf.DUMMYFUNCTION("SPLIT(B449,""-"")"),"Okashi Fusion Vacaville      ")</f>
        <v>Okashi Fusion Vacaville      </v>
      </c>
    </row>
    <row r="450">
      <c r="A450" s="1">
        <v>447.0</v>
      </c>
      <c r="B450" s="3" t="s">
        <v>1912</v>
      </c>
      <c r="C450" s="1">
        <v>4.0</v>
      </c>
      <c r="D450" s="1" t="s">
        <v>859</v>
      </c>
      <c r="E450" s="3" t="s">
        <v>860</v>
      </c>
      <c r="F450" s="1" t="s">
        <v>1913</v>
      </c>
      <c r="G450" t="str">
        <f t="shared" si="1"/>
        <v>Cafe Tapioca Hercules              </v>
      </c>
      <c r="H450" s="1" t="str">
        <f>IFERROR(__xludf.DUMMYFUNCTION("SPLIT(B450,""-"")"),"Cafe Tapioca Hercules      ")</f>
        <v>Cafe Tapioca Hercules      </v>
      </c>
    </row>
    <row r="451">
      <c r="A451" s="1">
        <v>448.0</v>
      </c>
      <c r="B451" s="3" t="s">
        <v>1914</v>
      </c>
      <c r="C451" s="1">
        <v>4.0</v>
      </c>
      <c r="D451" s="1" t="s">
        <v>861</v>
      </c>
      <c r="E451" s="3" t="s">
        <v>408</v>
      </c>
      <c r="F451" s="1" t="s">
        <v>1915</v>
      </c>
      <c r="G451" t="str">
        <f t="shared" si="1"/>
        <v>Pho Saigon No 1 Vietnamese Restaurant Fairfield 2         </v>
      </c>
      <c r="H451" s="1" t="str">
        <f>IFERROR(__xludf.DUMMYFUNCTION("SPLIT(B451,""-"")"),"Pho Saigon No 1 Vietnamese Restaurant Fairfield 2 ")</f>
        <v>Pho Saigon No 1 Vietnamese Restaurant Fairfield 2 </v>
      </c>
    </row>
    <row r="452">
      <c r="A452" s="1">
        <v>449.0</v>
      </c>
      <c r="B452" s="3" t="s">
        <v>1916</v>
      </c>
      <c r="C452" s="1">
        <v>4.0</v>
      </c>
      <c r="D452" s="1" t="s">
        <v>862</v>
      </c>
      <c r="E452" s="3" t="s">
        <v>856</v>
      </c>
      <c r="F452" s="1" t="s">
        <v>1917</v>
      </c>
      <c r="G452" t="str">
        <f t="shared" si="1"/>
        <v>Ontap Davis               </v>
      </c>
      <c r="H452" s="1" t="str">
        <f>IFERROR(__xludf.DUMMYFUNCTION("SPLIT(B452,""-"")"),"Ontap Davis       ")</f>
        <v>Ontap Davis       </v>
      </c>
    </row>
    <row r="453">
      <c r="A453" s="1">
        <v>450.0</v>
      </c>
      <c r="B453" s="3" t="s">
        <v>1918</v>
      </c>
      <c r="C453" s="1">
        <v>4.0</v>
      </c>
      <c r="D453" s="1" t="s">
        <v>863</v>
      </c>
      <c r="E453" s="3" t="s">
        <v>864</v>
      </c>
      <c r="F453" s="1" t="s">
        <v>1919</v>
      </c>
      <c r="G453" t="str">
        <f t="shared" si="1"/>
        <v>T4 Antioch 12              </v>
      </c>
      <c r="H453" s="1" t="str">
        <f>IFERROR(__xludf.DUMMYFUNCTION("SPLIT(B453,""-"")"),"T4 Antioch 12      ")</f>
        <v>T4 Antioch 12      </v>
      </c>
    </row>
    <row r="454">
      <c r="A454" s="1">
        <v>451.0</v>
      </c>
      <c r="B454" s="3" t="s">
        <v>1920</v>
      </c>
      <c r="C454" s="1">
        <v>3.5</v>
      </c>
      <c r="D454" s="1" t="s">
        <v>865</v>
      </c>
      <c r="E454" s="3" t="s">
        <v>848</v>
      </c>
      <c r="F454" s="1" t="s">
        <v>1921</v>
      </c>
      <c r="G454" t="str">
        <f t="shared" si="1"/>
        <v>Bobaloca Concord 4              </v>
      </c>
      <c r="H454" s="1" t="str">
        <f>IFERROR(__xludf.DUMMYFUNCTION("SPLIT(B454,""-"")"),"Bobaloca Concord 4      ")</f>
        <v>Bobaloca Concord 4      </v>
      </c>
    </row>
    <row r="455">
      <c r="A455" s="1">
        <v>452.0</v>
      </c>
      <c r="B455" s="3" t="s">
        <v>1922</v>
      </c>
      <c r="C455" s="1">
        <v>3.5</v>
      </c>
      <c r="D455" s="1" t="s">
        <v>866</v>
      </c>
      <c r="E455" s="3" t="s">
        <v>856</v>
      </c>
      <c r="F455" s="1" t="s">
        <v>1923</v>
      </c>
      <c r="G455" t="str">
        <f t="shared" si="1"/>
        <v>Teabo Café Davis              </v>
      </c>
      <c r="H455" s="1" t="str">
        <f>IFERROR(__xludf.DUMMYFUNCTION("SPLIT(B455,""-"")"),"Teabo Café Davis      ")</f>
        <v>Teabo Café Davis      </v>
      </c>
    </row>
    <row r="456">
      <c r="A456" s="1">
        <v>453.0</v>
      </c>
      <c r="B456" s="3" t="s">
        <v>1924</v>
      </c>
      <c r="C456" s="1">
        <v>3.5</v>
      </c>
      <c r="D456" s="1" t="s">
        <v>867</v>
      </c>
      <c r="E456" s="3" t="s">
        <v>856</v>
      </c>
      <c r="F456" s="1" t="s">
        <v>1925</v>
      </c>
      <c r="G456" t="str">
        <f t="shared" si="1"/>
        <v>Lazi Cow Davis              </v>
      </c>
      <c r="H456" s="1" t="str">
        <f>IFERROR(__xludf.DUMMYFUNCTION("SPLIT(B456,""-"")"),"Lazi Cow Davis      ")</f>
        <v>Lazi Cow Davis      </v>
      </c>
    </row>
    <row r="457">
      <c r="A457" s="1">
        <v>454.0</v>
      </c>
      <c r="B457" s="3" t="s">
        <v>1926</v>
      </c>
      <c r="C457" s="1">
        <v>4.0</v>
      </c>
      <c r="D457" s="1" t="s">
        <v>868</v>
      </c>
      <c r="E457" s="3" t="s">
        <v>869</v>
      </c>
      <c r="F457" s="1" t="s">
        <v>1927</v>
      </c>
      <c r="G457" t="str">
        <f t="shared" si="1"/>
        <v>T4 San Pablo 3             </v>
      </c>
      <c r="H457" s="1" t="str">
        <f>IFERROR(__xludf.DUMMYFUNCTION("SPLIT(B457,""-"")"),"T4 San Pablo 3     ")</f>
        <v>T4 San Pablo 3     </v>
      </c>
    </row>
    <row r="458">
      <c r="A458" s="1">
        <v>455.0</v>
      </c>
      <c r="B458" s="3" t="s">
        <v>1928</v>
      </c>
      <c r="C458" s="1">
        <v>3.5</v>
      </c>
      <c r="D458" s="1" t="s">
        <v>870</v>
      </c>
      <c r="E458" s="3" t="s">
        <v>848</v>
      </c>
      <c r="F458" s="1" t="s">
        <v>1929</v>
      </c>
      <c r="G458" t="str">
        <f t="shared" si="1"/>
        <v>T4 Concord Concord              </v>
      </c>
      <c r="H458" s="1" t="str">
        <f>IFERROR(__xludf.DUMMYFUNCTION("SPLIT(B458,""-"")"),"T4 Concord Concord      ")</f>
        <v>T4 Concord Concord      </v>
      </c>
    </row>
    <row r="459">
      <c r="A459" s="1">
        <v>456.0</v>
      </c>
      <c r="B459" s="3" t="s">
        <v>1930</v>
      </c>
      <c r="C459" s="1">
        <v>3.5</v>
      </c>
      <c r="D459" s="1" t="s">
        <v>871</v>
      </c>
      <c r="E459" s="3" t="s">
        <v>872</v>
      </c>
      <c r="F459" s="1" t="s">
        <v>1931</v>
      </c>
      <c r="G459" t="str">
        <f t="shared" si="1"/>
        <v>Dragon Snow El Sobrante             </v>
      </c>
      <c r="H459" s="1" t="str">
        <f>IFERROR(__xludf.DUMMYFUNCTION("SPLIT(B459,""-"")"),"Dragon Snow El Sobrante     ")</f>
        <v>Dragon Snow El Sobrante     </v>
      </c>
    </row>
    <row r="460">
      <c r="A460" s="1">
        <v>457.0</v>
      </c>
      <c r="B460" s="3" t="s">
        <v>1932</v>
      </c>
      <c r="C460" s="1">
        <v>3.5</v>
      </c>
      <c r="D460" s="1" t="s">
        <v>873</v>
      </c>
      <c r="E460" s="3" t="s">
        <v>408</v>
      </c>
      <c r="F460" s="1" t="s">
        <v>1933</v>
      </c>
      <c r="G460" t="str">
        <f t="shared" si="1"/>
        <v>Cj Fusion Fairfield              </v>
      </c>
      <c r="H460" s="1" t="str">
        <f>IFERROR(__xludf.DUMMYFUNCTION("SPLIT(B460,""-"")"),"Cj Fusion Fairfield      ")</f>
        <v>Cj Fusion Fairfield      </v>
      </c>
    </row>
    <row r="461">
      <c r="A461" s="1">
        <v>458.0</v>
      </c>
      <c r="B461" s="3" t="s">
        <v>1934</v>
      </c>
      <c r="C461" s="1">
        <v>3.5</v>
      </c>
      <c r="D461" s="1" t="s">
        <v>874</v>
      </c>
      <c r="E461" s="3" t="s">
        <v>856</v>
      </c>
      <c r="F461" s="1" t="s">
        <v>1935</v>
      </c>
      <c r="G461" t="str">
        <f t="shared" si="1"/>
        <v>Gong Cha Davis              </v>
      </c>
      <c r="H461" s="1" t="str">
        <f>IFERROR(__xludf.DUMMYFUNCTION("SPLIT(B461,""-"")"),"Gong Cha Davis      ")</f>
        <v>Gong Cha Davis      </v>
      </c>
    </row>
    <row r="462">
      <c r="A462" s="1">
        <v>459.0</v>
      </c>
      <c r="B462" s="3" t="s">
        <v>1936</v>
      </c>
      <c r="C462" s="1">
        <v>3.5</v>
      </c>
      <c r="D462" s="1" t="s">
        <v>875</v>
      </c>
      <c r="E462" s="3" t="s">
        <v>844</v>
      </c>
      <c r="F462" s="1" t="s">
        <v>1891</v>
      </c>
      <c r="G462" t="str">
        <f t="shared" si="1"/>
        <v>Suisun Seafood Center Suisun City            </v>
      </c>
      <c r="H462" s="1" t="str">
        <f>IFERROR(__xludf.DUMMYFUNCTION("SPLIT(B462,""-"")"),"Suisun Seafood Center Suisun City    ")</f>
        <v>Suisun Seafood Center Suisun City    </v>
      </c>
    </row>
    <row r="463">
      <c r="A463" s="1">
        <v>460.0</v>
      </c>
      <c r="B463" s="3" t="s">
        <v>1937</v>
      </c>
      <c r="C463" s="1">
        <v>3.5</v>
      </c>
      <c r="D463" s="1" t="s">
        <v>876</v>
      </c>
      <c r="E463" s="3" t="s">
        <v>856</v>
      </c>
      <c r="F463" s="1" t="s">
        <v>1938</v>
      </c>
      <c r="G463" t="str">
        <f t="shared" si="1"/>
        <v>Teaone Davis               </v>
      </c>
      <c r="H463" s="1" t="str">
        <f>IFERROR(__xludf.DUMMYFUNCTION("SPLIT(B463,""-"")"),"Teaone Davis       ")</f>
        <v>Teaone Davis       </v>
      </c>
    </row>
    <row r="464">
      <c r="A464" s="1">
        <v>461.0</v>
      </c>
      <c r="B464" s="3" t="s">
        <v>1939</v>
      </c>
      <c r="C464" s="1">
        <v>4.5</v>
      </c>
      <c r="D464" s="1" t="s">
        <v>877</v>
      </c>
      <c r="E464" s="3" t="s">
        <v>853</v>
      </c>
      <c r="F464" s="1" t="s">
        <v>1940</v>
      </c>
      <c r="G464" t="str">
        <f t="shared" si="1"/>
        <v>Quickly Brentwood Brentwood              </v>
      </c>
      <c r="H464" s="1" t="str">
        <f>IFERROR(__xludf.DUMMYFUNCTION("SPLIT(B464,""-"")"),"Quickly Brentwood Brentwood      ")</f>
        <v>Quickly Brentwood Brentwood      </v>
      </c>
    </row>
    <row r="465">
      <c r="A465" s="1">
        <v>462.0</v>
      </c>
      <c r="B465" s="3" t="s">
        <v>1941</v>
      </c>
      <c r="C465" s="1">
        <v>4.0</v>
      </c>
      <c r="D465" s="1" t="s">
        <v>878</v>
      </c>
      <c r="E465" s="3" t="s">
        <v>856</v>
      </c>
      <c r="F465" s="1" t="s">
        <v>1942</v>
      </c>
      <c r="G465" t="str">
        <f t="shared" si="1"/>
        <v>T4 Davis 3              </v>
      </c>
      <c r="H465" s="1" t="str">
        <f>IFERROR(__xludf.DUMMYFUNCTION("SPLIT(B465,""-"")"),"T4 Davis 3      ")</f>
        <v>T4 Davis 3      </v>
      </c>
    </row>
    <row r="466">
      <c r="A466" s="1">
        <v>463.0</v>
      </c>
      <c r="B466" s="3" t="s">
        <v>1943</v>
      </c>
      <c r="C466" s="1">
        <v>4.0</v>
      </c>
      <c r="D466" s="1" t="s">
        <v>879</v>
      </c>
      <c r="E466" s="3" t="s">
        <v>408</v>
      </c>
      <c r="F466" s="1" t="s">
        <v>1944</v>
      </c>
      <c r="G466" t="str">
        <f t="shared" si="1"/>
        <v>Bangkok Paradise Fairfield              </v>
      </c>
      <c r="H466" s="1" t="str">
        <f>IFERROR(__xludf.DUMMYFUNCTION("SPLIT(B466,""-"")"),"Bangkok Paradise Fairfield      ")</f>
        <v>Bangkok Paradise Fairfield      </v>
      </c>
    </row>
    <row r="467">
      <c r="A467" s="1">
        <v>464.0</v>
      </c>
      <c r="B467" s="3" t="s">
        <v>1945</v>
      </c>
      <c r="C467" s="1">
        <v>4.5</v>
      </c>
      <c r="D467" s="1" t="s">
        <v>880</v>
      </c>
      <c r="E467" s="3" t="s">
        <v>856</v>
      </c>
      <c r="F467" s="1" t="s">
        <v>1946</v>
      </c>
      <c r="G467" t="str">
        <f t="shared" si="1"/>
        <v>Easel Davis 2              </v>
      </c>
      <c r="H467" s="1" t="str">
        <f>IFERROR(__xludf.DUMMYFUNCTION("SPLIT(B467,""-"")"),"Easel Davis 2      ")</f>
        <v>Easel Davis 2      </v>
      </c>
    </row>
    <row r="468">
      <c r="A468" s="1">
        <v>465.0</v>
      </c>
      <c r="B468" s="3" t="s">
        <v>1947</v>
      </c>
      <c r="C468" s="1">
        <v>3.5</v>
      </c>
      <c r="D468" s="1" t="s">
        <v>881</v>
      </c>
      <c r="E468" s="3" t="s">
        <v>856</v>
      </c>
      <c r="F468" s="1" t="s">
        <v>1948</v>
      </c>
      <c r="G468" t="str">
        <f t="shared" si="1"/>
        <v>Sharetea Davis Davis 2             </v>
      </c>
      <c r="H468" s="1" t="str">
        <f>IFERROR(__xludf.DUMMYFUNCTION("SPLIT(B468,""-"")"),"Sharetea Davis Davis 2     ")</f>
        <v>Sharetea Davis Davis 2     </v>
      </c>
    </row>
    <row r="469">
      <c r="A469" s="1">
        <v>466.0</v>
      </c>
      <c r="B469" s="3" t="s">
        <v>1949</v>
      </c>
      <c r="C469" s="1">
        <v>4.0</v>
      </c>
      <c r="D469" s="1" t="s">
        <v>862</v>
      </c>
      <c r="E469" s="3" t="s">
        <v>856</v>
      </c>
      <c r="F469" s="1" t="s">
        <v>1917</v>
      </c>
      <c r="G469" t="str">
        <f t="shared" si="1"/>
        <v>The Old Teahouse Davis 3            </v>
      </c>
      <c r="H469" s="1" t="str">
        <f>IFERROR(__xludf.DUMMYFUNCTION("SPLIT(B469,""-"")"),"The Old Teahouse Davis 3    ")</f>
        <v>The Old Teahouse Davis 3    </v>
      </c>
    </row>
    <row r="470">
      <c r="A470" s="1">
        <v>467.0</v>
      </c>
      <c r="B470" s="3" t="s">
        <v>1950</v>
      </c>
      <c r="C470" s="1">
        <v>3.5</v>
      </c>
      <c r="D470" s="1" t="s">
        <v>882</v>
      </c>
      <c r="E470" s="3" t="s">
        <v>408</v>
      </c>
      <c r="F470" s="1" t="s">
        <v>1951</v>
      </c>
      <c r="G470" t="str">
        <f t="shared" si="1"/>
        <v>Pho Lee Hoa Phat Fairfield            </v>
      </c>
      <c r="H470" s="1" t="str">
        <f>IFERROR(__xludf.DUMMYFUNCTION("SPLIT(B470,""-"")"),"Pho Lee Hoa Phat Fairfield    ")</f>
        <v>Pho Lee Hoa Phat Fairfield    </v>
      </c>
    </row>
    <row r="471">
      <c r="A471" s="1">
        <v>468.0</v>
      </c>
      <c r="B471" s="3" t="s">
        <v>1952</v>
      </c>
      <c r="C471" s="1">
        <v>4.5</v>
      </c>
      <c r="D471" s="1" t="s">
        <v>883</v>
      </c>
      <c r="E471" s="3" t="s">
        <v>850</v>
      </c>
      <c r="F471" s="1" t="s">
        <v>1953</v>
      </c>
      <c r="G471" t="str">
        <f t="shared" si="1"/>
        <v>Skyview Noodle And Tea Pittsburg 3           </v>
      </c>
      <c r="H471" s="1" t="str">
        <f>IFERROR(__xludf.DUMMYFUNCTION("SPLIT(B471,""-"")"),"Skyview Noodle And Tea Pittsburg 3   ")</f>
        <v>Skyview Noodle And Tea Pittsburg 3   </v>
      </c>
    </row>
    <row r="472">
      <c r="A472" s="1">
        <v>469.0</v>
      </c>
      <c r="B472" s="3" t="s">
        <v>1954</v>
      </c>
      <c r="C472" s="1">
        <v>3.0</v>
      </c>
      <c r="D472" s="1" t="s">
        <v>839</v>
      </c>
      <c r="E472" s="3" t="s">
        <v>408</v>
      </c>
      <c r="F472" s="1" t="s">
        <v>1955</v>
      </c>
      <c r="G472" t="str">
        <f t="shared" si="1"/>
        <v>Noodle House Fairfield 2             </v>
      </c>
      <c r="H472" s="1" t="str">
        <f>IFERROR(__xludf.DUMMYFUNCTION("SPLIT(B472,""-"")"),"Noodle House Fairfield 2     ")</f>
        <v>Noodle House Fairfield 2     </v>
      </c>
    </row>
    <row r="473">
      <c r="A473" s="1">
        <v>470.0</v>
      </c>
      <c r="B473" s="3" t="s">
        <v>1956</v>
      </c>
      <c r="C473" s="1">
        <v>3.0</v>
      </c>
      <c r="D473" s="1" t="s">
        <v>875</v>
      </c>
      <c r="E473" s="3" t="s">
        <v>844</v>
      </c>
      <c r="F473" s="1" t="s">
        <v>1891</v>
      </c>
      <c r="G473" t="str">
        <f t="shared" si="1"/>
        <v>Sisig Suisun City 3             </v>
      </c>
      <c r="H473" s="1" t="str">
        <f>IFERROR(__xludf.DUMMYFUNCTION("SPLIT(B473,""-"")"),"Sisig Suisun City 3     ")</f>
        <v>Sisig Suisun City 3     </v>
      </c>
    </row>
    <row r="474">
      <c r="A474" s="1">
        <v>471.0</v>
      </c>
      <c r="B474" s="3" t="s">
        <v>1957</v>
      </c>
      <c r="C474" s="1">
        <v>4.5</v>
      </c>
      <c r="D474" s="1" t="s">
        <v>884</v>
      </c>
      <c r="E474" s="3" t="s">
        <v>885</v>
      </c>
      <c r="F474" s="1" t="s">
        <v>1958</v>
      </c>
      <c r="G474" t="str">
        <f t="shared" si="1"/>
        <v>Rrags Caffe Benicia              </v>
      </c>
      <c r="H474" s="1" t="str">
        <f>IFERROR(__xludf.DUMMYFUNCTION("SPLIT(B474,""-"")"),"Rrags Caffe Benicia      ")</f>
        <v>Rrags Caffe Benicia      </v>
      </c>
    </row>
    <row r="475">
      <c r="A475" s="1">
        <v>472.0</v>
      </c>
      <c r="B475" s="3" t="s">
        <v>1959</v>
      </c>
      <c r="C475" s="1">
        <v>4.0</v>
      </c>
      <c r="D475" s="1" t="s">
        <v>886</v>
      </c>
      <c r="E475" s="3" t="s">
        <v>887</v>
      </c>
      <c r="F475" s="1" t="s">
        <v>1960</v>
      </c>
      <c r="G475" t="str">
        <f t="shared" si="1"/>
        <v>Yumygurt Pinole               </v>
      </c>
      <c r="H475" s="1" t="str">
        <f>IFERROR(__xludf.DUMMYFUNCTION("SPLIT(B475,""-"")"),"Yumygurt Pinole       ")</f>
        <v>Yumygurt Pinole       </v>
      </c>
    </row>
    <row r="476">
      <c r="A476" s="1">
        <v>473.0</v>
      </c>
      <c r="B476" s="3" t="s">
        <v>1961</v>
      </c>
      <c r="C476" s="1">
        <v>3.0</v>
      </c>
      <c r="D476" s="1" t="s">
        <v>888</v>
      </c>
      <c r="E476" s="3" t="s">
        <v>853</v>
      </c>
      <c r="F476" s="1" t="s">
        <v>1962</v>
      </c>
      <c r="G476" t="str">
        <f t="shared" si="1"/>
        <v>Vampire Penguin Brentwood 2             </v>
      </c>
      <c r="H476" s="1" t="str">
        <f>IFERROR(__xludf.DUMMYFUNCTION("SPLIT(B476,""-"")"),"Vampire Penguin Brentwood 2     ")</f>
        <v>Vampire Penguin Brentwood 2     </v>
      </c>
    </row>
    <row r="477">
      <c r="A477" s="1">
        <v>474.0</v>
      </c>
      <c r="B477" s="3" t="s">
        <v>1963</v>
      </c>
      <c r="C477" s="1">
        <v>4.5</v>
      </c>
      <c r="D477" s="1" t="s">
        <v>889</v>
      </c>
      <c r="E477" s="3" t="s">
        <v>890</v>
      </c>
      <c r="F477" s="1" t="s">
        <v>1964</v>
      </c>
      <c r="G477" t="str">
        <f t="shared" si="1"/>
        <v>Going Green Martinez              </v>
      </c>
      <c r="H477" s="1" t="str">
        <f>IFERROR(__xludf.DUMMYFUNCTION("SPLIT(B477,""-"")"),"Going Green Martinez      ")</f>
        <v>Going Green Martinez      </v>
      </c>
    </row>
    <row r="478">
      <c r="A478" s="1">
        <v>475.0</v>
      </c>
      <c r="B478" s="3" t="s">
        <v>1965</v>
      </c>
      <c r="C478" s="1">
        <v>3.5</v>
      </c>
      <c r="D478" s="1" t="s">
        <v>891</v>
      </c>
      <c r="E478" s="3" t="s">
        <v>864</v>
      </c>
      <c r="F478" s="1" t="s">
        <v>1966</v>
      </c>
      <c r="G478" t="str">
        <f t="shared" si="1"/>
        <v>Quickly Antioch 2              </v>
      </c>
      <c r="H478" s="1" t="str">
        <f>IFERROR(__xludf.DUMMYFUNCTION("SPLIT(B478,""-"")"),"Quickly Antioch 2      ")</f>
        <v>Quickly Antioch 2      </v>
      </c>
    </row>
    <row r="479">
      <c r="A479" s="1">
        <v>476.0</v>
      </c>
      <c r="B479" s="3" t="s">
        <v>1967</v>
      </c>
      <c r="C479" s="1">
        <v>3.5</v>
      </c>
      <c r="D479" s="1" t="s">
        <v>892</v>
      </c>
      <c r="E479" s="3" t="s">
        <v>842</v>
      </c>
      <c r="F479" s="1" t="s">
        <v>1968</v>
      </c>
      <c r="G479" t="str">
        <f t="shared" si="1"/>
        <v>Pho Lee Hoa Phat Vacaville            </v>
      </c>
      <c r="H479" s="1" t="str">
        <f>IFERROR(__xludf.DUMMYFUNCTION("SPLIT(B479,""-"")"),"Pho Lee Hoa Phat Vacaville    ")</f>
        <v>Pho Lee Hoa Phat Vacaville    </v>
      </c>
    </row>
    <row r="480">
      <c r="A480" s="1">
        <v>477.0</v>
      </c>
      <c r="B480" s="3" t="s">
        <v>1969</v>
      </c>
      <c r="C480" s="1">
        <v>4.0</v>
      </c>
      <c r="D480" s="1" t="s">
        <v>893</v>
      </c>
      <c r="E480" s="3" t="s">
        <v>255</v>
      </c>
      <c r="F480" s="1" t="s">
        <v>1970</v>
      </c>
      <c r="G480" t="str">
        <f t="shared" si="1"/>
        <v>Ice Monster Walnut Creek             </v>
      </c>
      <c r="H480" s="1" t="str">
        <f>IFERROR(__xludf.DUMMYFUNCTION("SPLIT(B480,""-"")"),"Ice Monster Walnut Creek     ")</f>
        <v>Ice Monster Walnut Creek     </v>
      </c>
    </row>
    <row r="481">
      <c r="A481" s="1">
        <v>478.0</v>
      </c>
      <c r="B481" s="3" t="s">
        <v>1971</v>
      </c>
      <c r="C481" s="1">
        <v>3.5</v>
      </c>
      <c r="D481" s="1" t="s">
        <v>894</v>
      </c>
      <c r="E481" s="3" t="s">
        <v>255</v>
      </c>
      <c r="F481" s="1" t="s">
        <v>1972</v>
      </c>
      <c r="G481" t="str">
        <f t="shared" si="1"/>
        <v>T4 Walnut Creek              </v>
      </c>
      <c r="H481" s="1" t="str">
        <f>IFERROR(__xludf.DUMMYFUNCTION("SPLIT(B481,""-"")"),"T4 Walnut Creek      ")</f>
        <v>T4 Walnut Creek      </v>
      </c>
    </row>
    <row r="482">
      <c r="A482" s="1">
        <v>479.0</v>
      </c>
      <c r="B482" s="3" t="s">
        <v>1973</v>
      </c>
      <c r="C482" s="1">
        <v>3.5</v>
      </c>
      <c r="D482" s="1" t="s">
        <v>895</v>
      </c>
      <c r="E482" s="3" t="s">
        <v>255</v>
      </c>
      <c r="F482" s="1" t="s">
        <v>1974</v>
      </c>
      <c r="G482" t="str">
        <f t="shared" si="1"/>
        <v>Chalogy Tea Bar Walnut Creek 4           </v>
      </c>
      <c r="H482" s="1" t="str">
        <f>IFERROR(__xludf.DUMMYFUNCTION("SPLIT(B482,""-"")"),"Chalogy Tea Bar Walnut Creek 4   ")</f>
        <v>Chalogy Tea Bar Walnut Creek 4   </v>
      </c>
    </row>
    <row r="483">
      <c r="A483" s="1">
        <v>480.0</v>
      </c>
      <c r="B483" s="3" t="s">
        <v>1975</v>
      </c>
      <c r="C483" s="1">
        <v>3.5</v>
      </c>
      <c r="D483" s="1" t="s">
        <v>896</v>
      </c>
      <c r="E483" s="3" t="s">
        <v>255</v>
      </c>
      <c r="F483" s="1" t="s">
        <v>1976</v>
      </c>
      <c r="G483" t="str">
        <f t="shared" si="1"/>
        <v>Mr Green Bubble Walnut Creek 2           </v>
      </c>
      <c r="H483" s="1" t="str">
        <f>IFERROR(__xludf.DUMMYFUNCTION("SPLIT(B483,""-"")"),"Mr Green Bubble Walnut Creek 2   ")</f>
        <v>Mr Green Bubble Walnut Creek 2   </v>
      </c>
    </row>
    <row r="484">
      <c r="A484" s="1">
        <v>481.0</v>
      </c>
      <c r="B484" s="3" t="s">
        <v>1977</v>
      </c>
      <c r="C484" s="1">
        <v>4.0</v>
      </c>
      <c r="D484" s="1" t="s">
        <v>897</v>
      </c>
      <c r="E484" s="3" t="s">
        <v>649</v>
      </c>
      <c r="F484" s="1" t="s">
        <v>1978</v>
      </c>
      <c r="G484" t="str">
        <f t="shared" si="1"/>
        <v>Cool Tea Bar Danville 4            </v>
      </c>
      <c r="H484" s="1" t="str">
        <f>IFERROR(__xludf.DUMMYFUNCTION("SPLIT(B484,""-"")"),"Cool Tea Bar Danville 4    ")</f>
        <v>Cool Tea Bar Danville 4    </v>
      </c>
    </row>
    <row r="485">
      <c r="A485" s="1">
        <v>482.0</v>
      </c>
      <c r="B485" s="3" t="s">
        <v>1979</v>
      </c>
      <c r="C485" s="1">
        <v>3.0</v>
      </c>
      <c r="D485" s="1" t="s">
        <v>898</v>
      </c>
      <c r="E485" s="3" t="s">
        <v>848</v>
      </c>
      <c r="F485" s="1" t="s">
        <v>1980</v>
      </c>
      <c r="G485" t="str">
        <f t="shared" si="1"/>
        <v>Quickly Concord 5              </v>
      </c>
      <c r="H485" s="1" t="str">
        <f>IFERROR(__xludf.DUMMYFUNCTION("SPLIT(B485,""-"")"),"Quickly Concord 5      ")</f>
        <v>Quickly Concord 5      </v>
      </c>
    </row>
    <row r="486">
      <c r="A486" s="1">
        <v>483.0</v>
      </c>
      <c r="B486" s="3" t="s">
        <v>1981</v>
      </c>
      <c r="C486" s="1">
        <v>2.5</v>
      </c>
      <c r="D486" s="1" t="s">
        <v>899</v>
      </c>
      <c r="E486" s="3" t="s">
        <v>848</v>
      </c>
      <c r="F486" s="1" t="s">
        <v>1982</v>
      </c>
      <c r="G486" t="str">
        <f t="shared" si="1"/>
        <v>Quickly Concord               </v>
      </c>
      <c r="H486" s="1" t="str">
        <f>IFERROR(__xludf.DUMMYFUNCTION("SPLIT(B486,""-"")"),"Quickly Concord       ")</f>
        <v>Quickly Concord       </v>
      </c>
    </row>
    <row r="487">
      <c r="A487" s="1">
        <v>484.0</v>
      </c>
      <c r="B487" s="3" t="s">
        <v>1983</v>
      </c>
      <c r="C487" s="1">
        <v>3.5</v>
      </c>
      <c r="D487" s="1" t="s">
        <v>900</v>
      </c>
      <c r="E487" s="3" t="s">
        <v>255</v>
      </c>
      <c r="F487" s="1" t="s">
        <v>1984</v>
      </c>
      <c r="G487" t="str">
        <f t="shared" si="1"/>
        <v>T4 And Poke Walnut Creek            </v>
      </c>
      <c r="H487" s="1" t="str">
        <f>IFERROR(__xludf.DUMMYFUNCTION("SPLIT(B487,""-"")"),"T4 And Poke Walnut Creek    ")</f>
        <v>T4 And Poke Walnut Creek    </v>
      </c>
    </row>
    <row r="488">
      <c r="A488" s="1">
        <v>485.0</v>
      </c>
      <c r="B488" s="3" t="s">
        <v>1985</v>
      </c>
      <c r="C488" s="1">
        <v>4.5</v>
      </c>
      <c r="D488" s="1" t="s">
        <v>901</v>
      </c>
      <c r="E488" s="3" t="s">
        <v>902</v>
      </c>
      <c r="F488" s="1" t="s">
        <v>1986</v>
      </c>
      <c r="G488" t="str">
        <f t="shared" si="1"/>
        <v>I Tea Moraga 3             </v>
      </c>
      <c r="H488" s="1" t="str">
        <f>IFERROR(__xludf.DUMMYFUNCTION("SPLIT(B488,""-"")"),"I Tea Moraga 3     ")</f>
        <v>I Tea Moraga 3     </v>
      </c>
    </row>
    <row r="489">
      <c r="A489" s="1">
        <v>486.0</v>
      </c>
      <c r="B489" s="3" t="s">
        <v>1987</v>
      </c>
      <c r="C489" s="1">
        <v>4.0</v>
      </c>
      <c r="D489" s="1" t="s">
        <v>903</v>
      </c>
      <c r="E489" s="3" t="s">
        <v>904</v>
      </c>
      <c r="F489" s="1" t="s">
        <v>1988</v>
      </c>
      <c r="G489" t="str">
        <f t="shared" si="1"/>
        <v>Panache Caffe Lafayette              </v>
      </c>
      <c r="H489" s="1" t="str">
        <f>IFERROR(__xludf.DUMMYFUNCTION("SPLIT(B489,""-"")"),"Panache Caffe Lafayette      ")</f>
        <v>Panache Caffe Lafayette      </v>
      </c>
    </row>
    <row r="490">
      <c r="A490" s="1">
        <v>487.0</v>
      </c>
      <c r="B490" s="3" t="s">
        <v>1989</v>
      </c>
      <c r="C490" s="1">
        <v>4.0</v>
      </c>
      <c r="D490" s="1" t="s">
        <v>905</v>
      </c>
      <c r="E490" s="3" t="s">
        <v>244</v>
      </c>
      <c r="F490" s="1" t="s">
        <v>1990</v>
      </c>
      <c r="G490" t="str">
        <f t="shared" si="1"/>
        <v>Coco Swirl Pleasant Hill             </v>
      </c>
      <c r="H490" s="1" t="str">
        <f>IFERROR(__xludf.DUMMYFUNCTION("SPLIT(B490,""-"")"),"Coco Swirl Pleasant Hill     ")</f>
        <v>Coco Swirl Pleasant Hill     </v>
      </c>
    </row>
    <row r="491">
      <c r="A491" s="1">
        <v>488.0</v>
      </c>
      <c r="B491" s="3" t="s">
        <v>1991</v>
      </c>
      <c r="C491" s="1">
        <v>3.5</v>
      </c>
      <c r="D491" s="1" t="s">
        <v>906</v>
      </c>
      <c r="E491" s="3" t="s">
        <v>848</v>
      </c>
      <c r="F491" s="1" t="s">
        <v>1992</v>
      </c>
      <c r="G491" t="str">
        <f t="shared" si="1"/>
        <v>Surf City Squeeze Concord             </v>
      </c>
      <c r="H491" s="1" t="str">
        <f>IFERROR(__xludf.DUMMYFUNCTION("SPLIT(B491,""-"")"),"Surf City Squeeze Concord     ")</f>
        <v>Surf City Squeeze Concord     </v>
      </c>
    </row>
    <row r="492">
      <c r="A492" s="1">
        <v>489.0</v>
      </c>
      <c r="B492" s="3" t="s">
        <v>1993</v>
      </c>
      <c r="C492" s="1">
        <v>4.0</v>
      </c>
      <c r="D492" s="1" t="s">
        <v>907</v>
      </c>
      <c r="E492" s="3" t="s">
        <v>848</v>
      </c>
      <c r="F492" s="1" t="s">
        <v>1994</v>
      </c>
      <c r="G492" t="str">
        <f t="shared" si="1"/>
        <v>Hello Pho Concord              </v>
      </c>
      <c r="H492" s="1" t="str">
        <f>IFERROR(__xludf.DUMMYFUNCTION("SPLIT(B492,""-"")"),"Hello Pho Concord      ")</f>
        <v>Hello Pho Concord      </v>
      </c>
    </row>
    <row r="493">
      <c r="A493" s="1">
        <v>490.0</v>
      </c>
      <c r="B493" s="3" t="s">
        <v>1995</v>
      </c>
      <c r="C493" s="1">
        <v>4.0</v>
      </c>
      <c r="D493" s="1" t="s">
        <v>908</v>
      </c>
      <c r="E493" s="3" t="s">
        <v>848</v>
      </c>
      <c r="F493" s="1" t="s">
        <v>1996</v>
      </c>
      <c r="G493" t="str">
        <f t="shared" si="1"/>
        <v>Harvest House Concord              </v>
      </c>
      <c r="H493" s="1" t="str">
        <f>IFERROR(__xludf.DUMMYFUNCTION("SPLIT(B493,""-"")"),"Harvest House Concord      ")</f>
        <v>Harvest House Concord      </v>
      </c>
    </row>
    <row r="494">
      <c r="A494" s="1">
        <v>491.0</v>
      </c>
      <c r="B494" s="3" t="s">
        <v>1997</v>
      </c>
      <c r="C494" s="1">
        <v>3.5</v>
      </c>
      <c r="D494" s="1" t="s">
        <v>909</v>
      </c>
      <c r="E494" s="3" t="s">
        <v>848</v>
      </c>
      <c r="F494" s="1" t="s">
        <v>1998</v>
      </c>
      <c r="G494" t="str">
        <f t="shared" si="1"/>
        <v>I Love Teriyaki And Sushi Concord 2          </v>
      </c>
      <c r="H494" s="1" t="str">
        <f>IFERROR(__xludf.DUMMYFUNCTION("SPLIT(B494,""-"")"),"I Love Teriyaki And Sushi Concord 2  ")</f>
        <v>I Love Teriyaki And Sushi Concord 2  </v>
      </c>
    </row>
    <row r="495">
      <c r="A495" s="1">
        <v>492.0</v>
      </c>
      <c r="B495" s="3" t="s">
        <v>1999</v>
      </c>
      <c r="C495" s="1">
        <v>4.5</v>
      </c>
      <c r="D495" s="1" t="s">
        <v>895</v>
      </c>
      <c r="E495" s="3" t="s">
        <v>255</v>
      </c>
      <c r="F495" s="1" t="s">
        <v>1974</v>
      </c>
      <c r="G495" t="str">
        <f t="shared" si="1"/>
        <v>Cornology Walnut Creek 3             </v>
      </c>
      <c r="H495" s="1" t="str">
        <f>IFERROR(__xludf.DUMMYFUNCTION("SPLIT(B495,""-"")"),"Cornology Walnut Creek 3     ")</f>
        <v>Cornology Walnut Creek 3     </v>
      </c>
    </row>
    <row r="496">
      <c r="A496" s="1">
        <v>493.0</v>
      </c>
      <c r="B496" s="3" t="s">
        <v>2000</v>
      </c>
      <c r="C496" s="1">
        <v>3.5</v>
      </c>
      <c r="D496" s="1" t="s">
        <v>910</v>
      </c>
      <c r="E496" s="3" t="s">
        <v>848</v>
      </c>
      <c r="F496" s="1" t="s">
        <v>2001</v>
      </c>
      <c r="G496" t="str">
        <f t="shared" si="1"/>
        <v>Saigon Bistro Concord              </v>
      </c>
      <c r="H496" s="1" t="str">
        <f>IFERROR(__xludf.DUMMYFUNCTION("SPLIT(B496,""-"")"),"Saigon Bistro Concord      ")</f>
        <v>Saigon Bistro Concord      </v>
      </c>
    </row>
    <row r="497">
      <c r="A497" s="1">
        <v>494.0</v>
      </c>
      <c r="B497" s="3" t="s">
        <v>2002</v>
      </c>
      <c r="C497" s="1">
        <v>3.5</v>
      </c>
      <c r="D497" s="1" t="s">
        <v>911</v>
      </c>
      <c r="E497" s="3" t="s">
        <v>848</v>
      </c>
      <c r="F497" s="1" t="s">
        <v>2003</v>
      </c>
      <c r="G497" t="str">
        <f t="shared" si="1"/>
        <v>99 Ranch Market Concord 2            </v>
      </c>
      <c r="H497" s="1" t="str">
        <f>IFERROR(__xludf.DUMMYFUNCTION("SPLIT(B497,""-"")"),"99 Ranch Market Concord 2    ")</f>
        <v>99 Ranch Market Concord 2    </v>
      </c>
    </row>
    <row r="498">
      <c r="A498" s="1">
        <v>495.0</v>
      </c>
      <c r="B498" s="3" t="s">
        <v>2004</v>
      </c>
      <c r="C498" s="1">
        <v>3.5</v>
      </c>
      <c r="D498" s="1" t="s">
        <v>912</v>
      </c>
      <c r="E498" s="3" t="s">
        <v>885</v>
      </c>
      <c r="F498" s="1" t="s">
        <v>2005</v>
      </c>
      <c r="G498" t="str">
        <f t="shared" si="1"/>
        <v>Double Rainbow Cafe Benicia             </v>
      </c>
      <c r="H498" s="1" t="str">
        <f>IFERROR(__xludf.DUMMYFUNCTION("SPLIT(B498,""-"")"),"Double Rainbow Cafe Benicia     ")</f>
        <v>Double Rainbow Cafe Benicia     </v>
      </c>
    </row>
    <row r="499">
      <c r="A499" s="1">
        <v>496.0</v>
      </c>
      <c r="B499" s="3" t="s">
        <v>2006</v>
      </c>
      <c r="C499" s="1">
        <v>4.5</v>
      </c>
      <c r="D499" s="1" t="s">
        <v>913</v>
      </c>
      <c r="E499" s="3" t="s">
        <v>850</v>
      </c>
      <c r="F499" s="1" t="s">
        <v>2007</v>
      </c>
      <c r="G499" t="str">
        <f t="shared" si="1"/>
        <v>Blue Saigon Pittsburg              </v>
      </c>
      <c r="H499" s="1" t="str">
        <f>IFERROR(__xludf.DUMMYFUNCTION("SPLIT(B499,""-"")"),"Blue Saigon Pittsburg      ")</f>
        <v>Blue Saigon Pittsburg      </v>
      </c>
    </row>
    <row r="500">
      <c r="A500" s="1">
        <v>497.0</v>
      </c>
      <c r="B500" s="3" t="s">
        <v>2008</v>
      </c>
      <c r="C500" s="1">
        <v>3.0</v>
      </c>
      <c r="D500" s="1" t="s">
        <v>914</v>
      </c>
      <c r="E500" s="3" t="s">
        <v>848</v>
      </c>
      <c r="F500" s="1" t="s">
        <v>2009</v>
      </c>
      <c r="G500" t="str">
        <f t="shared" si="1"/>
        <v>Jollibee Concord               </v>
      </c>
      <c r="H500" s="1" t="str">
        <f>IFERROR(__xludf.DUMMYFUNCTION("SPLIT(B500,""-"")"),"Jollibee Concord       ")</f>
        <v>Jollibee Concord       </v>
      </c>
    </row>
    <row r="501">
      <c r="A501" s="1">
        <v>498.0</v>
      </c>
      <c r="B501" s="3" t="s">
        <v>2010</v>
      </c>
      <c r="C501" s="1">
        <v>3.5</v>
      </c>
      <c r="D501" s="1" t="s">
        <v>915</v>
      </c>
      <c r="E501" s="3" t="s">
        <v>848</v>
      </c>
      <c r="F501" s="1" t="s">
        <v>2011</v>
      </c>
      <c r="G501" t="str">
        <f t="shared" si="1"/>
        <v>Pho Huynh Hiep 5 Kevins Noodle House Concord         </v>
      </c>
      <c r="H501" s="1" t="str">
        <f>IFERROR(__xludf.DUMMYFUNCTION("SPLIT(B501,""-"")"),"Pho Huynh Hiep 5 Kevins Noodle House Concord ")</f>
        <v>Pho Huynh Hiep 5 Kevins Noodle House Concord </v>
      </c>
    </row>
    <row r="502">
      <c r="A502" s="1">
        <v>499.0</v>
      </c>
      <c r="B502" s="3" t="s">
        <v>2012</v>
      </c>
      <c r="C502" s="1">
        <v>3.5</v>
      </c>
      <c r="D502" s="1" t="s">
        <v>916</v>
      </c>
      <c r="E502" s="3" t="s">
        <v>244</v>
      </c>
      <c r="F502" s="1" t="s">
        <v>2013</v>
      </c>
      <c r="G502" t="str">
        <f t="shared" si="1"/>
        <v>Pho Lee Hoa Phat Pleasant Hill           </v>
      </c>
      <c r="H502" s="1" t="str">
        <f>IFERROR(__xludf.DUMMYFUNCTION("SPLIT(B502,""-"")"),"Pho Lee Hoa Phat Pleasant Hill   ")</f>
        <v>Pho Lee Hoa Phat Pleasant Hill   </v>
      </c>
    </row>
    <row r="503">
      <c r="A503" s="1">
        <v>500.0</v>
      </c>
      <c r="B503" s="3" t="s">
        <v>2014</v>
      </c>
      <c r="C503" s="1">
        <v>4.0</v>
      </c>
      <c r="D503" s="1" t="s">
        <v>918</v>
      </c>
      <c r="E503" s="3" t="s">
        <v>255</v>
      </c>
      <c r="F503" s="1" t="s">
        <v>2015</v>
      </c>
      <c r="G503" t="str">
        <f t="shared" si="1"/>
        <v>Pho Huynh Hiep 6 Kevins Noodle House Walnut Creek        </v>
      </c>
      <c r="H503" s="1" t="str">
        <f>IFERROR(__xludf.DUMMYFUNCTION("SPLIT(B503,""-"")"),"Pho Huynh Hiep 6 Kevins Noodle House Walnut Creek")</f>
        <v>Pho Huynh Hiep 6 Kevins Noodle House Walnut Creek</v>
      </c>
    </row>
    <row r="504">
      <c r="A504" s="1">
        <v>501.0</v>
      </c>
      <c r="B504" s="3" t="s">
        <v>2016</v>
      </c>
      <c r="C504" s="1">
        <v>3.5</v>
      </c>
      <c r="D504" s="1" t="s">
        <v>919</v>
      </c>
      <c r="E504" s="3" t="s">
        <v>904</v>
      </c>
      <c r="F504" s="1" t="s">
        <v>2017</v>
      </c>
      <c r="G504" t="str">
        <f t="shared" si="1"/>
        <v>Smitten Ice Cream Lafayette             </v>
      </c>
      <c r="H504" s="1" t="str">
        <f>IFERROR(__xludf.DUMMYFUNCTION("SPLIT(B504,""-"")"),"Smitten Ice Cream Lafayette     ")</f>
        <v>Smitten Ice Cream Lafayette     </v>
      </c>
    </row>
    <row r="505">
      <c r="A505" s="1">
        <v>502.0</v>
      </c>
      <c r="B505" s="3" t="s">
        <v>2018</v>
      </c>
      <c r="C505" s="1">
        <v>4.5</v>
      </c>
      <c r="D505" s="1" t="s">
        <v>920</v>
      </c>
      <c r="E505" s="3" t="s">
        <v>885</v>
      </c>
      <c r="F505" s="1" t="s">
        <v>2019</v>
      </c>
      <c r="G505" t="str">
        <f t="shared" si="1"/>
        <v>Aung Maylika Benicia 4             </v>
      </c>
      <c r="H505" s="1" t="str">
        <f>IFERROR(__xludf.DUMMYFUNCTION("SPLIT(B505,""-"")"),"Aung Maylika Benicia 4     ")</f>
        <v>Aung Maylika Benicia 4     </v>
      </c>
    </row>
    <row r="506">
      <c r="A506" s="1">
        <v>503.0</v>
      </c>
      <c r="B506" s="3" t="s">
        <v>2020</v>
      </c>
      <c r="C506" s="1">
        <v>4.5</v>
      </c>
      <c r="E506" s="3" t="s">
        <v>904</v>
      </c>
      <c r="F506" s="1" t="s">
        <v>2021</v>
      </c>
      <c r="G506" t="str">
        <f t="shared" si="1"/>
        <v>Izzyas Frozen Custard Lafayette 2            </v>
      </c>
      <c r="H506" s="1" t="str">
        <f>IFERROR(__xludf.DUMMYFUNCTION("SPLIT(B506,""-"")"),"Izzyas Frozen Custard Lafayette 2    ")</f>
        <v>Izzyas Frozen Custard Lafayette 2    </v>
      </c>
    </row>
    <row r="507">
      <c r="A507" s="1">
        <v>504.0</v>
      </c>
      <c r="B507" s="3" t="s">
        <v>2022</v>
      </c>
      <c r="C507" s="1">
        <v>4.0</v>
      </c>
      <c r="D507" s="1" t="s">
        <v>921</v>
      </c>
      <c r="E507" s="3" t="s">
        <v>244</v>
      </c>
      <c r="F507" s="1" t="s">
        <v>2023</v>
      </c>
      <c r="G507" t="str">
        <f t="shared" si="1"/>
        <v>Yogurtland Pleasant Hill              </v>
      </c>
      <c r="H507" s="1" t="str">
        <f>IFERROR(__xludf.DUMMYFUNCTION("SPLIT(B507,""-"")"),"Yogurtland Pleasant Hill      ")</f>
        <v>Yogurtland Pleasant Hill      </v>
      </c>
    </row>
    <row r="508">
      <c r="A508" s="1">
        <v>505.0</v>
      </c>
      <c r="B508" s="3" t="s">
        <v>2024</v>
      </c>
      <c r="C508" s="1">
        <v>5.0</v>
      </c>
      <c r="D508" s="1" t="s">
        <v>922</v>
      </c>
      <c r="E508" s="3" t="s">
        <v>850</v>
      </c>
      <c r="F508" s="1" t="s">
        <v>2025</v>
      </c>
      <c r="G508" t="str">
        <f t="shared" si="1"/>
        <v>Golden Bakery Pittsburg              </v>
      </c>
      <c r="H508" s="1" t="str">
        <f>IFERROR(__xludf.DUMMYFUNCTION("SPLIT(B508,""-"")"),"Golden Bakery Pittsburg      ")</f>
        <v>Golden Bakery Pittsburg      </v>
      </c>
    </row>
    <row r="509">
      <c r="A509" s="1">
        <v>506.0</v>
      </c>
      <c r="B509" s="3" t="s">
        <v>2026</v>
      </c>
      <c r="C509" s="1">
        <v>4.0</v>
      </c>
      <c r="D509" s="1" t="s">
        <v>923</v>
      </c>
      <c r="E509" s="3" t="s">
        <v>220</v>
      </c>
      <c r="F509" s="1" t="s">
        <v>2027</v>
      </c>
      <c r="G509" t="str">
        <f t="shared" si="1"/>
        <v>Tutti Frutti Montclair Oakland             </v>
      </c>
      <c r="H509" s="1" t="str">
        <f>IFERROR(__xludf.DUMMYFUNCTION("SPLIT(B509,""-"")"),"Tutti Frutti Montclair Oakland     ")</f>
        <v>Tutti Frutti Montclair Oakland     </v>
      </c>
    </row>
    <row r="510">
      <c r="A510" s="1">
        <v>507.0</v>
      </c>
      <c r="B510" s="3" t="s">
        <v>2028</v>
      </c>
      <c r="C510" s="1">
        <v>4.5</v>
      </c>
      <c r="D510" s="1" t="s">
        <v>924</v>
      </c>
      <c r="E510" s="3" t="s">
        <v>902</v>
      </c>
      <c r="F510" s="1" t="s">
        <v>2029</v>
      </c>
      <c r="G510" t="str">
        <f t="shared" si="1"/>
        <v>Tangelo Frozen Yogurt Moraga             </v>
      </c>
      <c r="H510" s="1" t="str">
        <f>IFERROR(__xludf.DUMMYFUNCTION("SPLIT(B510,""-"")"),"Tangelo Frozen Yogurt Moraga     ")</f>
        <v>Tangelo Frozen Yogurt Moraga     </v>
      </c>
    </row>
    <row r="511">
      <c r="A511" s="1">
        <v>508.0</v>
      </c>
      <c r="B511" s="3" t="s">
        <v>2030</v>
      </c>
      <c r="C511" s="1">
        <v>3.5</v>
      </c>
      <c r="D511" s="1" t="s">
        <v>925</v>
      </c>
      <c r="E511" s="3" t="s">
        <v>864</v>
      </c>
      <c r="F511" s="1" t="s">
        <v>2031</v>
      </c>
      <c r="G511" t="str">
        <f t="shared" si="1"/>
        <v>Surf City Squeeze Antioch             </v>
      </c>
      <c r="H511" s="1" t="str">
        <f>IFERROR(__xludf.DUMMYFUNCTION("SPLIT(B511,""-"")"),"Surf City Squeeze Antioch     ")</f>
        <v>Surf City Squeeze Antioch     </v>
      </c>
    </row>
    <row r="512">
      <c r="A512" s="1">
        <v>509.0</v>
      </c>
      <c r="B512" s="3" t="s">
        <v>2032</v>
      </c>
      <c r="C512" s="1">
        <v>4.0</v>
      </c>
      <c r="D512" s="1" t="s">
        <v>926</v>
      </c>
      <c r="E512" s="3" t="s">
        <v>405</v>
      </c>
      <c r="F512" s="1" t="s">
        <v>2033</v>
      </c>
      <c r="G512" t="str">
        <f t="shared" si="1"/>
        <v>Lv Vietnamese Pho And Sandwiches Vallejo           </v>
      </c>
      <c r="H512" s="1" t="str">
        <f>IFERROR(__xludf.DUMMYFUNCTION("SPLIT(B512,""-"")"),"Lv Vietnamese Pho And Sandwiches Vallejo   ")</f>
        <v>Lv Vietnamese Pho And Sandwiches Vallejo   </v>
      </c>
    </row>
    <row r="513">
      <c r="A513" s="1">
        <v>510.0</v>
      </c>
      <c r="B513" s="3" t="s">
        <v>2034</v>
      </c>
      <c r="C513" s="1">
        <v>4.0</v>
      </c>
      <c r="D513" s="1" t="s">
        <v>927</v>
      </c>
      <c r="E513" s="3" t="s">
        <v>848</v>
      </c>
      <c r="F513" s="1" t="s">
        <v>2035</v>
      </c>
      <c r="G513" t="str">
        <f t="shared" si="1"/>
        <v>Korea House Concord              </v>
      </c>
      <c r="H513" s="1" t="str">
        <f>IFERROR(__xludf.DUMMYFUNCTION("SPLIT(B513,""-"")"),"Korea House Concord      ")</f>
        <v>Korea House Concord      </v>
      </c>
    </row>
    <row r="514">
      <c r="A514" s="1">
        <v>511.0</v>
      </c>
      <c r="B514" s="3" t="s">
        <v>2036</v>
      </c>
      <c r="C514" s="1">
        <v>3.5</v>
      </c>
      <c r="D514" s="1" t="s">
        <v>928</v>
      </c>
      <c r="E514" s="3" t="s">
        <v>890</v>
      </c>
      <c r="F514" s="1" t="s">
        <v>2037</v>
      </c>
      <c r="G514" t="str">
        <f t="shared" si="1"/>
        <v>Yo Sushi Martinez              </v>
      </c>
      <c r="H514" s="1" t="str">
        <f>IFERROR(__xludf.DUMMYFUNCTION("SPLIT(B514,""-"")"),"Yo Sushi Martinez      ")</f>
        <v>Yo Sushi Martinez      </v>
      </c>
    </row>
    <row r="515">
      <c r="A515" s="1">
        <v>512.0</v>
      </c>
      <c r="B515" s="3" t="s">
        <v>2038</v>
      </c>
      <c r="C515" s="1">
        <v>4.0</v>
      </c>
      <c r="D515" s="1" t="s">
        <v>899</v>
      </c>
      <c r="E515" s="3" t="s">
        <v>848</v>
      </c>
      <c r="F515" s="1" t="s">
        <v>2039</v>
      </c>
      <c r="G515" t="str">
        <f t="shared" si="1"/>
        <v>Lulus Kitchen Concord              </v>
      </c>
      <c r="H515" s="1" t="str">
        <f>IFERROR(__xludf.DUMMYFUNCTION("SPLIT(B515,""-"")"),"Lulus Kitchen Concord      ")</f>
        <v>Lulus Kitchen Concord      </v>
      </c>
    </row>
    <row r="516">
      <c r="A516" s="1">
        <v>513.0</v>
      </c>
      <c r="B516" s="3" t="s">
        <v>2040</v>
      </c>
      <c r="C516" s="1">
        <v>3.0</v>
      </c>
      <c r="D516" s="1" t="s">
        <v>929</v>
      </c>
      <c r="E516" s="3" t="s">
        <v>244</v>
      </c>
      <c r="F516" s="1" t="s">
        <v>2041</v>
      </c>
      <c r="G516" t="str">
        <f t="shared" si="1"/>
        <v>Pho Hoa An Pleasant Hill            </v>
      </c>
      <c r="H516" s="1" t="str">
        <f>IFERROR(__xludf.DUMMYFUNCTION("SPLIT(B516,""-"")"),"Pho Hoa An Pleasant Hill    ")</f>
        <v>Pho Hoa An Pleasant Hill    </v>
      </c>
    </row>
    <row r="517">
      <c r="A517" s="1">
        <v>514.0</v>
      </c>
      <c r="B517" s="3" t="s">
        <v>2042</v>
      </c>
      <c r="C517" s="1">
        <v>3.5</v>
      </c>
      <c r="D517" s="1" t="s">
        <v>930</v>
      </c>
      <c r="E517" s="3" t="s">
        <v>850</v>
      </c>
      <c r="F517" s="1" t="s">
        <v>2043</v>
      </c>
      <c r="G517" t="str">
        <f t="shared" si="1"/>
        <v>Saigon Bistro Restaurant Pittsburg             </v>
      </c>
      <c r="H517" s="1" t="str">
        <f>IFERROR(__xludf.DUMMYFUNCTION("SPLIT(B517,""-"")"),"Saigon Bistro Restaurant Pittsburg     ")</f>
        <v>Saigon Bistro Restaurant Pittsburg     </v>
      </c>
    </row>
    <row r="518">
      <c r="A518" s="1">
        <v>515.0</v>
      </c>
      <c r="B518" s="3" t="s">
        <v>2044</v>
      </c>
      <c r="C518" s="1">
        <v>3.5</v>
      </c>
      <c r="D518" s="1" t="s">
        <v>931</v>
      </c>
      <c r="E518" s="3" t="s">
        <v>850</v>
      </c>
      <c r="F518" s="1" t="s">
        <v>2045</v>
      </c>
      <c r="G518" t="str">
        <f t="shared" si="1"/>
        <v>Pho Lee Hoa Phat Pittsburg 5           </v>
      </c>
      <c r="H518" s="1" t="str">
        <f>IFERROR(__xludf.DUMMYFUNCTION("SPLIT(B518,""-"")"),"Pho Lee Hoa Phat Pittsburg 5   ")</f>
        <v>Pho Lee Hoa Phat Pittsburg 5   </v>
      </c>
    </row>
    <row r="519">
      <c r="A519" s="1">
        <v>516.0</v>
      </c>
      <c r="B519" s="3" t="s">
        <v>2046</v>
      </c>
      <c r="C519" s="1">
        <v>4.0</v>
      </c>
      <c r="D519" s="1" t="s">
        <v>932</v>
      </c>
      <c r="E519" s="3" t="s">
        <v>864</v>
      </c>
      <c r="F519" s="1" t="s">
        <v>2047</v>
      </c>
      <c r="G519" t="str">
        <f t="shared" si="1"/>
        <v>Viet Nam Noodle House Antioch 4           </v>
      </c>
      <c r="H519" s="1" t="str">
        <f>IFERROR(__xludf.DUMMYFUNCTION("SPLIT(B519,""-"")"),"Viet Nam Noodle House Antioch 4   ")</f>
        <v>Viet Nam Noodle House Antioch 4   </v>
      </c>
    </row>
    <row r="520">
      <c r="A520" s="1">
        <v>517.0</v>
      </c>
      <c r="B520" s="3" t="s">
        <v>2048</v>
      </c>
      <c r="C520" s="1">
        <v>3.5</v>
      </c>
      <c r="D520" s="1" t="s">
        <v>933</v>
      </c>
      <c r="E520" s="3" t="s">
        <v>902</v>
      </c>
      <c r="F520" s="1" t="s">
        <v>2049</v>
      </c>
      <c r="G520" t="str">
        <f t="shared" si="1"/>
        <v>Little Hearty Noodle Moraga 2            </v>
      </c>
      <c r="H520" s="1" t="str">
        <f>IFERROR(__xludf.DUMMYFUNCTION("SPLIT(B520,""-"")"),"Little Hearty Noodle Moraga 2    ")</f>
        <v>Little Hearty Noodle Moraga 2    </v>
      </c>
    </row>
    <row r="521">
      <c r="A521" s="1">
        <v>518.0</v>
      </c>
      <c r="B521" s="3" t="s">
        <v>2050</v>
      </c>
      <c r="C521" s="1">
        <v>3.5</v>
      </c>
      <c r="D521" s="1" t="s">
        <v>934</v>
      </c>
      <c r="E521" s="3" t="s">
        <v>935</v>
      </c>
      <c r="F521" s="1" t="s">
        <v>2051</v>
      </c>
      <c r="G521" t="str">
        <f t="shared" si="1"/>
        <v>Bubble Loca Richmond              </v>
      </c>
      <c r="H521" s="1" t="str">
        <f>IFERROR(__xludf.DUMMYFUNCTION("SPLIT(B521,""-"")"),"Bubble Loca Richmond      ")</f>
        <v>Bubble Loca Richmond      </v>
      </c>
    </row>
    <row r="522">
      <c r="A522" s="1">
        <v>519.0</v>
      </c>
      <c r="B522" s="3" t="s">
        <v>2052</v>
      </c>
      <c r="C522" s="1">
        <v>4.0</v>
      </c>
      <c r="D522" s="1" t="s">
        <v>934</v>
      </c>
      <c r="E522" s="3" t="s">
        <v>935</v>
      </c>
      <c r="F522" s="1" t="s">
        <v>2053</v>
      </c>
      <c r="G522" t="str">
        <f t="shared" si="1"/>
        <v>Ten Ren Tea Co Richmond            </v>
      </c>
      <c r="H522" s="1" t="str">
        <f>IFERROR(__xludf.DUMMYFUNCTION("SPLIT(B522,""-"")"),"Ten Ren Tea Co Richmond    ")</f>
        <v>Ten Ren Tea Co Richmond    </v>
      </c>
    </row>
    <row r="523">
      <c r="A523" s="1">
        <v>520.0</v>
      </c>
      <c r="B523" s="3" t="s">
        <v>2054</v>
      </c>
      <c r="C523" s="1">
        <v>3.5</v>
      </c>
      <c r="D523" s="1" t="s">
        <v>936</v>
      </c>
      <c r="E523" s="3" t="s">
        <v>937</v>
      </c>
      <c r="F523" s="1" t="s">
        <v>2055</v>
      </c>
      <c r="G523" t="str">
        <f t="shared" si="1"/>
        <v>Tala Coffee And Tea El Cerrito 2          </v>
      </c>
      <c r="H523" s="1" t="str">
        <f>IFERROR(__xludf.DUMMYFUNCTION("SPLIT(B523,""-"")"),"Tala Coffee And Tea El Cerrito 2  ")</f>
        <v>Tala Coffee And Tea El Cerrito 2  </v>
      </c>
    </row>
    <row r="524">
      <c r="A524" s="1">
        <v>521.0</v>
      </c>
      <c r="B524" s="3" t="s">
        <v>2056</v>
      </c>
      <c r="C524" s="1">
        <v>3.5</v>
      </c>
      <c r="D524" s="1" t="s">
        <v>938</v>
      </c>
      <c r="E524" s="3" t="s">
        <v>939</v>
      </c>
      <c r="F524" s="1" t="s">
        <v>2057</v>
      </c>
      <c r="G524" t="str">
        <f t="shared" si="1"/>
        <v>Sharetea San Rafael 3             </v>
      </c>
      <c r="H524" s="1" t="str">
        <f>IFERROR(__xludf.DUMMYFUNCTION("SPLIT(B524,""-"")"),"Sharetea San Rafael 3     ")</f>
        <v>Sharetea San Rafael 3     </v>
      </c>
    </row>
    <row r="525">
      <c r="A525" s="1">
        <v>522.0</v>
      </c>
      <c r="B525" s="3" t="s">
        <v>2058</v>
      </c>
      <c r="C525" s="1">
        <v>3.5</v>
      </c>
      <c r="D525" s="1" t="s">
        <v>940</v>
      </c>
      <c r="E525" s="3" t="s">
        <v>939</v>
      </c>
      <c r="F525" s="1" t="s">
        <v>2059</v>
      </c>
      <c r="G525" t="str">
        <f t="shared" si="1"/>
        <v>Tpartea Boba Drinks And Banh Mi San Rafael 3        </v>
      </c>
      <c r="H525" s="1" t="str">
        <f>IFERROR(__xludf.DUMMYFUNCTION("SPLIT(B525,""-"")"),"Tpartea Boba Drinks And Banh Mi San Rafael 3")</f>
        <v>Tpartea Boba Drinks And Banh Mi San Rafael 3</v>
      </c>
    </row>
    <row r="526">
      <c r="A526" s="1">
        <v>523.0</v>
      </c>
      <c r="B526" s="3" t="s">
        <v>2060</v>
      </c>
      <c r="C526" s="1">
        <v>3.5</v>
      </c>
      <c r="D526" s="1" t="s">
        <v>934</v>
      </c>
      <c r="E526" s="3" t="s">
        <v>935</v>
      </c>
      <c r="F526" s="1" t="s">
        <v>2061</v>
      </c>
      <c r="G526" t="str">
        <f t="shared" si="1"/>
        <v>Sunny Day Sweet House Richmond            </v>
      </c>
      <c r="H526" s="1" t="str">
        <f>IFERROR(__xludf.DUMMYFUNCTION("SPLIT(B526,""-"")"),"Sunny Day Sweet House Richmond    ")</f>
        <v>Sunny Day Sweet House Richmond    </v>
      </c>
    </row>
    <row r="527">
      <c r="A527" s="1">
        <v>524.0</v>
      </c>
      <c r="B527" s="3" t="s">
        <v>2062</v>
      </c>
      <c r="C527" s="1">
        <v>4.5</v>
      </c>
      <c r="D527" s="1" t="s">
        <v>941</v>
      </c>
      <c r="E527" s="3" t="s">
        <v>869</v>
      </c>
      <c r="F527" s="1" t="s">
        <v>2063</v>
      </c>
      <c r="G527" t="str">
        <f t="shared" si="1"/>
        <v>Aloha Pure Water Shaved Ice San Pablo          </v>
      </c>
      <c r="H527" s="1" t="str">
        <f>IFERROR(__xludf.DUMMYFUNCTION("SPLIT(B527,""-"")"),"Aloha Pure Water Shaved Ice San Pablo  ")</f>
        <v>Aloha Pure Water Shaved Ice San Pablo  </v>
      </c>
    </row>
    <row r="528">
      <c r="A528" s="1">
        <v>525.0</v>
      </c>
      <c r="B528" s="3" t="s">
        <v>2064</v>
      </c>
      <c r="C528" s="1">
        <v>4.5</v>
      </c>
      <c r="D528" s="1" t="s">
        <v>942</v>
      </c>
      <c r="E528" s="3" t="s">
        <v>943</v>
      </c>
      <c r="F528" s="1" t="s">
        <v>2065</v>
      </c>
      <c r="G528" t="str">
        <f t="shared" si="1"/>
        <v>World Wrapps Corte Madera 7            </v>
      </c>
      <c r="H528" s="1" t="str">
        <f>IFERROR(__xludf.DUMMYFUNCTION("SPLIT(B528,""-"")"),"World Wrapps Corte Madera 7    ")</f>
        <v>World Wrapps Corte Madera 7    </v>
      </c>
    </row>
    <row r="529">
      <c r="A529" s="1">
        <v>526.0</v>
      </c>
      <c r="B529" s="3" t="s">
        <v>2066</v>
      </c>
      <c r="C529" s="1">
        <v>3.0</v>
      </c>
      <c r="D529" s="1" t="s">
        <v>944</v>
      </c>
      <c r="E529" s="3" t="s">
        <v>937</v>
      </c>
      <c r="F529" s="1" t="s">
        <v>2067</v>
      </c>
      <c r="G529" t="str">
        <f t="shared" si="1"/>
        <v>Quickly El Cerrito              </v>
      </c>
      <c r="H529" s="1" t="str">
        <f>IFERROR(__xludf.DUMMYFUNCTION("SPLIT(B529,""-"")"),"Quickly El Cerrito      ")</f>
        <v>Quickly El Cerrito      </v>
      </c>
    </row>
    <row r="530">
      <c r="A530" s="1">
        <v>527.0</v>
      </c>
      <c r="B530" s="3" t="s">
        <v>2068</v>
      </c>
      <c r="C530" s="1">
        <v>3.5</v>
      </c>
      <c r="D530" s="1" t="s">
        <v>945</v>
      </c>
      <c r="E530" s="3" t="s">
        <v>946</v>
      </c>
      <c r="F530" s="1" t="s">
        <v>2069</v>
      </c>
      <c r="G530" t="str">
        <f t="shared" si="1"/>
        <v>Tay Tah Cafe Albany             </v>
      </c>
      <c r="H530" s="1" t="str">
        <f>IFERROR(__xludf.DUMMYFUNCTION("SPLIT(B530,""-"")"),"Tay Tah Cafe Albany     ")</f>
        <v>Tay Tah Cafe Albany     </v>
      </c>
    </row>
    <row r="531">
      <c r="A531" s="1">
        <v>528.0</v>
      </c>
      <c r="B531" s="3" t="s">
        <v>2070</v>
      </c>
      <c r="C531" s="1">
        <v>3.5</v>
      </c>
      <c r="D531" s="1" t="s">
        <v>947</v>
      </c>
      <c r="E531" s="3" t="s">
        <v>227</v>
      </c>
      <c r="F531" s="1" t="s">
        <v>2071</v>
      </c>
      <c r="G531" t="str">
        <f t="shared" si="1"/>
        <v>Sweetheart Cafe Berkeley              </v>
      </c>
      <c r="H531" s="1" t="str">
        <f>IFERROR(__xludf.DUMMYFUNCTION("SPLIT(B531,""-"")"),"Sweetheart Cafe Berkeley      ")</f>
        <v>Sweetheart Cafe Berkeley      </v>
      </c>
    </row>
    <row r="532">
      <c r="A532" s="1">
        <v>529.0</v>
      </c>
      <c r="B532" s="3" t="s">
        <v>2072</v>
      </c>
      <c r="C532" s="1">
        <v>3.5</v>
      </c>
      <c r="D532" s="1" t="s">
        <v>948</v>
      </c>
      <c r="E532" s="3" t="s">
        <v>227</v>
      </c>
      <c r="F532" s="1" t="s">
        <v>2073</v>
      </c>
      <c r="G532" t="str">
        <f t="shared" si="1"/>
        <v>Teaone Berkeley Berkeley              </v>
      </c>
      <c r="H532" s="1" t="str">
        <f>IFERROR(__xludf.DUMMYFUNCTION("SPLIT(B532,""-"")"),"Teaone Berkeley Berkeley      ")</f>
        <v>Teaone Berkeley Berkeley      </v>
      </c>
    </row>
    <row r="533">
      <c r="A533" s="1">
        <v>530.0</v>
      </c>
      <c r="B533" s="3" t="s">
        <v>2074</v>
      </c>
      <c r="C533" s="1">
        <v>2.0</v>
      </c>
      <c r="D533" s="1" t="s">
        <v>934</v>
      </c>
      <c r="E533" s="3" t="s">
        <v>935</v>
      </c>
      <c r="F533" s="1" t="s">
        <v>2075</v>
      </c>
      <c r="G533" t="str">
        <f t="shared" si="1"/>
        <v>Quickly Kobe Bento Richmond 2            </v>
      </c>
      <c r="H533" s="1" t="str">
        <f>IFERROR(__xludf.DUMMYFUNCTION("SPLIT(B533,""-"")"),"Quickly Kobe Bento Richmond 2    ")</f>
        <v>Quickly Kobe Bento Richmond 2    </v>
      </c>
    </row>
    <row r="534">
      <c r="A534" s="1">
        <v>531.0</v>
      </c>
      <c r="B534" s="3" t="s">
        <v>2076</v>
      </c>
      <c r="C534" s="1">
        <v>3.0</v>
      </c>
      <c r="D534" s="1" t="s">
        <v>949</v>
      </c>
      <c r="E534" s="3" t="s">
        <v>939</v>
      </c>
      <c r="F534" s="1" t="s">
        <v>2077</v>
      </c>
      <c r="G534" t="str">
        <f t="shared" si="1"/>
        <v>Quickly San Rafael              </v>
      </c>
      <c r="H534" s="1" t="str">
        <f>IFERROR(__xludf.DUMMYFUNCTION("SPLIT(B534,""-"")"),"Quickly San Rafael      ")</f>
        <v>Quickly San Rafael      </v>
      </c>
    </row>
    <row r="535">
      <c r="A535" s="1">
        <v>532.0</v>
      </c>
      <c r="B535" s="3" t="s">
        <v>2078</v>
      </c>
      <c r="C535" s="1">
        <v>4.5</v>
      </c>
      <c r="D535" s="1" t="s">
        <v>950</v>
      </c>
      <c r="E535" s="3" t="s">
        <v>537</v>
      </c>
      <c r="F535" s="1" t="s">
        <v>2079</v>
      </c>
      <c r="G535" t="str">
        <f t="shared" si="1"/>
        <v>Sivans Cafe Hayward              </v>
      </c>
      <c r="H535" s="1" t="str">
        <f>IFERROR(__xludf.DUMMYFUNCTION("SPLIT(B535,""-"")"),"Sivans Cafe Hayward      ")</f>
        <v>Sivans Cafe Hayward      </v>
      </c>
    </row>
    <row r="536">
      <c r="A536" s="1">
        <v>533.0</v>
      </c>
      <c r="B536" s="3" t="s">
        <v>2080</v>
      </c>
      <c r="C536" s="1">
        <v>5.0</v>
      </c>
      <c r="D536" s="1" t="s">
        <v>951</v>
      </c>
      <c r="E536" s="3" t="s">
        <v>537</v>
      </c>
      <c r="F536" s="1" t="s">
        <v>2081</v>
      </c>
      <c r="G536" t="str">
        <f t="shared" si="1"/>
        <v>Honey Bear Smoothie Tea And Dessert Hayward          </v>
      </c>
      <c r="H536" s="1" t="str">
        <f>IFERROR(__xludf.DUMMYFUNCTION("SPLIT(B536,""-"")"),"Honey Bear Smoothie Tea And Dessert Hayward  ")</f>
        <v>Honey Bear Smoothie Tea And Dessert Hayward  </v>
      </c>
    </row>
    <row r="537">
      <c r="A537" s="1">
        <v>534.0</v>
      </c>
      <c r="B537" s="3" t="s">
        <v>2082</v>
      </c>
      <c r="C537" s="1">
        <v>4.0</v>
      </c>
      <c r="D537" s="1" t="s">
        <v>952</v>
      </c>
      <c r="E537" s="3" t="s">
        <v>447</v>
      </c>
      <c r="F537" s="1" t="s">
        <v>2083</v>
      </c>
      <c r="G537" t="str">
        <f t="shared" si="1"/>
        <v>Sharetea San Ramon              </v>
      </c>
      <c r="H537" s="1" t="str">
        <f>IFERROR(__xludf.DUMMYFUNCTION("SPLIT(B537,""-"")"),"Sharetea San Ramon      ")</f>
        <v>Sharetea San Ramon      </v>
      </c>
    </row>
    <row r="538">
      <c r="A538" s="1">
        <v>535.0</v>
      </c>
      <c r="B538" s="3" t="s">
        <v>2084</v>
      </c>
      <c r="C538" s="1">
        <v>3.5</v>
      </c>
      <c r="D538" s="1" t="s">
        <v>953</v>
      </c>
      <c r="E538" s="3" t="s">
        <v>85</v>
      </c>
      <c r="F538" s="1" t="s">
        <v>2085</v>
      </c>
      <c r="G538" t="str">
        <f t="shared" si="1"/>
        <v>T4 Castro Valley              </v>
      </c>
      <c r="H538" s="1" t="str">
        <f>IFERROR(__xludf.DUMMYFUNCTION("SPLIT(B538,""-"")"),"T4 Castro Valley      ")</f>
        <v>T4 Castro Valley      </v>
      </c>
    </row>
    <row r="539">
      <c r="A539" s="1">
        <v>536.0</v>
      </c>
      <c r="B539" s="3" t="s">
        <v>2086</v>
      </c>
      <c r="C539" s="1">
        <v>2.5</v>
      </c>
      <c r="D539" s="1" t="s">
        <v>954</v>
      </c>
      <c r="E539" s="3" t="s">
        <v>537</v>
      </c>
      <c r="F539" s="1" t="s">
        <v>2087</v>
      </c>
      <c r="G539" t="str">
        <f t="shared" si="1"/>
        <v>Quickly Hayward               </v>
      </c>
      <c r="H539" s="1" t="str">
        <f>IFERROR(__xludf.DUMMYFUNCTION("SPLIT(B539,""-"")"),"Quickly Hayward       ")</f>
        <v>Quickly Hayward       </v>
      </c>
    </row>
    <row r="540">
      <c r="A540" s="1">
        <v>537.0</v>
      </c>
      <c r="B540" s="3" t="s">
        <v>2088</v>
      </c>
      <c r="C540" s="1">
        <v>4.0</v>
      </c>
      <c r="D540" s="1" t="s">
        <v>955</v>
      </c>
      <c r="E540" s="3" t="s">
        <v>116</v>
      </c>
      <c r="F540" s="1" t="s">
        <v>2089</v>
      </c>
      <c r="G540" t="str">
        <f t="shared" si="1"/>
        <v>8 Twelve Oriental Market San Leandro           </v>
      </c>
      <c r="H540" s="1" t="str">
        <f>IFERROR(__xludf.DUMMYFUNCTION("SPLIT(B540,""-"")"),"8 Twelve Oriental Market San Leandro   ")</f>
        <v>8 Twelve Oriental Market San Leandro   </v>
      </c>
    </row>
    <row r="541">
      <c r="A541" s="1">
        <v>538.0</v>
      </c>
      <c r="B541" s="3" t="s">
        <v>2090</v>
      </c>
      <c r="C541" s="1">
        <v>4.0</v>
      </c>
      <c r="D541" s="1" t="s">
        <v>956</v>
      </c>
      <c r="E541" s="3" t="s">
        <v>537</v>
      </c>
      <c r="F541" s="1" t="s">
        <v>2091</v>
      </c>
      <c r="G541" t="str">
        <f t="shared" si="1"/>
        <v>Polaris Ice Cream Rolls Hayward            </v>
      </c>
      <c r="H541" s="1" t="str">
        <f>IFERROR(__xludf.DUMMYFUNCTION("SPLIT(B541,""-"")"),"Polaris Ice Cream Rolls Hayward    ")</f>
        <v>Polaris Ice Cream Rolls Hayward    </v>
      </c>
    </row>
    <row r="542">
      <c r="A542" s="1">
        <v>539.0</v>
      </c>
      <c r="B542" s="3" t="s">
        <v>2092</v>
      </c>
      <c r="C542" s="1">
        <v>3.5</v>
      </c>
      <c r="D542" s="1" t="s">
        <v>957</v>
      </c>
      <c r="E542" s="3" t="s">
        <v>85</v>
      </c>
      <c r="F542" s="1" t="s">
        <v>2093</v>
      </c>
      <c r="G542" t="str">
        <f t="shared" si="1"/>
        <v>Milkcow Castro Valley              </v>
      </c>
      <c r="H542" s="1" t="str">
        <f>IFERROR(__xludf.DUMMYFUNCTION("SPLIT(B542,""-"")"),"Milkcow Castro Valley      ")</f>
        <v>Milkcow Castro Valley      </v>
      </c>
    </row>
    <row r="543">
      <c r="A543" s="1">
        <v>540.0</v>
      </c>
      <c r="B543" s="3" t="s">
        <v>2094</v>
      </c>
      <c r="C543" s="1">
        <v>3.5</v>
      </c>
      <c r="D543" s="1" t="s">
        <v>958</v>
      </c>
      <c r="E543" s="3" t="s">
        <v>584</v>
      </c>
      <c r="F543" s="1" t="s">
        <v>2095</v>
      </c>
      <c r="G543" t="str">
        <f t="shared" si="1"/>
        <v>Satori Tea Company Saratoga             </v>
      </c>
      <c r="H543" s="1" t="str">
        <f>IFERROR(__xludf.DUMMYFUNCTION("SPLIT(B543,""-"")"),"Satori Tea Company Saratoga     ")</f>
        <v>Satori Tea Company Saratoga     </v>
      </c>
    </row>
    <row r="544">
      <c r="A544" s="1">
        <v>541.0</v>
      </c>
      <c r="B544" s="3" t="s">
        <v>2096</v>
      </c>
      <c r="C544" s="1">
        <v>4.0</v>
      </c>
      <c r="E544" s="3" t="s">
        <v>82</v>
      </c>
      <c r="F544" s="1" t="s">
        <v>2097</v>
      </c>
      <c r="G544" t="str">
        <f t="shared" si="1"/>
        <v>Creative Sips San Jose             </v>
      </c>
      <c r="H544" s="1" t="str">
        <f>IFERROR(__xludf.DUMMYFUNCTION("SPLIT(B544,""-"")"),"Creative Sips San Jose     ")</f>
        <v>Creative Sips San Jose     </v>
      </c>
    </row>
    <row r="545">
      <c r="A545" s="1">
        <v>542.0</v>
      </c>
      <c r="B545" s="3" t="s">
        <v>2098</v>
      </c>
      <c r="C545" s="1">
        <v>4.5</v>
      </c>
      <c r="D545" s="1" t="s">
        <v>959</v>
      </c>
      <c r="E545" s="3" t="s">
        <v>584</v>
      </c>
      <c r="F545" s="1" t="s">
        <v>2099</v>
      </c>
      <c r="G545" t="str">
        <f t="shared" si="1"/>
        <v>Saratoga Bagels Saratoga              </v>
      </c>
      <c r="H545" s="1" t="str">
        <f>IFERROR(__xludf.DUMMYFUNCTION("SPLIT(B545,""-"")"),"Saratoga Bagels Saratoga      ")</f>
        <v>Saratoga Bagels Saratoga      </v>
      </c>
    </row>
    <row r="546">
      <c r="A546" s="1">
        <v>543.0</v>
      </c>
      <c r="B546" s="3" t="s">
        <v>2100</v>
      </c>
      <c r="C546" s="1">
        <v>3.5</v>
      </c>
      <c r="D546" s="1" t="s">
        <v>960</v>
      </c>
      <c r="E546" s="3" t="s">
        <v>82</v>
      </c>
      <c r="F546" s="1" t="s">
        <v>2101</v>
      </c>
      <c r="G546" t="str">
        <f t="shared" si="1"/>
        <v>Snowflake San Jose              </v>
      </c>
      <c r="H546" s="1" t="str">
        <f>IFERROR(__xludf.DUMMYFUNCTION("SPLIT(B546,""-"")"),"Snowflake San Jose      ")</f>
        <v>Snowflake San Jose      </v>
      </c>
    </row>
    <row r="547">
      <c r="A547" s="1">
        <v>544.0</v>
      </c>
      <c r="B547" s="3" t="s">
        <v>2102</v>
      </c>
      <c r="C547" s="1">
        <v>4.5</v>
      </c>
      <c r="D547" s="1" t="s">
        <v>961</v>
      </c>
      <c r="E547" s="3" t="s">
        <v>962</v>
      </c>
      <c r="F547" s="1" t="s">
        <v>2103</v>
      </c>
      <c r="G547" t="str">
        <f t="shared" si="1"/>
        <v>Steepers Campbell               </v>
      </c>
      <c r="H547" s="1" t="str">
        <f>IFERROR(__xludf.DUMMYFUNCTION("SPLIT(B547,""-"")"),"Steepers Campbell       ")</f>
        <v>Steepers Campbell       </v>
      </c>
    </row>
    <row r="548">
      <c r="A548" s="1">
        <v>545.0</v>
      </c>
      <c r="B548" s="3" t="s">
        <v>2104</v>
      </c>
      <c r="C548" s="1">
        <v>3.5</v>
      </c>
      <c r="D548" s="1" t="s">
        <v>963</v>
      </c>
      <c r="E548" s="3" t="s">
        <v>962</v>
      </c>
      <c r="F548" s="1" t="s">
        <v>2105</v>
      </c>
      <c r="G548" t="str">
        <f t="shared" si="1"/>
        <v>Yodo Yogurt Campbell              </v>
      </c>
      <c r="H548" s="1" t="str">
        <f>IFERROR(__xludf.DUMMYFUNCTION("SPLIT(B548,""-"")"),"Yodo Yogurt Campbell      ")</f>
        <v>Yodo Yogurt Campbell      </v>
      </c>
    </row>
    <row r="549">
      <c r="A549" s="1">
        <v>546.0</v>
      </c>
      <c r="B549" s="3" t="s">
        <v>2106</v>
      </c>
      <c r="C549" s="1">
        <v>2.5</v>
      </c>
      <c r="D549" s="1" t="s">
        <v>778</v>
      </c>
      <c r="E549" s="3" t="s">
        <v>348</v>
      </c>
      <c r="F549" s="1" t="s">
        <v>2107</v>
      </c>
      <c r="G549" t="str">
        <f t="shared" si="1"/>
        <v>Caffé Central Santa Clara             </v>
      </c>
      <c r="H549" s="1" t="str">
        <f>IFERROR(__xludf.DUMMYFUNCTION("SPLIT(B549,""-"")"),"Caffé Central Santa Clara     ")</f>
        <v>Caffé Central Santa Clara     </v>
      </c>
    </row>
    <row r="550">
      <c r="A550" s="1">
        <v>547.0</v>
      </c>
      <c r="B550" s="3" t="s">
        <v>2108</v>
      </c>
      <c r="C550" s="1">
        <v>3.0</v>
      </c>
      <c r="D550" s="1" t="s">
        <v>964</v>
      </c>
      <c r="E550" s="3" t="s">
        <v>348</v>
      </c>
      <c r="F550" s="1" t="s">
        <v>2109</v>
      </c>
      <c r="G550" t="str">
        <f t="shared" si="1"/>
        <v>Bar Code Santa Clara             </v>
      </c>
      <c r="H550" s="1" t="str">
        <f>IFERROR(__xludf.DUMMYFUNCTION("SPLIT(B550,""-"")"),"Bar Code Santa Clara     ")</f>
        <v>Bar Code Santa Clara     </v>
      </c>
    </row>
    <row r="551">
      <c r="A551" s="1">
        <v>548.0</v>
      </c>
      <c r="B551" s="3" t="s">
        <v>2110</v>
      </c>
      <c r="C551" s="1">
        <v>3.5</v>
      </c>
      <c r="D551" s="1" t="s">
        <v>965</v>
      </c>
      <c r="E551" s="3" t="s">
        <v>962</v>
      </c>
      <c r="F551" s="1" t="s">
        <v>2111</v>
      </c>
      <c r="G551" t="str">
        <f t="shared" si="1"/>
        <v>Jovie Coffee And Pho Campbell            </v>
      </c>
      <c r="H551" s="1" t="str">
        <f>IFERROR(__xludf.DUMMYFUNCTION("SPLIT(B551,""-"")"),"Jovie Coffee And Pho Campbell    ")</f>
        <v>Jovie Coffee And Pho Campbell    </v>
      </c>
    </row>
    <row r="552">
      <c r="A552" s="1">
        <v>549.0</v>
      </c>
      <c r="B552" s="3" t="s">
        <v>2112</v>
      </c>
      <c r="C552" s="1">
        <v>3.5</v>
      </c>
      <c r="D552" s="1" t="s">
        <v>966</v>
      </c>
      <c r="E552" s="3" t="s">
        <v>348</v>
      </c>
      <c r="F552" s="1" t="s">
        <v>2113</v>
      </c>
      <c r="G552" t="str">
        <f t="shared" si="1"/>
        <v>Tous Les Jours Santa Clara            </v>
      </c>
      <c r="H552" s="1" t="str">
        <f>IFERROR(__xludf.DUMMYFUNCTION("SPLIT(B552,""-"")"),"Tous Les Jours Santa Clara    ")</f>
        <v>Tous Les Jours Santa Clara    </v>
      </c>
    </row>
    <row r="553">
      <c r="A553" s="1">
        <v>550.0</v>
      </c>
      <c r="B553" s="3" t="s">
        <v>2114</v>
      </c>
      <c r="C553" s="1">
        <v>4.5</v>
      </c>
      <c r="D553" s="1" t="s">
        <v>967</v>
      </c>
      <c r="E553" s="3" t="s">
        <v>405</v>
      </c>
      <c r="F553" s="1" t="s">
        <v>2115</v>
      </c>
      <c r="G553" t="str">
        <f t="shared" si="1"/>
        <v>Menchies Frozen Yogurt Vallejo             </v>
      </c>
      <c r="H553" s="1" t="str">
        <f>IFERROR(__xludf.DUMMYFUNCTION("SPLIT(B553,""-"")"),"Menchies Frozen Yogurt Vallejo     ")</f>
        <v>Menchies Frozen Yogurt Vallejo     </v>
      </c>
    </row>
    <row r="554">
      <c r="A554" s="1">
        <v>551.0</v>
      </c>
      <c r="B554" s="3" t="s">
        <v>2116</v>
      </c>
      <c r="C554" s="1">
        <v>4.5</v>
      </c>
      <c r="D554" s="1" t="s">
        <v>968</v>
      </c>
      <c r="E554" s="3" t="s">
        <v>405</v>
      </c>
      <c r="F554" s="1" t="s">
        <v>2117</v>
      </c>
      <c r="G554" t="str">
        <f t="shared" si="1"/>
        <v>Starbread Bakery Vallejo              </v>
      </c>
      <c r="H554" s="1" t="str">
        <f>IFERROR(__xludf.DUMMYFUNCTION("SPLIT(B554,""-"")"),"Starbread Bakery Vallejo      ")</f>
        <v>Starbread Bakery Vallejo      </v>
      </c>
    </row>
    <row r="555">
      <c r="A555" s="1">
        <v>552.0</v>
      </c>
      <c r="B555" s="3" t="s">
        <v>2118</v>
      </c>
      <c r="C555" s="1">
        <v>4.0</v>
      </c>
      <c r="D555" s="1" t="s">
        <v>969</v>
      </c>
      <c r="E555" s="3" t="s">
        <v>405</v>
      </c>
      <c r="F555" s="1" t="s">
        <v>2119</v>
      </c>
      <c r="G555" t="str">
        <f t="shared" si="1"/>
        <v>Pho 1 Vallejo              </v>
      </c>
      <c r="H555" s="1" t="str">
        <f>IFERROR(__xludf.DUMMYFUNCTION("SPLIT(B555,""-"")"),"Pho 1 Vallejo      ")</f>
        <v>Pho 1 Vallejo      </v>
      </c>
    </row>
    <row r="556">
      <c r="A556" s="1">
        <v>553.0</v>
      </c>
      <c r="B556" s="3" t="s">
        <v>2120</v>
      </c>
      <c r="C556" s="1">
        <v>3.0</v>
      </c>
      <c r="D556" s="1" t="s">
        <v>970</v>
      </c>
      <c r="E556" s="3" t="s">
        <v>405</v>
      </c>
      <c r="F556" s="1" t="s">
        <v>2121</v>
      </c>
      <c r="G556" t="str">
        <f t="shared" si="1"/>
        <v>Sunshine Bakery Vallejo 3             </v>
      </c>
      <c r="H556" s="1" t="str">
        <f>IFERROR(__xludf.DUMMYFUNCTION("SPLIT(B556,""-"")"),"Sunshine Bakery Vallejo 3     ")</f>
        <v>Sunshine Bakery Vallejo 3     </v>
      </c>
    </row>
    <row r="557">
      <c r="A557" s="1">
        <v>554.0</v>
      </c>
      <c r="B557" s="3" t="s">
        <v>2122</v>
      </c>
      <c r="C557" s="1">
        <v>3.0</v>
      </c>
      <c r="D557" s="1" t="s">
        <v>971</v>
      </c>
      <c r="E557" s="3" t="s">
        <v>405</v>
      </c>
      <c r="F557" s="1" t="s">
        <v>2123</v>
      </c>
      <c r="G557" t="str">
        <f t="shared" si="1"/>
        <v>Original Red Onion Vallejo 2            </v>
      </c>
      <c r="H557" s="1" t="str">
        <f>IFERROR(__xludf.DUMMYFUNCTION("SPLIT(B557,""-"")"),"Original Red Onion Vallejo 2    ")</f>
        <v>Original Red Onion Vallejo 2    </v>
      </c>
    </row>
    <row r="558">
      <c r="A558" s="1">
        <v>555.0</v>
      </c>
      <c r="B558" s="3" t="s">
        <v>2124</v>
      </c>
      <c r="C558" s="1">
        <v>3.5</v>
      </c>
      <c r="D558" s="1" t="s">
        <v>972</v>
      </c>
      <c r="E558" s="3" t="s">
        <v>405</v>
      </c>
      <c r="F558" s="1" t="s">
        <v>2125</v>
      </c>
      <c r="G558" t="str">
        <f t="shared" si="1"/>
        <v>Yo Sushi Vallejo 2             </v>
      </c>
      <c r="H558" s="1" t="str">
        <f>IFERROR(__xludf.DUMMYFUNCTION("SPLIT(B558,""-"")"),"Yo Sushi Vallejo 2     ")</f>
        <v>Yo Sushi Vallejo 2     </v>
      </c>
    </row>
    <row r="559">
      <c r="A559" s="1">
        <v>556.0</v>
      </c>
      <c r="B559" s="3" t="s">
        <v>2126</v>
      </c>
      <c r="C559" s="1">
        <v>3.5</v>
      </c>
      <c r="D559" s="1" t="s">
        <v>973</v>
      </c>
      <c r="E559" s="3" t="s">
        <v>405</v>
      </c>
      <c r="F559" s="1" t="s">
        <v>2127</v>
      </c>
      <c r="G559" t="str">
        <f t="shared" si="1"/>
        <v>Midori Japanese Cuisine Vallejo             </v>
      </c>
      <c r="H559" s="1" t="str">
        <f>IFERROR(__xludf.DUMMYFUNCTION("SPLIT(B559,""-"")"),"Midori Japanese Cuisine Vallejo     ")</f>
        <v>Midori Japanese Cuisine Vallejo     </v>
      </c>
    </row>
    <row r="560">
      <c r="A560" s="1">
        <v>557.0</v>
      </c>
      <c r="B560" s="3" t="s">
        <v>2128</v>
      </c>
      <c r="C560" s="1">
        <v>3.0</v>
      </c>
      <c r="D560" s="1" t="s">
        <v>974</v>
      </c>
      <c r="E560" s="3" t="s">
        <v>405</v>
      </c>
      <c r="F560" s="1" t="s">
        <v>2129</v>
      </c>
      <c r="G560" t="str">
        <f t="shared" si="1"/>
        <v>Pho Lee Hoa Phat Vallejo 2           </v>
      </c>
      <c r="H560" s="1" t="str">
        <f>IFERROR(__xludf.DUMMYFUNCTION("SPLIT(B560,""-"")"),"Pho Lee Hoa Phat Vallejo 2   ")</f>
        <v>Pho Lee Hoa Phat Vallejo 2   </v>
      </c>
    </row>
    <row r="561">
      <c r="A561" s="1">
        <v>558.0</v>
      </c>
      <c r="B561" s="3" t="s">
        <v>2130</v>
      </c>
      <c r="C561" s="1">
        <v>4.5</v>
      </c>
      <c r="D561" s="1" t="s">
        <v>975</v>
      </c>
      <c r="E561" s="3" t="s">
        <v>405</v>
      </c>
      <c r="F561" s="1" t="s">
        <v>2131</v>
      </c>
      <c r="G561" t="str">
        <f t="shared" si="1"/>
        <v>Pho Saigon Village Noodle House Vallejo           </v>
      </c>
      <c r="H561" s="1" t="str">
        <f>IFERROR(__xludf.DUMMYFUNCTION("SPLIT(B561,""-"")"),"Pho Saigon Village Noodle House Vallejo   ")</f>
        <v>Pho Saigon Village Noodle House Vallejo   </v>
      </c>
    </row>
    <row r="562">
      <c r="A562" s="1">
        <v>559.0</v>
      </c>
      <c r="B562" s="3" t="s">
        <v>2132</v>
      </c>
      <c r="C562" s="1">
        <v>3.0</v>
      </c>
      <c r="D562" s="1" t="s">
        <v>976</v>
      </c>
      <c r="E562" s="3" t="s">
        <v>405</v>
      </c>
      <c r="F562" s="1" t="s">
        <v>2133</v>
      </c>
      <c r="G562" t="str">
        <f t="shared" si="1"/>
        <v>Pho Lee Hoa Phat 2 Vallejo 3          </v>
      </c>
      <c r="H562" s="1" t="str">
        <f>IFERROR(__xludf.DUMMYFUNCTION("SPLIT(B562,""-"")"),"Pho Lee Hoa Phat 2 Vallejo 3  ")</f>
        <v>Pho Lee Hoa Phat 2 Vallejo 3  </v>
      </c>
    </row>
    <row r="563">
      <c r="A563" s="1">
        <v>560.0</v>
      </c>
      <c r="B563" s="3" t="s">
        <v>2134</v>
      </c>
      <c r="C563" s="1">
        <v>3.0</v>
      </c>
      <c r="D563" s="1" t="s">
        <v>976</v>
      </c>
      <c r="E563" s="3" t="s">
        <v>405</v>
      </c>
      <c r="F563" s="1" t="s">
        <v>2135</v>
      </c>
      <c r="G563" t="str">
        <f t="shared" si="1"/>
        <v>Chowking Vallejo               </v>
      </c>
      <c r="H563" s="1" t="str">
        <f>IFERROR(__xludf.DUMMYFUNCTION("SPLIT(B563,""-"")"),"Chowking Vallejo       ")</f>
        <v>Chowking Vallejo       </v>
      </c>
    </row>
    <row r="564">
      <c r="A564" s="1">
        <v>561.0</v>
      </c>
      <c r="B564" s="3" t="s">
        <v>2136</v>
      </c>
      <c r="C564" s="1">
        <v>4.0</v>
      </c>
      <c r="D564" s="1" t="s">
        <v>977</v>
      </c>
      <c r="E564" s="3" t="s">
        <v>405</v>
      </c>
      <c r="F564" s="1" t="s">
        <v>2137</v>
      </c>
      <c r="G564" t="str">
        <f t="shared" si="1"/>
        <v>Tacos Jalisco Vallejo              </v>
      </c>
      <c r="H564" s="1" t="str">
        <f>IFERROR(__xludf.DUMMYFUNCTION("SPLIT(B564,""-"")"),"Tacos Jalisco Vallejo      ")</f>
        <v>Tacos Jalisco Vallejo      </v>
      </c>
    </row>
    <row r="565">
      <c r="A565" s="1">
        <v>562.0</v>
      </c>
      <c r="B565" s="3" t="s">
        <v>2138</v>
      </c>
      <c r="C565" s="1">
        <v>4.0</v>
      </c>
      <c r="D565" s="1" t="s">
        <v>978</v>
      </c>
      <c r="E565" s="3" t="s">
        <v>817</v>
      </c>
      <c r="F565" s="1" t="s">
        <v>2139</v>
      </c>
      <c r="G565" t="str">
        <f t="shared" si="1"/>
        <v>Menchies Frozen Yogurt Belmont 2            </v>
      </c>
      <c r="H565" s="1" t="str">
        <f>IFERROR(__xludf.DUMMYFUNCTION("SPLIT(B565,""-"")"),"Menchies Frozen Yogurt Belmont 2    ")</f>
        <v>Menchies Frozen Yogurt Belmont 2    </v>
      </c>
    </row>
    <row r="566">
      <c r="A566" s="1">
        <v>563.0</v>
      </c>
      <c r="B566" s="3" t="s">
        <v>2140</v>
      </c>
      <c r="C566" s="1">
        <v>4.0</v>
      </c>
      <c r="D566" s="1" t="s">
        <v>979</v>
      </c>
      <c r="E566" s="3" t="s">
        <v>811</v>
      </c>
      <c r="F566" s="1" t="s">
        <v>2141</v>
      </c>
      <c r="G566" t="str">
        <f t="shared" si="1"/>
        <v>Fashion Wok Foster City             </v>
      </c>
      <c r="H566" s="1" t="str">
        <f>IFERROR(__xludf.DUMMYFUNCTION("SPLIT(B566,""-"")"),"Fashion Wok Foster City     ")</f>
        <v>Fashion Wok Foster City     </v>
      </c>
    </row>
    <row r="567">
      <c r="A567" s="1">
        <v>564.0</v>
      </c>
      <c r="B567" s="3" t="s">
        <v>2142</v>
      </c>
      <c r="C567" s="1">
        <v>3.5</v>
      </c>
      <c r="D567" s="1" t="s">
        <v>980</v>
      </c>
      <c r="E567" s="3" t="s">
        <v>811</v>
      </c>
      <c r="F567" s="1" t="s">
        <v>2143</v>
      </c>
      <c r="G567" t="str">
        <f t="shared" si="1"/>
        <v>Pho New Saigon Foster City            </v>
      </c>
      <c r="H567" s="1" t="str">
        <f>IFERROR(__xludf.DUMMYFUNCTION("SPLIT(B567,""-"")"),"Pho New Saigon Foster City    ")</f>
        <v>Pho New Saigon Foster City    </v>
      </c>
    </row>
    <row r="568">
      <c r="A568" s="1">
        <v>565.0</v>
      </c>
      <c r="B568" s="3" t="s">
        <v>2144</v>
      </c>
      <c r="C568" s="1">
        <v>3.5</v>
      </c>
      <c r="E568" s="3" t="s">
        <v>817</v>
      </c>
      <c r="F568" s="1" t="s">
        <v>2145</v>
      </c>
      <c r="G568" t="str">
        <f t="shared" si="1"/>
        <v>Hongry Kong Belmont 2             </v>
      </c>
      <c r="H568" s="1" t="str">
        <f>IFERROR(__xludf.DUMMYFUNCTION("SPLIT(B568,""-"")"),"Hongry Kong Belmont 2     ")</f>
        <v>Hongry Kong Belmont 2     </v>
      </c>
    </row>
    <row r="569">
      <c r="A569" s="1">
        <v>566.0</v>
      </c>
      <c r="B569" s="3" t="s">
        <v>2146</v>
      </c>
      <c r="C569" s="1">
        <v>3.0</v>
      </c>
      <c r="D569" s="1" t="s">
        <v>981</v>
      </c>
      <c r="E569" s="3" t="s">
        <v>789</v>
      </c>
      <c r="F569" s="1" t="s">
        <v>2147</v>
      </c>
      <c r="G569" t="str">
        <f t="shared" si="1"/>
        <v>Marina Food San Mateo             </v>
      </c>
      <c r="H569" s="1" t="str">
        <f>IFERROR(__xludf.DUMMYFUNCTION("SPLIT(B569,""-"")"),"Marina Food San Mateo     ")</f>
        <v>Marina Food San Mateo     </v>
      </c>
    </row>
    <row r="570">
      <c r="A570" s="1">
        <v>567.0</v>
      </c>
      <c r="B570" s="3" t="s">
        <v>2148</v>
      </c>
      <c r="C570" s="1">
        <v>3.5</v>
      </c>
      <c r="D570" s="1" t="s">
        <v>982</v>
      </c>
      <c r="E570" s="3" t="s">
        <v>811</v>
      </c>
      <c r="F570" s="1" t="s">
        <v>2149</v>
      </c>
      <c r="G570" t="str">
        <f t="shared" si="1"/>
        <v>Cooking Papa Restaurant Foster City            </v>
      </c>
      <c r="H570" s="1" t="str">
        <f>IFERROR(__xludf.DUMMYFUNCTION("SPLIT(B570,""-"")"),"Cooking Papa Restaurant Foster City    ")</f>
        <v>Cooking Papa Restaurant Foster City    </v>
      </c>
    </row>
    <row r="571">
      <c r="A571" s="1">
        <v>568.0</v>
      </c>
      <c r="B571" s="3" t="s">
        <v>2150</v>
      </c>
      <c r="C571" s="1">
        <v>3.0</v>
      </c>
      <c r="D571" s="1" t="s">
        <v>983</v>
      </c>
      <c r="E571" s="3" t="s">
        <v>789</v>
      </c>
      <c r="F571" s="1" t="s">
        <v>2151</v>
      </c>
      <c r="G571" t="str">
        <f t="shared" si="1"/>
        <v>Sheng Kee Bakery San Mateo 2           </v>
      </c>
      <c r="H571" s="1" t="str">
        <f>IFERROR(__xludf.DUMMYFUNCTION("SPLIT(B571,""-"")"),"Sheng Kee Bakery San Mateo 2   ")</f>
        <v>Sheng Kee Bakery San Mateo 2   </v>
      </c>
    </row>
    <row r="572">
      <c r="A572" s="1">
        <v>569.0</v>
      </c>
      <c r="B572" s="3" t="s">
        <v>2152</v>
      </c>
      <c r="C572" s="1">
        <v>4.5</v>
      </c>
      <c r="E572" s="3" t="s">
        <v>66</v>
      </c>
      <c r="F572" s="1" t="s">
        <v>2153</v>
      </c>
      <c r="G572" t="str">
        <f t="shared" si="1"/>
        <v>Eat On Monday Mountain View 3           </v>
      </c>
      <c r="H572" s="1" t="str">
        <f>IFERROR(__xludf.DUMMYFUNCTION("SPLIT(B572,""-"")"),"Eat On Monday Mountain View 3   ")</f>
        <v>Eat On Monday Mountain View 3   </v>
      </c>
    </row>
    <row r="573">
      <c r="A573" s="1">
        <v>570.0</v>
      </c>
      <c r="B573" s="3" t="s">
        <v>2154</v>
      </c>
      <c r="C573" s="1">
        <v>3.0</v>
      </c>
      <c r="D573" s="1" t="s">
        <v>984</v>
      </c>
      <c r="E573" s="3" t="s">
        <v>789</v>
      </c>
      <c r="F573" s="1" t="s">
        <v>2155</v>
      </c>
      <c r="G573" t="str">
        <f t="shared" si="1"/>
        <v>Pho Little Saigon San Mateo            </v>
      </c>
      <c r="H573" s="1" t="str">
        <f>IFERROR(__xludf.DUMMYFUNCTION("SPLIT(B573,""-"")"),"Pho Little Saigon San Mateo    ")</f>
        <v>Pho Little Saigon San Mateo    </v>
      </c>
    </row>
    <row r="574">
      <c r="A574" s="1">
        <v>571.0</v>
      </c>
      <c r="B574" s="3" t="s">
        <v>2156</v>
      </c>
      <c r="C574" s="1">
        <v>3.5</v>
      </c>
      <c r="D574" s="1" t="s">
        <v>985</v>
      </c>
      <c r="E574" s="3" t="s">
        <v>789</v>
      </c>
      <c r="F574" s="1" t="s">
        <v>2157</v>
      </c>
      <c r="G574" t="str">
        <f t="shared" si="1"/>
        <v>Myung Dong Tofu Cabin San Mateo           </v>
      </c>
      <c r="H574" s="1" t="str">
        <f>IFERROR(__xludf.DUMMYFUNCTION("SPLIT(B574,""-"")"),"Myung Dong Tofu Cabin San Mateo   ")</f>
        <v>Myung Dong Tofu Cabin San Mateo   </v>
      </c>
    </row>
    <row r="575">
      <c r="A575" s="1">
        <v>572.0</v>
      </c>
      <c r="B575" s="3" t="s">
        <v>2158</v>
      </c>
      <c r="C575" s="1">
        <v>3.0</v>
      </c>
      <c r="D575" s="1" t="s">
        <v>986</v>
      </c>
      <c r="E575" s="3" t="s">
        <v>534</v>
      </c>
      <c r="F575" s="1" t="s">
        <v>2159</v>
      </c>
      <c r="G575" t="str">
        <f t="shared" si="1"/>
        <v>Bagel Street Cafe Redwood City            </v>
      </c>
      <c r="H575" s="1" t="str">
        <f>IFERROR(__xludf.DUMMYFUNCTION("SPLIT(B575,""-"")"),"Bagel Street Cafe Redwood City    ")</f>
        <v>Bagel Street Cafe Redwood City    </v>
      </c>
    </row>
    <row r="576">
      <c r="A576" s="1">
        <v>573.0</v>
      </c>
      <c r="B576" s="3" t="s">
        <v>2160</v>
      </c>
      <c r="C576" s="1">
        <v>3.5</v>
      </c>
      <c r="D576" s="1" t="s">
        <v>987</v>
      </c>
      <c r="E576" s="3" t="s">
        <v>116</v>
      </c>
      <c r="F576" s="1" t="s">
        <v>2161</v>
      </c>
      <c r="G576" t="str">
        <f t="shared" si="1"/>
        <v>East 14Th Bakery And Cafe San Leandro 3         </v>
      </c>
      <c r="H576" s="1" t="str">
        <f>IFERROR(__xludf.DUMMYFUNCTION("SPLIT(B576,""-"")"),"East 14Th Bakery And Cafe San Leandro 3 ")</f>
        <v>East 14Th Bakery And Cafe San Leandro 3 </v>
      </c>
    </row>
    <row r="577">
      <c r="A577" s="1">
        <v>574.0</v>
      </c>
      <c r="B577" s="3" t="s">
        <v>2162</v>
      </c>
      <c r="C577" s="1">
        <v>3.5</v>
      </c>
      <c r="D577" s="1" t="s">
        <v>988</v>
      </c>
      <c r="E577" s="3" t="s">
        <v>116</v>
      </c>
      <c r="F577" s="1" t="s">
        <v>2163</v>
      </c>
      <c r="G577" t="str">
        <f t="shared" si="1"/>
        <v>Tapioca Express San Leandro             </v>
      </c>
      <c r="H577" s="1" t="str">
        <f>IFERROR(__xludf.DUMMYFUNCTION("SPLIT(B577,""-"")"),"Tapioca Express San Leandro     ")</f>
        <v>Tapioca Express San Leandro     </v>
      </c>
    </row>
    <row r="578">
      <c r="A578" s="1">
        <v>575.0</v>
      </c>
      <c r="B578" s="3" t="s">
        <v>2164</v>
      </c>
      <c r="C578" s="1">
        <v>2.5</v>
      </c>
      <c r="D578" s="1" t="s">
        <v>989</v>
      </c>
      <c r="E578" s="3" t="s">
        <v>116</v>
      </c>
      <c r="F578" s="1" t="s">
        <v>2165</v>
      </c>
      <c r="G578" t="str">
        <f t="shared" si="1"/>
        <v>Quickly San Leandro              </v>
      </c>
      <c r="H578" s="1" t="str">
        <f>IFERROR(__xludf.DUMMYFUNCTION("SPLIT(B578,""-"")"),"Quickly San Leandro      ")</f>
        <v>Quickly San Leandro      </v>
      </c>
    </row>
    <row r="579">
      <c r="A579" s="1">
        <v>576.0</v>
      </c>
      <c r="B579" s="3" t="s">
        <v>2166</v>
      </c>
      <c r="C579" s="1">
        <v>3.5</v>
      </c>
      <c r="D579" s="1" t="s">
        <v>990</v>
      </c>
      <c r="E579" s="3" t="s">
        <v>116</v>
      </c>
      <c r="F579" s="1" t="s">
        <v>2167</v>
      </c>
      <c r="G579" t="str">
        <f t="shared" si="1"/>
        <v>Sweethoney Dessert San Leandro 3            </v>
      </c>
      <c r="H579" s="1" t="str">
        <f>IFERROR(__xludf.DUMMYFUNCTION("SPLIT(B579,""-"")"),"Sweethoney Dessert San Leandro 3    ")</f>
        <v>Sweethoney Dessert San Leandro 3    </v>
      </c>
    </row>
    <row r="580">
      <c r="A580" s="1">
        <v>577.0</v>
      </c>
      <c r="B580" s="3" t="s">
        <v>2168</v>
      </c>
      <c r="C580" s="1">
        <v>3.5</v>
      </c>
      <c r="D580" s="1" t="s">
        <v>991</v>
      </c>
      <c r="E580" s="3" t="s">
        <v>116</v>
      </c>
      <c r="F580" s="1" t="s">
        <v>2169</v>
      </c>
      <c r="G580" t="str">
        <f t="shared" si="1"/>
        <v>Hanoi Chicken Noodle San Leandro            </v>
      </c>
      <c r="H580" s="1" t="str">
        <f>IFERROR(__xludf.DUMMYFUNCTION("SPLIT(B580,""-"")"),"Hanoi Chicken Noodle San Leandro    ")</f>
        <v>Hanoi Chicken Noodle San Leandro    </v>
      </c>
    </row>
    <row r="581">
      <c r="A581" s="1">
        <v>578.0</v>
      </c>
      <c r="B581" s="3" t="s">
        <v>2170</v>
      </c>
      <c r="C581" s="1">
        <v>2.0</v>
      </c>
      <c r="D581" s="1" t="s">
        <v>992</v>
      </c>
      <c r="E581" s="3" t="s">
        <v>116</v>
      </c>
      <c r="F581" s="1" t="s">
        <v>2171</v>
      </c>
      <c r="G581" t="str">
        <f t="shared" si="1"/>
        <v>Loving Tea San Leandro             </v>
      </c>
      <c r="H581" s="1" t="str">
        <f>IFERROR(__xludf.DUMMYFUNCTION("SPLIT(B581,""-"")"),"Loving Tea San Leandro     ")</f>
        <v>Loving Tea San Leandro     </v>
      </c>
    </row>
    <row r="582">
      <c r="A582" s="1">
        <v>579.0</v>
      </c>
      <c r="B582" s="3" t="s">
        <v>2172</v>
      </c>
      <c r="C582" s="1">
        <v>4.0</v>
      </c>
      <c r="D582" s="1" t="s">
        <v>993</v>
      </c>
      <c r="E582" s="3" t="s">
        <v>116</v>
      </c>
      <c r="F582" s="1" t="s">
        <v>2173</v>
      </c>
      <c r="G582" t="str">
        <f t="shared" si="1"/>
        <v>Cafe Sorriso San Leandro             </v>
      </c>
      <c r="H582" s="1" t="str">
        <f>IFERROR(__xludf.DUMMYFUNCTION("SPLIT(B582,""-"")"),"Cafe Sorriso San Leandro     ")</f>
        <v>Cafe Sorriso San Leandro     </v>
      </c>
    </row>
    <row r="583">
      <c r="A583" s="1">
        <v>580.0</v>
      </c>
      <c r="B583" s="3" t="s">
        <v>2174</v>
      </c>
      <c r="C583" s="1">
        <v>3.5</v>
      </c>
      <c r="D583" s="1" t="s">
        <v>994</v>
      </c>
      <c r="E583" s="3" t="s">
        <v>116</v>
      </c>
      <c r="F583" s="1" t="s">
        <v>2175</v>
      </c>
      <c r="G583" t="str">
        <f t="shared" si="1"/>
        <v>D T Dim Sum And Tea San Leandro         </v>
      </c>
      <c r="H583" s="1" t="str">
        <f>IFERROR(__xludf.DUMMYFUNCTION("SPLIT(B583,""-"")"),"D T Dim Sum And Tea San Leandro ")</f>
        <v>D T Dim Sum And Tea San Leandro </v>
      </c>
    </row>
    <row r="584">
      <c r="A584" s="1">
        <v>581.0</v>
      </c>
      <c r="B584" s="3" t="s">
        <v>2176</v>
      </c>
      <c r="C584" s="1">
        <v>4.5</v>
      </c>
      <c r="D584" s="1" t="s">
        <v>953</v>
      </c>
      <c r="E584" s="3" t="s">
        <v>85</v>
      </c>
      <c r="F584" s="1" t="s">
        <v>2085</v>
      </c>
      <c r="G584" t="str">
        <f t="shared" si="1"/>
        <v>Milk And Cookie Bar Castro Valley 3          </v>
      </c>
      <c r="H584" s="1" t="str">
        <f>IFERROR(__xludf.DUMMYFUNCTION("SPLIT(B584,""-"")"),"Milk And Cookie Bar Castro Valley 3  ")</f>
        <v>Milk And Cookie Bar Castro Valley 3  </v>
      </c>
    </row>
    <row r="585">
      <c r="A585" s="1">
        <v>582.0</v>
      </c>
      <c r="B585" s="3" t="s">
        <v>2177</v>
      </c>
      <c r="C585" s="1">
        <v>4.0</v>
      </c>
      <c r="D585" s="1" t="s">
        <v>995</v>
      </c>
      <c r="E585" s="3" t="s">
        <v>116</v>
      </c>
      <c r="F585" s="1" t="s">
        <v>2178</v>
      </c>
      <c r="G585" t="str">
        <f t="shared" si="1"/>
        <v>Sweet Dee Cupcakes And Snow Ice San Leandro         </v>
      </c>
      <c r="H585" s="1" t="str">
        <f>IFERROR(__xludf.DUMMYFUNCTION("SPLIT(B585,""-"")"),"Sweet Dee Cupcakes And Snow Ice San Leandro ")</f>
        <v>Sweet Dee Cupcakes And Snow Ice San Leandro </v>
      </c>
    </row>
    <row r="586">
      <c r="A586" s="1">
        <v>583.0</v>
      </c>
      <c r="B586" s="3" t="s">
        <v>2179</v>
      </c>
      <c r="C586" s="1">
        <v>3.5</v>
      </c>
      <c r="D586" s="1" t="s">
        <v>996</v>
      </c>
      <c r="E586" s="3" t="s">
        <v>997</v>
      </c>
      <c r="F586" s="1" t="s">
        <v>2180</v>
      </c>
      <c r="G586" t="str">
        <f t="shared" si="1"/>
        <v>Quickly San Lorenzo              </v>
      </c>
      <c r="H586" s="1" t="str">
        <f>IFERROR(__xludf.DUMMYFUNCTION("SPLIT(B586,""-"")"),"Quickly San Lorenzo      ")</f>
        <v>Quickly San Lorenzo      </v>
      </c>
    </row>
    <row r="587">
      <c r="A587" s="1">
        <v>584.0</v>
      </c>
      <c r="B587" s="3" t="s">
        <v>2181</v>
      </c>
      <c r="C587" s="1">
        <v>3.5</v>
      </c>
      <c r="D587" s="1" t="s">
        <v>998</v>
      </c>
      <c r="E587" s="3" t="s">
        <v>233</v>
      </c>
      <c r="F587" s="1" t="s">
        <v>2182</v>
      </c>
      <c r="G587" t="str">
        <f t="shared" si="1"/>
        <v>Tapioca Express Alameda              </v>
      </c>
      <c r="H587" s="1" t="str">
        <f>IFERROR(__xludf.DUMMYFUNCTION("SPLIT(B587,""-"")"),"Tapioca Express Alameda      ")</f>
        <v>Tapioca Express Alameda      </v>
      </c>
    </row>
    <row r="588">
      <c r="A588" s="1">
        <v>585.0</v>
      </c>
      <c r="B588" s="3" t="s">
        <v>2183</v>
      </c>
      <c r="C588" s="1">
        <v>2.5</v>
      </c>
      <c r="D588" s="1" t="s">
        <v>289</v>
      </c>
      <c r="E588" s="3" t="s">
        <v>116</v>
      </c>
      <c r="F588" s="1" t="s">
        <v>2184</v>
      </c>
      <c r="G588" t="str">
        <f t="shared" si="1"/>
        <v>Leisure Cafe San Leandro 2            </v>
      </c>
      <c r="H588" s="1" t="str">
        <f>IFERROR(__xludf.DUMMYFUNCTION("SPLIT(B588,""-"")"),"Leisure Cafe San Leandro 2    ")</f>
        <v>Leisure Cafe San Leandro 2    </v>
      </c>
    </row>
    <row r="589">
      <c r="A589" s="1">
        <v>586.0</v>
      </c>
      <c r="B589" s="3" t="s">
        <v>2185</v>
      </c>
      <c r="C589" s="1">
        <v>3.0</v>
      </c>
      <c r="D589" s="1" t="s">
        <v>999</v>
      </c>
      <c r="E589" s="3" t="s">
        <v>85</v>
      </c>
      <c r="F589" s="1" t="s">
        <v>2186</v>
      </c>
      <c r="G589" t="str">
        <f t="shared" si="1"/>
        <v>Quickly Castro Valley              </v>
      </c>
      <c r="H589" s="1" t="str">
        <f>IFERROR(__xludf.DUMMYFUNCTION("SPLIT(B589,""-"")"),"Quickly Castro Valley      ")</f>
        <v>Quickly Castro Valley      </v>
      </c>
    </row>
    <row r="590">
      <c r="A590" s="1">
        <v>587.0</v>
      </c>
      <c r="B590" s="3" t="s">
        <v>2187</v>
      </c>
      <c r="C590" s="1">
        <v>2.0</v>
      </c>
      <c r="D590" s="1" t="s">
        <v>1000</v>
      </c>
      <c r="E590" s="3" t="s">
        <v>116</v>
      </c>
      <c r="F590" s="1" t="s">
        <v>2188</v>
      </c>
      <c r="G590" t="str">
        <f t="shared" si="1"/>
        <v>China Kitchen Express San Leandro            </v>
      </c>
      <c r="H590" s="1" t="str">
        <f>IFERROR(__xludf.DUMMYFUNCTION("SPLIT(B590,""-"")"),"China Kitchen Express San Leandro    ")</f>
        <v>China Kitchen Express San Leandro    </v>
      </c>
    </row>
    <row r="591">
      <c r="A591" s="1">
        <v>588.0</v>
      </c>
      <c r="B591" s="3" t="s">
        <v>2189</v>
      </c>
      <c r="C591" s="1">
        <v>3.5</v>
      </c>
      <c r="D591" s="1" t="s">
        <v>1001</v>
      </c>
      <c r="E591" s="3" t="s">
        <v>116</v>
      </c>
      <c r="F591" s="1" t="s">
        <v>2190</v>
      </c>
      <c r="G591" t="str">
        <f t="shared" si="1"/>
        <v>Pho An Hoa San Leandro            </v>
      </c>
      <c r="H591" s="1" t="str">
        <f>IFERROR(__xludf.DUMMYFUNCTION("SPLIT(B591,""-"")"),"Pho An Hoa San Leandro    ")</f>
        <v>Pho An Hoa San Leandro    </v>
      </c>
    </row>
    <row r="592">
      <c r="A592" s="1">
        <v>589.0</v>
      </c>
      <c r="B592" s="3" t="s">
        <v>2191</v>
      </c>
      <c r="C592" s="1">
        <v>3.5</v>
      </c>
      <c r="D592" s="1" t="s">
        <v>252</v>
      </c>
      <c r="E592" s="3" t="s">
        <v>233</v>
      </c>
      <c r="F592" s="1" t="s">
        <v>1250</v>
      </c>
      <c r="G592" t="str">
        <f t="shared" si="1"/>
        <v>Tuttimelon Alameda               </v>
      </c>
      <c r="H592" s="1" t="str">
        <f>IFERROR(__xludf.DUMMYFUNCTION("SPLIT(B592,""-"")"),"Tuttimelon Alameda       ")</f>
        <v>Tuttimelon Alameda       </v>
      </c>
    </row>
    <row r="593">
      <c r="A593" s="1">
        <v>590.0</v>
      </c>
      <c r="B593" s="3" t="s">
        <v>2192</v>
      </c>
      <c r="C593" s="1">
        <v>4.5</v>
      </c>
      <c r="D593" s="1" t="s">
        <v>1002</v>
      </c>
      <c r="E593" s="3" t="s">
        <v>220</v>
      </c>
      <c r="F593" s="1" t="s">
        <v>2193</v>
      </c>
      <c r="G593" t="str">
        <f t="shared" si="1"/>
        <v>Banh Mi Ba Le Oakland            </v>
      </c>
      <c r="H593" s="1" t="str">
        <f>IFERROR(__xludf.DUMMYFUNCTION("SPLIT(B593,""-"")"),"Banh Mi Ba Le Oakland    ")</f>
        <v>Banh Mi Ba Le Oakland    </v>
      </c>
    </row>
    <row r="594">
      <c r="A594" s="1">
        <v>591.0</v>
      </c>
      <c r="B594" s="3" t="s">
        <v>2194</v>
      </c>
      <c r="C594" s="1">
        <v>4.5</v>
      </c>
      <c r="D594" s="1" t="s">
        <v>953</v>
      </c>
      <c r="E594" s="3" t="s">
        <v>85</v>
      </c>
      <c r="F594" s="1" t="s">
        <v>2085</v>
      </c>
      <c r="G594" t="str">
        <f t="shared" si="1"/>
        <v>Pokeatery Castro Valley              </v>
      </c>
      <c r="H594" s="1" t="str">
        <f>IFERROR(__xludf.DUMMYFUNCTION("SPLIT(B594,""-"")"),"Pokeatery Castro Valley      ")</f>
        <v>Pokeatery Castro Valley      </v>
      </c>
    </row>
    <row r="595">
      <c r="A595" s="1">
        <v>592.0</v>
      </c>
      <c r="B595" s="3" t="s">
        <v>2195</v>
      </c>
      <c r="C595" s="1">
        <v>3.5</v>
      </c>
      <c r="D595" s="1" t="s">
        <v>1003</v>
      </c>
      <c r="E595" s="3" t="s">
        <v>233</v>
      </c>
      <c r="F595" s="1" t="s">
        <v>2196</v>
      </c>
      <c r="G595" t="str">
        <f t="shared" si="1"/>
        <v>Hot Spot Alameda              </v>
      </c>
      <c r="H595" s="1" t="str">
        <f>IFERROR(__xludf.DUMMYFUNCTION("SPLIT(B595,""-"")"),"Hot Spot Alameda      ")</f>
        <v>Hot Spot Alameda      </v>
      </c>
    </row>
    <row r="596">
      <c r="A596" s="1">
        <v>593.0</v>
      </c>
      <c r="B596" s="3" t="s">
        <v>2197</v>
      </c>
      <c r="C596" s="1">
        <v>4.5</v>
      </c>
      <c r="D596" s="1" t="s">
        <v>1004</v>
      </c>
      <c r="E596" s="3" t="s">
        <v>537</v>
      </c>
      <c r="F596" s="1" t="s">
        <v>2198</v>
      </c>
      <c r="G596" t="str">
        <f t="shared" si="1"/>
        <v>Worlds Fare Donuts Hayward             </v>
      </c>
      <c r="H596" s="1" t="str">
        <f>IFERROR(__xludf.DUMMYFUNCTION("SPLIT(B596,""-"")"),"Worlds Fare Donuts Hayward     ")</f>
        <v>Worlds Fare Donuts Hayward     </v>
      </c>
    </row>
    <row r="597">
      <c r="A597" s="1">
        <v>594.0</v>
      </c>
      <c r="B597" s="3" t="s">
        <v>2199</v>
      </c>
      <c r="C597" s="1">
        <v>4.0</v>
      </c>
      <c r="D597" s="1" t="s">
        <v>1005</v>
      </c>
      <c r="E597" s="3" t="s">
        <v>116</v>
      </c>
      <c r="F597" s="1" t="s">
        <v>2200</v>
      </c>
      <c r="G597" t="str">
        <f t="shared" si="1"/>
        <v>Taqueria Los Pericos San Leandro            </v>
      </c>
      <c r="H597" s="1" t="str">
        <f>IFERROR(__xludf.DUMMYFUNCTION("SPLIT(B597,""-"")"),"Taqueria Los Pericos San Leandro    ")</f>
        <v>Taqueria Los Pericos San Leandro    </v>
      </c>
    </row>
    <row r="598">
      <c r="A598" s="1">
        <v>595.0</v>
      </c>
      <c r="B598" s="3" t="s">
        <v>2201</v>
      </c>
      <c r="C598" s="1">
        <v>3.5</v>
      </c>
      <c r="D598" s="1" t="s">
        <v>1006</v>
      </c>
      <c r="E598" s="3" t="s">
        <v>116</v>
      </c>
      <c r="F598" s="1" t="s">
        <v>2202</v>
      </c>
      <c r="G598" t="str">
        <f t="shared" si="1"/>
        <v>Pho Anh Ha San Leandro            </v>
      </c>
      <c r="H598" s="1" t="str">
        <f>IFERROR(__xludf.DUMMYFUNCTION("SPLIT(B598,""-"")"),"Pho Anh Ha San Leandro    ")</f>
        <v>Pho Anh Ha San Leandro    </v>
      </c>
    </row>
    <row r="599">
      <c r="A599" s="1">
        <v>596.0</v>
      </c>
      <c r="B599" s="3" t="s">
        <v>2203</v>
      </c>
      <c r="C599" s="1">
        <v>3.5</v>
      </c>
      <c r="D599" s="1" t="s">
        <v>1007</v>
      </c>
      <c r="E599" s="3" t="s">
        <v>116</v>
      </c>
      <c r="F599" s="1" t="s">
        <v>2204</v>
      </c>
      <c r="G599" t="str">
        <f t="shared" si="1"/>
        <v>Craw Station San Leandro             </v>
      </c>
      <c r="H599" s="1" t="str">
        <f>IFERROR(__xludf.DUMMYFUNCTION("SPLIT(B599,""-"")"),"Craw Station San Leandro     ")</f>
        <v>Craw Station San Leandro     </v>
      </c>
    </row>
    <row r="600">
      <c r="A600" s="1">
        <v>597.0</v>
      </c>
      <c r="B600" s="3" t="s">
        <v>2205</v>
      </c>
      <c r="C600" s="1">
        <v>4.0</v>
      </c>
      <c r="D600" s="1" t="s">
        <v>1008</v>
      </c>
      <c r="E600" s="3" t="s">
        <v>997</v>
      </c>
      <c r="F600" s="1" t="s">
        <v>2206</v>
      </c>
      <c r="G600" t="str">
        <f t="shared" si="1"/>
        <v>R And D Cafe San Lorenzo           </v>
      </c>
      <c r="H600" s="1" t="str">
        <f>IFERROR(__xludf.DUMMYFUNCTION("SPLIT(B600,""-"")"),"R And D Cafe San Lorenzo   ")</f>
        <v>R And D Cafe San Lorenzo   </v>
      </c>
    </row>
    <row r="601">
      <c r="A601" s="1">
        <v>598.0</v>
      </c>
      <c r="B601" s="3" t="s">
        <v>2207</v>
      </c>
      <c r="C601" s="1">
        <v>4.0</v>
      </c>
      <c r="D601" s="1" t="s">
        <v>1009</v>
      </c>
      <c r="E601" s="3" t="s">
        <v>537</v>
      </c>
      <c r="F601" s="1" t="s">
        <v>2208</v>
      </c>
      <c r="G601" t="str">
        <f t="shared" si="1"/>
        <v>Munch Hayward               </v>
      </c>
      <c r="H601" s="1" t="str">
        <f>IFERROR(__xludf.DUMMYFUNCTION("SPLIT(B601,""-"")"),"Munch Hayward       ")</f>
        <v>Munch Hayward       </v>
      </c>
    </row>
    <row r="602">
      <c r="A602" s="1">
        <v>599.0</v>
      </c>
      <c r="B602" s="3" t="s">
        <v>2209</v>
      </c>
      <c r="C602" s="1">
        <v>3.5</v>
      </c>
      <c r="D602" s="1" t="s">
        <v>1010</v>
      </c>
      <c r="E602" s="3" t="s">
        <v>116</v>
      </c>
      <c r="F602" s="1" t="s">
        <v>2210</v>
      </c>
      <c r="G602" t="str">
        <f t="shared" si="1"/>
        <v>Foodnet Supermarket San Leandro 2            </v>
      </c>
      <c r="H602" s="1" t="str">
        <f>IFERROR(__xludf.DUMMYFUNCTION("SPLIT(B602,""-"")"),"Foodnet Supermarket San Leandro 2    ")</f>
        <v>Foodnet Supermarket San Leandro 2    </v>
      </c>
    </row>
    <row r="603">
      <c r="A603" s="1">
        <v>600.0</v>
      </c>
      <c r="B603" s="3" t="s">
        <v>2211</v>
      </c>
      <c r="C603" s="1">
        <v>4.0</v>
      </c>
      <c r="D603" s="1" t="s">
        <v>1011</v>
      </c>
      <c r="E603" s="3" t="s">
        <v>537</v>
      </c>
      <c r="F603" s="1" t="s">
        <v>2212</v>
      </c>
      <c r="G603" t="str">
        <f t="shared" si="1"/>
        <v>Yo Bowl Hayward              </v>
      </c>
      <c r="H603" s="1" t="str">
        <f>IFERROR(__xludf.DUMMYFUNCTION("SPLIT(B603,""-"")"),"Yo Bowl Hayward      ")</f>
        <v>Yo Bowl Hayward      </v>
      </c>
    </row>
    <row r="604">
      <c r="A604" s="1">
        <v>601.0</v>
      </c>
      <c r="B604" s="3" t="s">
        <v>2213</v>
      </c>
      <c r="C604" s="1">
        <v>4.0</v>
      </c>
      <c r="D604" s="1" t="s">
        <v>1012</v>
      </c>
      <c r="E604" s="3" t="s">
        <v>537</v>
      </c>
      <c r="F604" s="1" t="s">
        <v>2214</v>
      </c>
      <c r="G604" t="str">
        <f t="shared" si="1"/>
        <v>Yogurt Hill Hayward 4             </v>
      </c>
      <c r="H604" s="1" t="str">
        <f>IFERROR(__xludf.DUMMYFUNCTION("SPLIT(B604,""-"")"),"Yogurt Hill Hayward 4     ")</f>
        <v>Yogurt Hill Hayward 4     </v>
      </c>
    </row>
    <row r="605">
      <c r="A605" s="1">
        <v>602.0</v>
      </c>
      <c r="B605" s="3" t="s">
        <v>2215</v>
      </c>
      <c r="C605" s="1">
        <v>3.0</v>
      </c>
      <c r="D605" s="1" t="s">
        <v>1013</v>
      </c>
      <c r="E605" s="3" t="s">
        <v>116</v>
      </c>
      <c r="F605" s="1" t="s">
        <v>2216</v>
      </c>
      <c r="G605" t="str">
        <f t="shared" si="1"/>
        <v>Alohana Hawaiian Grill San Leandro            </v>
      </c>
      <c r="H605" s="1" t="str">
        <f>IFERROR(__xludf.DUMMYFUNCTION("SPLIT(B605,""-"")"),"Alohana Hawaiian Grill San Leandro    ")</f>
        <v>Alohana Hawaiian Grill San Leandro    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