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3EA4548-6A32-4646-91E0-32755A3F31E6}" xr6:coauthVersionLast="47" xr6:coauthVersionMax="47" xr10:uidLastSave="{00000000-0000-0000-0000-000000000000}"/>
  <bookViews>
    <workbookView xWindow="-120" yWindow="-120" windowWidth="20730" windowHeight="11160" tabRatio="756" xr2:uid="{416CF6ED-8E14-4A37-8204-9CD5BB2E6888}"/>
  </bookViews>
  <sheets>
    <sheet name="Index" sheetId="6" r:id="rId1"/>
    <sheet name="Assumptions" sheetId="5" r:id="rId2"/>
    <sheet name="Income Statement" sheetId="1" r:id="rId3"/>
    <sheet name="Balance Sheet" sheetId="3" r:id="rId4"/>
    <sheet name="Statement of Cashflow" sheetId="4" r:id="rId5"/>
    <sheet name="Supporting Schedules" sheetId="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F15" i="4"/>
  <c r="G15" i="4"/>
  <c r="H15" i="4"/>
  <c r="D15" i="4"/>
  <c r="D18" i="2"/>
  <c r="D21" i="2" s="1"/>
  <c r="F19" i="2"/>
  <c r="D3" i="5"/>
  <c r="E3" i="5" s="1"/>
  <c r="F3" i="5" s="1"/>
  <c r="G3" i="5" s="1"/>
  <c r="H3" i="5" s="1"/>
  <c r="H14" i="2"/>
  <c r="G13" i="2"/>
  <c r="G12" i="2"/>
  <c r="C26" i="5"/>
  <c r="D26" i="5" s="1"/>
  <c r="E26" i="5" s="1"/>
  <c r="F26" i="5" s="1"/>
  <c r="G26" i="5" s="1"/>
  <c r="H26" i="5" s="1"/>
  <c r="E7" i="5"/>
  <c r="F7" i="5"/>
  <c r="G7" i="5"/>
  <c r="H7" i="5"/>
  <c r="D7" i="5"/>
  <c r="C27" i="5"/>
  <c r="D27" i="5" s="1"/>
  <c r="E27" i="5" s="1"/>
  <c r="F27" i="5" s="1"/>
  <c r="G27" i="5" s="1"/>
  <c r="H27" i="5" s="1"/>
  <c r="C25" i="5"/>
  <c r="D25" i="5" s="1"/>
  <c r="E25" i="5" s="1"/>
  <c r="F25" i="5" s="1"/>
  <c r="G25" i="5" s="1"/>
  <c r="H25" i="5" s="1"/>
  <c r="B16" i="5"/>
  <c r="B15" i="5"/>
  <c r="B14" i="5"/>
  <c r="B12" i="5"/>
  <c r="B11" i="5"/>
  <c r="B10" i="5"/>
  <c r="B8" i="5"/>
  <c r="D23" i="2" l="1"/>
  <c r="E18" i="2"/>
  <c r="E21" i="2" s="1"/>
  <c r="E23" i="2" s="1"/>
  <c r="E20" i="3"/>
  <c r="F20" i="3"/>
  <c r="E16" i="4"/>
  <c r="F16" i="4"/>
  <c r="G16" i="4"/>
  <c r="G17" i="4" s="1"/>
  <c r="H16" i="4"/>
  <c r="D16" i="4"/>
  <c r="E3" i="4"/>
  <c r="F3" i="4" s="1"/>
  <c r="G3" i="4" s="1"/>
  <c r="H3" i="4" s="1"/>
  <c r="E24" i="3"/>
  <c r="F24" i="3" s="1"/>
  <c r="G24" i="3" s="1"/>
  <c r="H24" i="3" s="1"/>
  <c r="I24" i="3" s="1"/>
  <c r="D26" i="3"/>
  <c r="D21" i="3"/>
  <c r="D18" i="3"/>
  <c r="D11" i="3"/>
  <c r="D12" i="3" s="1"/>
  <c r="D7" i="3"/>
  <c r="E3" i="3"/>
  <c r="F3" i="3" s="1"/>
  <c r="G3" i="3" s="1"/>
  <c r="H3" i="3" s="1"/>
  <c r="I3" i="3" s="1"/>
  <c r="H13" i="2"/>
  <c r="H12" i="2"/>
  <c r="E13" i="2"/>
  <c r="F13" i="2"/>
  <c r="E14" i="2"/>
  <c r="F14" i="2"/>
  <c r="G14" i="2"/>
  <c r="E12" i="2"/>
  <c r="F12" i="2"/>
  <c r="D13" i="2"/>
  <c r="D14" i="2"/>
  <c r="D12" i="2"/>
  <c r="E8" i="2"/>
  <c r="E12" i="4" s="1"/>
  <c r="E13" i="4" s="1"/>
  <c r="F8" i="2"/>
  <c r="F12" i="4" s="1"/>
  <c r="F13" i="4" s="1"/>
  <c r="G8" i="2"/>
  <c r="G12" i="4" s="1"/>
  <c r="G13" i="4" s="1"/>
  <c r="H8" i="2"/>
  <c r="H12" i="4" s="1"/>
  <c r="H13" i="4" s="1"/>
  <c r="D8" i="2"/>
  <c r="E9" i="3" s="1"/>
  <c r="E3" i="2"/>
  <c r="F3" i="2" s="1"/>
  <c r="G3" i="2" s="1"/>
  <c r="H3" i="2" s="1"/>
  <c r="E5" i="1"/>
  <c r="E10" i="1" s="1"/>
  <c r="F5" i="1"/>
  <c r="F9" i="1" s="1"/>
  <c r="G5" i="1"/>
  <c r="G6" i="1" s="1"/>
  <c r="G7" i="1" s="1"/>
  <c r="G23" i="5" s="1"/>
  <c r="H5" i="1"/>
  <c r="H6" i="1" s="1"/>
  <c r="H7" i="1" s="1"/>
  <c r="H23" i="5" s="1"/>
  <c r="D5" i="1"/>
  <c r="D10" i="1" s="1"/>
  <c r="E3" i="1"/>
  <c r="F3" i="1" s="1"/>
  <c r="G3" i="1" s="1"/>
  <c r="H3" i="1" s="1"/>
  <c r="F18" i="2" l="1"/>
  <c r="F21" i="2" s="1"/>
  <c r="G18" i="2" s="1"/>
  <c r="G21" i="2" s="1"/>
  <c r="D22" i="3"/>
  <c r="D27" i="3" s="1"/>
  <c r="G20" i="3"/>
  <c r="F23" i="2"/>
  <c r="E17" i="4"/>
  <c r="H17" i="4"/>
  <c r="F21" i="3"/>
  <c r="D17" i="4"/>
  <c r="F17" i="4"/>
  <c r="H15" i="2"/>
  <c r="H21" i="1" s="1"/>
  <c r="D15" i="2"/>
  <c r="D21" i="1" s="1"/>
  <c r="G15" i="2"/>
  <c r="G21" i="1" s="1"/>
  <c r="E15" i="2"/>
  <c r="E21" i="1" s="1"/>
  <c r="F15" i="2"/>
  <c r="D12" i="4"/>
  <c r="D13" i="4" s="1"/>
  <c r="E21" i="3"/>
  <c r="D23" i="1"/>
  <c r="D13" i="3"/>
  <c r="E17" i="1"/>
  <c r="H17" i="1"/>
  <c r="H18" i="1"/>
  <c r="H11" i="1"/>
  <c r="H10" i="1"/>
  <c r="H9" i="1"/>
  <c r="E11" i="1"/>
  <c r="G17" i="1"/>
  <c r="G18" i="1"/>
  <c r="G10" i="1"/>
  <c r="H16" i="1"/>
  <c r="G9" i="1"/>
  <c r="G16" i="1"/>
  <c r="E9" i="1"/>
  <c r="G11" i="1"/>
  <c r="F9" i="3"/>
  <c r="I17" i="3"/>
  <c r="I6" i="3"/>
  <c r="D6" i="1"/>
  <c r="D7" i="1" s="1"/>
  <c r="D23" i="5" s="1"/>
  <c r="D16" i="1"/>
  <c r="F18" i="1"/>
  <c r="F16" i="1"/>
  <c r="D18" i="1"/>
  <c r="E18" i="1"/>
  <c r="E16" i="1"/>
  <c r="F6" i="1"/>
  <c r="F7" i="1" s="1"/>
  <c r="F23" i="5" s="1"/>
  <c r="D9" i="1"/>
  <c r="D17" i="1"/>
  <c r="F10" i="1"/>
  <c r="E6" i="1"/>
  <c r="E7" i="1" s="1"/>
  <c r="E23" i="5" s="1"/>
  <c r="D11" i="1"/>
  <c r="F17" i="1"/>
  <c r="F11" i="1"/>
  <c r="D29" i="3" l="1"/>
  <c r="H18" i="2"/>
  <c r="H21" i="2" s="1"/>
  <c r="H20" i="3"/>
  <c r="G23" i="2"/>
  <c r="E23" i="1"/>
  <c r="H12" i="1"/>
  <c r="H13" i="1" s="1"/>
  <c r="H6" i="4"/>
  <c r="G6" i="4"/>
  <c r="D6" i="4"/>
  <c r="E10" i="3"/>
  <c r="F10" i="3" s="1"/>
  <c r="G10" i="3" s="1"/>
  <c r="H10" i="3" s="1"/>
  <c r="I10" i="3" s="1"/>
  <c r="E6" i="4"/>
  <c r="F21" i="1"/>
  <c r="F6" i="4"/>
  <c r="G12" i="1"/>
  <c r="G24" i="5" s="1"/>
  <c r="H16" i="3" s="1"/>
  <c r="E12" i="1"/>
  <c r="E13" i="1" s="1"/>
  <c r="E19" i="1"/>
  <c r="G19" i="1"/>
  <c r="D12" i="1"/>
  <c r="H19" i="1"/>
  <c r="F19" i="1"/>
  <c r="F12" i="1"/>
  <c r="D19" i="1"/>
  <c r="G9" i="3"/>
  <c r="H17" i="3"/>
  <c r="H9" i="4" s="1"/>
  <c r="H6" i="3"/>
  <c r="H23" i="2" l="1"/>
  <c r="I20" i="3"/>
  <c r="F23" i="1"/>
  <c r="G21" i="3"/>
  <c r="H24" i="5"/>
  <c r="I16" i="3" s="1"/>
  <c r="I18" i="3" s="1"/>
  <c r="G13" i="1"/>
  <c r="G14" i="1" s="1"/>
  <c r="E11" i="3"/>
  <c r="E12" i="3" s="1"/>
  <c r="F11" i="3"/>
  <c r="F12" i="3" s="1"/>
  <c r="H18" i="3"/>
  <c r="E24" i="5"/>
  <c r="F16" i="3" s="1"/>
  <c r="D24" i="5"/>
  <c r="E16" i="3" s="1"/>
  <c r="H20" i="1"/>
  <c r="H22" i="1" s="1"/>
  <c r="F24" i="5"/>
  <c r="G16" i="3" s="1"/>
  <c r="D13" i="1"/>
  <c r="H14" i="1"/>
  <c r="F13" i="1"/>
  <c r="F14" i="1" s="1"/>
  <c r="H7" i="4"/>
  <c r="H9" i="3"/>
  <c r="H11" i="3" s="1"/>
  <c r="G11" i="3"/>
  <c r="G12" i="3" s="1"/>
  <c r="G17" i="3"/>
  <c r="G9" i="4" s="1"/>
  <c r="G6" i="3"/>
  <c r="F17" i="3"/>
  <c r="F6" i="3"/>
  <c r="E14" i="1"/>
  <c r="E20" i="1"/>
  <c r="E22" i="1" s="1"/>
  <c r="E24" i="1" s="1"/>
  <c r="E25" i="1" s="1"/>
  <c r="E26" i="1" s="1"/>
  <c r="E17" i="3"/>
  <c r="E6" i="3"/>
  <c r="D20" i="1" l="1"/>
  <c r="D22" i="1" s="1"/>
  <c r="D24" i="1" s="1"/>
  <c r="D25" i="1" s="1"/>
  <c r="D26" i="1" s="1"/>
  <c r="D4" i="4" s="1"/>
  <c r="D14" i="1"/>
  <c r="G23" i="1"/>
  <c r="H21" i="3"/>
  <c r="H22" i="3" s="1"/>
  <c r="H8" i="4"/>
  <c r="H10" i="4" s="1"/>
  <c r="G20" i="1"/>
  <c r="G22" i="1" s="1"/>
  <c r="F18" i="3"/>
  <c r="F22" i="3" s="1"/>
  <c r="F8" i="4"/>
  <c r="G8" i="4"/>
  <c r="D8" i="4"/>
  <c r="E8" i="4"/>
  <c r="F20" i="1"/>
  <c r="F22" i="1" s="1"/>
  <c r="F24" i="1" s="1"/>
  <c r="F25" i="1" s="1"/>
  <c r="F26" i="1" s="1"/>
  <c r="F28" i="1" s="1"/>
  <c r="F7" i="4"/>
  <c r="G18" i="3"/>
  <c r="G22" i="3" s="1"/>
  <c r="F9" i="4"/>
  <c r="G7" i="4"/>
  <c r="E28" i="1"/>
  <c r="E4" i="4"/>
  <c r="D7" i="4"/>
  <c r="E7" i="4"/>
  <c r="E18" i="3"/>
  <c r="E22" i="3" s="1"/>
  <c r="D9" i="4"/>
  <c r="E9" i="4"/>
  <c r="I9" i="3"/>
  <c r="H12" i="3"/>
  <c r="D28" i="1" l="1"/>
  <c r="E25" i="3"/>
  <c r="F25" i="3" s="1"/>
  <c r="G24" i="1"/>
  <c r="G25" i="1" s="1"/>
  <c r="G26" i="1" s="1"/>
  <c r="G28" i="1" s="1"/>
  <c r="H23" i="1"/>
  <c r="H24" i="1" s="1"/>
  <c r="H25" i="1" s="1"/>
  <c r="H26" i="1" s="1"/>
  <c r="H4" i="4" s="1"/>
  <c r="H18" i="4" s="1"/>
  <c r="I21" i="3"/>
  <c r="I22" i="3" s="1"/>
  <c r="G10" i="4"/>
  <c r="F4" i="4"/>
  <c r="F10" i="4"/>
  <c r="E10" i="4"/>
  <c r="E18" i="4" s="1"/>
  <c r="D10" i="4"/>
  <c r="D18" i="4" s="1"/>
  <c r="E5" i="3" s="1"/>
  <c r="I11" i="3"/>
  <c r="I12" i="3" s="1"/>
  <c r="E26" i="3" l="1"/>
  <c r="E27" i="3" s="1"/>
  <c r="G4" i="4"/>
  <c r="G18" i="4" s="1"/>
  <c r="H28" i="1"/>
  <c r="F18" i="4"/>
  <c r="F5" i="3"/>
  <c r="E7" i="3"/>
  <c r="E13" i="3" s="1"/>
  <c r="G25" i="3"/>
  <c r="F26" i="3"/>
  <c r="F27" i="3" s="1"/>
  <c r="E29" i="3" l="1"/>
  <c r="G5" i="3"/>
  <c r="F7" i="3"/>
  <c r="F13" i="3" s="1"/>
  <c r="F29" i="3" s="1"/>
  <c r="H25" i="3"/>
  <c r="G26" i="3"/>
  <c r="G27" i="3" s="1"/>
  <c r="H5" i="3" l="1"/>
  <c r="G7" i="3"/>
  <c r="G13" i="3" s="1"/>
  <c r="G29" i="3" s="1"/>
  <c r="I25" i="3"/>
  <c r="I26" i="3" s="1"/>
  <c r="I27" i="3" s="1"/>
  <c r="H26" i="3"/>
  <c r="H27" i="3" s="1"/>
  <c r="I5" i="3" l="1"/>
  <c r="I7" i="3" s="1"/>
  <c r="I13" i="3" s="1"/>
  <c r="I29" i="3" s="1"/>
  <c r="H7" i="3"/>
  <c r="H13" i="3" s="1"/>
  <c r="H29" i="3" s="1"/>
</calcChain>
</file>

<file path=xl/sharedStrings.xml><?xml version="1.0" encoding="utf-8"?>
<sst xmlns="http://schemas.openxmlformats.org/spreadsheetml/2006/main" count="111" uniqueCount="96">
  <si>
    <t>Income Statement</t>
  </si>
  <si>
    <t>Reveue</t>
  </si>
  <si>
    <t>Gross Revenue</t>
  </si>
  <si>
    <t>Discounts</t>
  </si>
  <si>
    <t>Net Revenue</t>
  </si>
  <si>
    <t>Cost of Goods Sold(COGS</t>
  </si>
  <si>
    <t>Raw Materials</t>
  </si>
  <si>
    <t>Fulfilment</t>
  </si>
  <si>
    <t>Transaction Fees</t>
  </si>
  <si>
    <t>Total COGS</t>
  </si>
  <si>
    <t>Gross Profit</t>
  </si>
  <si>
    <t>Gross Profit Margin</t>
  </si>
  <si>
    <t>Operating Expenses</t>
  </si>
  <si>
    <t>Labor</t>
  </si>
  <si>
    <t>Marketting</t>
  </si>
  <si>
    <t>Total OpEX</t>
  </si>
  <si>
    <t>EBITDA</t>
  </si>
  <si>
    <t>Interest Expense</t>
  </si>
  <si>
    <t>Depreciation &amp; Amortisation</t>
  </si>
  <si>
    <t>EBIT</t>
  </si>
  <si>
    <t>EBT</t>
  </si>
  <si>
    <t>Taxes</t>
  </si>
  <si>
    <t>Net Income</t>
  </si>
  <si>
    <t>Net Income as % of Revenue</t>
  </si>
  <si>
    <t>Cup Sold</t>
  </si>
  <si>
    <t>Unit Price</t>
  </si>
  <si>
    <t>Corporate Tax Rate</t>
  </si>
  <si>
    <t>Other Exp</t>
  </si>
  <si>
    <t>Fixed Assets</t>
  </si>
  <si>
    <t>CapEX</t>
  </si>
  <si>
    <t>Lemon Crusher</t>
  </si>
  <si>
    <t>Ice Machine</t>
  </si>
  <si>
    <t>Refrigerator</t>
  </si>
  <si>
    <t>Total Capex</t>
  </si>
  <si>
    <t>Depreciation</t>
  </si>
  <si>
    <t>Existing Equipment</t>
  </si>
  <si>
    <t>Total D &amp; A</t>
  </si>
  <si>
    <t>Asset Life(Years)</t>
  </si>
  <si>
    <t>Balance Sheet</t>
  </si>
  <si>
    <t>Current Asset</t>
  </si>
  <si>
    <t>Cash</t>
  </si>
  <si>
    <t>Accounts Receivable</t>
  </si>
  <si>
    <t>Total Current Assets</t>
  </si>
  <si>
    <t>Non Current Asset</t>
  </si>
  <si>
    <t>Accumulated Depreciation</t>
  </si>
  <si>
    <t>Net fixed Assets</t>
  </si>
  <si>
    <t>Total Non Current Assets</t>
  </si>
  <si>
    <t>Total Assest</t>
  </si>
  <si>
    <t>Current Liabilities</t>
  </si>
  <si>
    <t>Accounts Payable</t>
  </si>
  <si>
    <t>Deferred Revenue</t>
  </si>
  <si>
    <t>Total Current Liabilities</t>
  </si>
  <si>
    <t>Non Current Liabilities</t>
  </si>
  <si>
    <t>Long Term Debt</t>
  </si>
  <si>
    <t>Total Non Current Liabilities</t>
  </si>
  <si>
    <t>Total Liabilities</t>
  </si>
  <si>
    <t>Equity</t>
  </si>
  <si>
    <t>Common Stock</t>
  </si>
  <si>
    <t>Retained Earnings</t>
  </si>
  <si>
    <t>Total Equity</t>
  </si>
  <si>
    <t xml:space="preserve">Total Liabilities &amp; Equity </t>
  </si>
  <si>
    <t>Balance Sheet Check</t>
  </si>
  <si>
    <t>COGS</t>
  </si>
  <si>
    <t>Debt</t>
  </si>
  <si>
    <t>Debt Repayment</t>
  </si>
  <si>
    <t>Interest Repayment</t>
  </si>
  <si>
    <t>Accounts Receivable as % of rev</t>
  </si>
  <si>
    <t>Deffered Revenue as a % of rev</t>
  </si>
  <si>
    <t>Accounts Payable as a % of COGS</t>
  </si>
  <si>
    <t>Operating Activities</t>
  </si>
  <si>
    <t>Change in Accounts Receivable</t>
  </si>
  <si>
    <t>Change in Accounts Payable</t>
  </si>
  <si>
    <t>Change in Deferred Revenue</t>
  </si>
  <si>
    <t>Operating Cash Flow</t>
  </si>
  <si>
    <t>Investing Activities</t>
  </si>
  <si>
    <t>Investing Cash Flow</t>
  </si>
  <si>
    <t>Financing Activities</t>
  </si>
  <si>
    <t>Net Borrowings</t>
  </si>
  <si>
    <t>Financing Cashlow</t>
  </si>
  <si>
    <t>Net Cash Flow</t>
  </si>
  <si>
    <t>Income Statements</t>
  </si>
  <si>
    <t>Refrigerators</t>
  </si>
  <si>
    <t>Revenue:</t>
  </si>
  <si>
    <t>Cost of Goods Sold:</t>
  </si>
  <si>
    <t>Operating Expenses:</t>
  </si>
  <si>
    <t>Assumptions</t>
  </si>
  <si>
    <t>Values in Naira (#)</t>
  </si>
  <si>
    <t>Borrowings (Open Bal.)</t>
  </si>
  <si>
    <t>Net Addittions</t>
  </si>
  <si>
    <t>Borrowings (Closing Bal.)</t>
  </si>
  <si>
    <t>Supporting Schedules</t>
  </si>
  <si>
    <t>Table of Contents</t>
  </si>
  <si>
    <t>Statement of Cash Flow</t>
  </si>
  <si>
    <t>3 Statement Financial Model Project</t>
  </si>
  <si>
    <t>The_Analyst_Shittu</t>
  </si>
  <si>
    <t>Interest Rate as a % of Net Borrowings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</si>
</sst>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yyyy&quot;E&quot;"/>
    <numFmt numFmtId="165" formatCode="_(* #,##0_);_(* \(#,##0\);_(* &quot;-&quot;??_);_(@_)"/>
    <numFmt numFmtId="166" formatCode="yyyy&quot;A&quot;"/>
    <numFmt numFmtId="167" formatCode="0.0%"/>
    <numFmt numFmtId="169" formatCode="_-* #,##0_-;\(#,##0\)_-;_-* &quot;-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4"/>
      <name val="Arial Narrow"/>
      <family val="2"/>
    </font>
    <font>
      <sz val="11"/>
      <color theme="8" tint="-0.499984740745262"/>
      <name val="Arial Narrow"/>
      <family val="2"/>
    </font>
    <font>
      <b/>
      <sz val="11"/>
      <color theme="0"/>
      <name val="Arial Narrow"/>
      <family val="2"/>
    </font>
    <font>
      <sz val="11"/>
      <color theme="4" tint="-0.499984740745262"/>
      <name val="Arial Narrow"/>
      <family val="2"/>
    </font>
    <font>
      <sz val="11"/>
      <name val="Arial Narrow"/>
      <family val="2"/>
    </font>
    <font>
      <b/>
      <sz val="10"/>
      <color theme="0"/>
      <name val="Arial Narrow"/>
      <family val="2"/>
    </font>
    <font>
      <sz val="11"/>
      <color theme="9"/>
      <name val="Arial Narrow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1"/>
      <color theme="10"/>
      <name val="Arial Narrow"/>
      <family val="2"/>
    </font>
    <font>
      <b/>
      <u/>
      <sz val="16"/>
      <color theme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/>
  </cellStyleXfs>
  <cellXfs count="73">
    <xf numFmtId="0" fontId="0" fillId="0" borderId="0" xfId="0"/>
    <xf numFmtId="0" fontId="0" fillId="0" borderId="0" xfId="0" applyAlignment="1">
      <alignment horizontal="left" indent="1"/>
    </xf>
    <xf numFmtId="0" fontId="2" fillId="0" borderId="1" xfId="0" applyFont="1" applyBorder="1"/>
    <xf numFmtId="0" fontId="2" fillId="0" borderId="0" xfId="0" applyFont="1" applyFill="1" applyBorder="1"/>
    <xf numFmtId="9" fontId="0" fillId="0" borderId="0" xfId="1" applyFont="1"/>
    <xf numFmtId="37" fontId="0" fillId="0" borderId="0" xfId="0" applyNumberFormat="1"/>
    <xf numFmtId="37" fontId="2" fillId="0" borderId="1" xfId="0" applyNumberFormat="1" applyFont="1" applyBorder="1"/>
    <xf numFmtId="0" fontId="0" fillId="0" borderId="0" xfId="0" applyFont="1" applyAlignment="1">
      <alignment horizontal="left" indent="1"/>
    </xf>
    <xf numFmtId="0" fontId="0" fillId="0" borderId="0" xfId="0" applyFont="1"/>
    <xf numFmtId="37" fontId="0" fillId="0" borderId="0" xfId="0" applyNumberFormat="1" applyFont="1"/>
    <xf numFmtId="0" fontId="2" fillId="0" borderId="0" xfId="0" applyFont="1"/>
    <xf numFmtId="0" fontId="2" fillId="0" borderId="2" xfId="0" applyFont="1" applyBorder="1"/>
    <xf numFmtId="37" fontId="2" fillId="0" borderId="2" xfId="0" applyNumberFormat="1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right" vertical="center"/>
    </xf>
    <xf numFmtId="165" fontId="4" fillId="0" borderId="0" xfId="2" applyNumberFormat="1" applyFont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65" fontId="3" fillId="0" borderId="0" xfId="2" applyNumberFormat="1" applyFont="1" applyAlignment="1">
      <alignment horizontal="right" vertical="center"/>
    </xf>
    <xf numFmtId="165" fontId="0" fillId="0" borderId="0" xfId="2" applyNumberFormat="1" applyFont="1" applyAlignment="1">
      <alignment horizontal="right" vertical="center"/>
    </xf>
    <xf numFmtId="165" fontId="5" fillId="0" borderId="1" xfId="2" applyNumberFormat="1" applyFont="1" applyBorder="1" applyAlignment="1">
      <alignment horizontal="right" vertical="center"/>
    </xf>
    <xf numFmtId="165" fontId="5" fillId="0" borderId="2" xfId="2" applyNumberFormat="1" applyFont="1" applyBorder="1" applyAlignment="1">
      <alignment horizontal="right" vertical="center"/>
    </xf>
    <xf numFmtId="0" fontId="8" fillId="0" borderId="0" xfId="0" applyFont="1" applyFill="1"/>
    <xf numFmtId="0" fontId="8" fillId="0" borderId="0" xfId="0" applyFont="1"/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horizontal="right" vertical="center"/>
    </xf>
    <xf numFmtId="37" fontId="8" fillId="0" borderId="0" xfId="0" applyNumberFormat="1" applyFont="1" applyAlignment="1">
      <alignment horizontal="right" vertical="center"/>
    </xf>
    <xf numFmtId="169" fontId="6" fillId="2" borderId="0" xfId="2" applyNumberFormat="1" applyFont="1" applyFill="1" applyAlignment="1">
      <alignment vertical="center"/>
    </xf>
    <xf numFmtId="169" fontId="6" fillId="2" borderId="0" xfId="2" applyNumberFormat="1" applyFont="1" applyFill="1" applyAlignment="1">
      <alignment horizontal="right" vertical="center"/>
    </xf>
    <xf numFmtId="166" fontId="6" fillId="2" borderId="0" xfId="2" applyNumberFormat="1" applyFont="1" applyFill="1" applyAlignment="1">
      <alignment horizontal="right" vertical="center"/>
    </xf>
    <xf numFmtId="164" fontId="6" fillId="2" borderId="0" xfId="2" applyNumberFormat="1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166" fontId="11" fillId="2" borderId="0" xfId="2" applyNumberFormat="1" applyFont="1" applyFill="1" applyAlignment="1">
      <alignment horizontal="right" vertical="center"/>
    </xf>
    <xf numFmtId="0" fontId="7" fillId="0" borderId="0" xfId="0" applyFont="1"/>
    <xf numFmtId="0" fontId="12" fillId="0" borderId="0" xfId="0" applyFont="1"/>
    <xf numFmtId="165" fontId="12" fillId="0" borderId="0" xfId="2" applyNumberFormat="1" applyFont="1"/>
    <xf numFmtId="0" fontId="7" fillId="0" borderId="2" xfId="0" applyFont="1" applyBorder="1"/>
    <xf numFmtId="165" fontId="7" fillId="0" borderId="2" xfId="2" applyNumberFormat="1" applyFont="1" applyBorder="1"/>
    <xf numFmtId="165" fontId="13" fillId="0" borderId="0" xfId="2" applyNumberFormat="1" applyFont="1"/>
    <xf numFmtId="0" fontId="8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37" fontId="7" fillId="0" borderId="1" xfId="0" applyNumberFormat="1" applyFont="1" applyBorder="1" applyAlignment="1">
      <alignment horizontal="right" vertical="center"/>
    </xf>
    <xf numFmtId="165" fontId="13" fillId="0" borderId="0" xfId="2" applyNumberFormat="1" applyFont="1" applyAlignment="1">
      <alignment horizontal="right" vertical="center"/>
    </xf>
    <xf numFmtId="165" fontId="7" fillId="0" borderId="1" xfId="2" applyNumberFormat="1" applyFont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37" fontId="7" fillId="0" borderId="3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vertical="center"/>
    </xf>
    <xf numFmtId="37" fontId="7" fillId="0" borderId="2" xfId="0" applyNumberFormat="1" applyFont="1" applyBorder="1" applyAlignment="1">
      <alignment horizontal="right"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right" vertical="center"/>
    </xf>
    <xf numFmtId="0" fontId="8" fillId="3" borderId="0" xfId="0" applyFont="1" applyFill="1" applyAlignment="1">
      <alignment vertical="center"/>
    </xf>
    <xf numFmtId="165" fontId="10" fillId="3" borderId="0" xfId="2" applyNumberFormat="1" applyFont="1" applyFill="1" applyAlignment="1">
      <alignment horizontal="right" vertical="center"/>
    </xf>
    <xf numFmtId="37" fontId="8" fillId="3" borderId="0" xfId="0" applyNumberFormat="1" applyFont="1" applyFill="1" applyAlignment="1">
      <alignment horizontal="right" vertical="center"/>
    </xf>
    <xf numFmtId="167" fontId="8" fillId="3" borderId="0" xfId="1" applyNumberFormat="1" applyFont="1" applyFill="1" applyAlignment="1">
      <alignment horizontal="right" vertical="center"/>
    </xf>
    <xf numFmtId="164" fontId="8" fillId="3" borderId="0" xfId="0" applyNumberFormat="1" applyFont="1" applyFill="1" applyAlignment="1">
      <alignment horizontal="right" vertical="center"/>
    </xf>
    <xf numFmtId="0" fontId="8" fillId="3" borderId="0" xfId="0" applyFont="1" applyFill="1" applyBorder="1" applyAlignment="1">
      <alignment horizontal="left" vertical="center" indent="1"/>
    </xf>
    <xf numFmtId="37" fontId="9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9" fontId="9" fillId="3" borderId="0" xfId="1" applyFont="1" applyFill="1" applyAlignment="1">
      <alignment horizontal="right" vertical="center"/>
    </xf>
    <xf numFmtId="169" fontId="14" fillId="2" borderId="0" xfId="2" applyNumberFormat="1" applyFont="1" applyFill="1" applyAlignment="1">
      <alignment vertical="center"/>
    </xf>
    <xf numFmtId="169" fontId="6" fillId="2" borderId="0" xfId="2" applyNumberFormat="1" applyFont="1" applyFill="1" applyAlignment="1">
      <alignment horizontal="left" vertical="center"/>
    </xf>
    <xf numFmtId="37" fontId="15" fillId="3" borderId="0" xfId="0" applyNumberFormat="1" applyFont="1" applyFill="1" applyAlignment="1">
      <alignment horizontal="right" vertical="center"/>
    </xf>
    <xf numFmtId="0" fontId="0" fillId="0" borderId="4" xfId="0" applyBorder="1" applyAlignment="1">
      <alignment vertical="center"/>
    </xf>
    <xf numFmtId="165" fontId="13" fillId="0" borderId="4" xfId="2" applyNumberFormat="1" applyFont="1" applyBorder="1"/>
    <xf numFmtId="0" fontId="17" fillId="0" borderId="0" xfId="4" applyFont="1" applyProtection="1">
      <protection locked="0"/>
    </xf>
    <xf numFmtId="0" fontId="7" fillId="0" borderId="5" xfId="4" applyFont="1" applyBorder="1" applyProtection="1">
      <protection locked="0"/>
    </xf>
    <xf numFmtId="0" fontId="18" fillId="5" borderId="0" xfId="3" applyFont="1" applyFill="1" applyBorder="1"/>
    <xf numFmtId="0" fontId="8" fillId="4" borderId="0" xfId="0" applyFont="1" applyFill="1"/>
    <xf numFmtId="0" fontId="13" fillId="5" borderId="0" xfId="0" applyFont="1" applyFill="1"/>
    <xf numFmtId="0" fontId="19" fillId="6" borderId="0" xfId="3" applyFont="1" applyFill="1"/>
  </cellXfs>
  <cellStyles count="5">
    <cellStyle name="Comma" xfId="2" builtinId="3"/>
    <cellStyle name="Hyperlink" xfId="3" builtinId="8"/>
    <cellStyle name="Normal" xfId="0" builtinId="0"/>
    <cellStyle name="Normal 2" xfId="4" xr:uid="{79B04CE5-1115-47EB-9DFB-828A089979B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ibrahimolatayoshittu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E7C1-4EDE-4BF6-B901-ED7AB08DBD2C}">
  <dimension ref="B3:M27"/>
  <sheetViews>
    <sheetView showGridLines="0" tabSelected="1" workbookViewId="0">
      <selection activeCell="D12" sqref="D12"/>
    </sheetView>
  </sheetViews>
  <sheetFormatPr defaultRowHeight="16.5" x14ac:dyDescent="0.3"/>
  <cols>
    <col min="1" max="2" width="9.140625" style="70"/>
    <col min="3" max="3" width="69.85546875" style="70" bestFit="1" customWidth="1"/>
    <col min="4" max="16384" width="9.140625" style="70"/>
  </cols>
  <sheetData>
    <row r="3" spans="2:13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2:13" ht="20.25" x14ac:dyDescent="0.3">
      <c r="B4" s="24"/>
      <c r="C4" s="24"/>
      <c r="D4" s="72" t="s">
        <v>94</v>
      </c>
      <c r="E4" s="24"/>
      <c r="F4" s="24"/>
      <c r="G4" s="24"/>
      <c r="H4" s="24"/>
      <c r="I4" s="24"/>
      <c r="J4" s="24"/>
      <c r="K4" s="24"/>
      <c r="L4" s="24"/>
      <c r="M4" s="24"/>
    </row>
    <row r="5" spans="2:13" x14ac:dyDescent="0.3"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2:13" x14ac:dyDescent="0.3"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2:13" x14ac:dyDescent="0.3"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2:13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2:13" ht="27" x14ac:dyDescent="0.35">
      <c r="B9" s="24"/>
      <c r="C9" s="67" t="s">
        <v>93</v>
      </c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2:13" x14ac:dyDescent="0.3">
      <c r="B10" s="24"/>
      <c r="C10" s="71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2:13" ht="17.25" thickBot="1" x14ac:dyDescent="0.35">
      <c r="B11" s="24"/>
      <c r="C11" s="68" t="s">
        <v>91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2:13" x14ac:dyDescent="0.3">
      <c r="B12" s="24"/>
      <c r="C12" s="69" t="s">
        <v>85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2:13" x14ac:dyDescent="0.3">
      <c r="B13" s="24"/>
      <c r="C13" s="69" t="s">
        <v>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</row>
    <row r="14" spans="2:13" x14ac:dyDescent="0.3">
      <c r="B14" s="24"/>
      <c r="C14" s="69" t="s">
        <v>38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2:13" x14ac:dyDescent="0.3">
      <c r="B15" s="24"/>
      <c r="C15" s="69" t="s">
        <v>92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</row>
    <row r="16" spans="2:13" x14ac:dyDescent="0.3">
      <c r="B16" s="24"/>
      <c r="C16" s="69" t="s">
        <v>90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</row>
    <row r="17" spans="2:13" x14ac:dyDescent="0.3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</row>
    <row r="18" spans="2:13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spans="2:13" x14ac:dyDescent="0.3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spans="2:13" x14ac:dyDescent="0.3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2:13" x14ac:dyDescent="0.3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</row>
    <row r="22" spans="2:13" x14ac:dyDescent="0.3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</row>
    <row r="23" spans="2:13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2:13" x14ac:dyDescent="0.3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2:13" x14ac:dyDescent="0.3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2:13" x14ac:dyDescent="0.3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</row>
    <row r="27" spans="2:13" x14ac:dyDescent="0.3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</row>
  </sheetData>
  <hyperlinks>
    <hyperlink ref="C13" location="'Income Statement'!A1" display="Income Statement" xr:uid="{76716C2A-BF27-4D44-9A3A-9E50DEE81691}"/>
    <hyperlink ref="C14" location="'Balance Sheet'!A1" display="Balance Sheet" xr:uid="{F2BD0804-21B0-415D-8029-D5F1E66CEB0E}"/>
    <hyperlink ref="C15" location="'Statement of Cashflow'!A1" display="Statement of Cash Flow" xr:uid="{9F4CAE0C-4422-441C-B4BA-5D0F5E7733C4}"/>
    <hyperlink ref="C12" location="Assumptions!A1" display="Assumptions" xr:uid="{7DC4BF67-D6E7-46F5-B95E-F2A71EF9F760}"/>
    <hyperlink ref="C16" location="'Supporting Schedules'!A1" display="Supporting Schedules" xr:uid="{5731534B-3C03-41F0-8E40-A665990D3A03}"/>
    <hyperlink ref="D4" r:id="rId1" xr:uid="{96A0FAE8-C0B6-464D-9540-9FC933CCFFF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7809-1ECA-43A0-AF3D-A04302DD5E07}">
  <dimension ref="B2:H27"/>
  <sheetViews>
    <sheetView showGridLines="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E24" sqref="E24"/>
    </sheetView>
  </sheetViews>
  <sheetFormatPr defaultRowHeight="15" x14ac:dyDescent="0.25"/>
  <cols>
    <col min="1" max="1" width="9.140625" style="13"/>
    <col min="2" max="2" width="34.140625" style="13" bestFit="1" customWidth="1"/>
    <col min="3" max="8" width="10.7109375" style="13" customWidth="1"/>
    <col min="9" max="16384" width="9.140625" style="13"/>
  </cols>
  <sheetData>
    <row r="2" spans="2:8" ht="20.25" x14ac:dyDescent="0.25">
      <c r="B2" s="30" t="s">
        <v>85</v>
      </c>
      <c r="C2" s="31"/>
      <c r="D2" s="31"/>
      <c r="E2" s="31"/>
      <c r="F2" s="31"/>
      <c r="G2" s="31"/>
      <c r="H2" s="31"/>
    </row>
    <row r="3" spans="2:8" ht="20.25" x14ac:dyDescent="0.25">
      <c r="B3" s="30"/>
      <c r="C3" s="32">
        <v>44196</v>
      </c>
      <c r="D3" s="33">
        <f>EDATE(C3,12)</f>
        <v>44561</v>
      </c>
      <c r="E3" s="33">
        <f>EDATE(D3,12)</f>
        <v>44926</v>
      </c>
      <c r="F3" s="33">
        <f t="shared" ref="F3:H3" si="0">EDATE(E3,12)</f>
        <v>45291</v>
      </c>
      <c r="G3" s="33">
        <f t="shared" si="0"/>
        <v>45657</v>
      </c>
      <c r="H3" s="33">
        <f t="shared" si="0"/>
        <v>46022</v>
      </c>
    </row>
    <row r="4" spans="2:8" ht="16.5" x14ac:dyDescent="0.25">
      <c r="B4" s="51" t="s">
        <v>80</v>
      </c>
      <c r="C4" s="52"/>
      <c r="D4" s="57"/>
      <c r="E4" s="57"/>
      <c r="F4" s="57"/>
      <c r="G4" s="57"/>
      <c r="H4" s="57"/>
    </row>
    <row r="5" spans="2:8" ht="16.5" x14ac:dyDescent="0.25">
      <c r="B5" s="53" t="s">
        <v>82</v>
      </c>
      <c r="C5" s="52"/>
      <c r="D5" s="55"/>
      <c r="E5" s="55"/>
      <c r="F5" s="55"/>
      <c r="G5" s="55"/>
      <c r="H5" s="55"/>
    </row>
    <row r="6" spans="2:8" ht="16.5" x14ac:dyDescent="0.25">
      <c r="B6" s="58" t="s">
        <v>24</v>
      </c>
      <c r="C6" s="52"/>
      <c r="D6" s="59">
        <v>4000</v>
      </c>
      <c r="E6" s="59">
        <v>4500</v>
      </c>
      <c r="F6" s="59">
        <v>5000</v>
      </c>
      <c r="G6" s="59">
        <v>6000</v>
      </c>
      <c r="H6" s="59">
        <v>6500</v>
      </c>
    </row>
    <row r="7" spans="2:8" ht="16.5" x14ac:dyDescent="0.25">
      <c r="B7" s="58" t="s">
        <v>25</v>
      </c>
      <c r="C7" s="52"/>
      <c r="D7" s="60">
        <f>5*250</f>
        <v>1250</v>
      </c>
      <c r="E7" s="60">
        <f t="shared" ref="E7:H7" si="1">5*250</f>
        <v>1250</v>
      </c>
      <c r="F7" s="60">
        <f t="shared" si="1"/>
        <v>1250</v>
      </c>
      <c r="G7" s="60">
        <f t="shared" si="1"/>
        <v>1250</v>
      </c>
      <c r="H7" s="60">
        <f t="shared" si="1"/>
        <v>1250</v>
      </c>
    </row>
    <row r="8" spans="2:8" ht="16.5" x14ac:dyDescent="0.25">
      <c r="B8" s="58" t="str">
        <f>'Income Statement'!B6&amp;" as a % of Revenue"</f>
        <v>Discounts as a % of Revenue</v>
      </c>
      <c r="C8" s="52"/>
      <c r="D8" s="61">
        <v>0.05</v>
      </c>
      <c r="E8" s="61">
        <v>0.05</v>
      </c>
      <c r="F8" s="61">
        <v>0.05</v>
      </c>
      <c r="G8" s="61">
        <v>0.05</v>
      </c>
      <c r="H8" s="61">
        <v>0.05</v>
      </c>
    </row>
    <row r="9" spans="2:8" ht="16.5" x14ac:dyDescent="0.25">
      <c r="B9" s="53" t="s">
        <v>83</v>
      </c>
      <c r="C9" s="52"/>
      <c r="D9" s="52"/>
      <c r="E9" s="52"/>
      <c r="F9" s="52"/>
      <c r="G9" s="52"/>
      <c r="H9" s="52"/>
    </row>
    <row r="10" spans="2:8" ht="16.5" x14ac:dyDescent="0.25">
      <c r="B10" s="58" t="str">
        <f>'Income Statement'!B9&amp;" as a % of Revenue"</f>
        <v>Raw Materials as a % of Revenue</v>
      </c>
      <c r="C10" s="52"/>
      <c r="D10" s="61">
        <v>0.3</v>
      </c>
      <c r="E10" s="61">
        <v>0.3</v>
      </c>
      <c r="F10" s="61">
        <v>0.3</v>
      </c>
      <c r="G10" s="61">
        <v>0.3</v>
      </c>
      <c r="H10" s="61">
        <v>0.3</v>
      </c>
    </row>
    <row r="11" spans="2:8" ht="16.5" x14ac:dyDescent="0.25">
      <c r="B11" s="58" t="str">
        <f>'Income Statement'!B10&amp;" as a % of Revenue"</f>
        <v>Fulfilment as a % of Revenue</v>
      </c>
      <c r="C11" s="52"/>
      <c r="D11" s="61">
        <v>7.0000000000000007E-2</v>
      </c>
      <c r="E11" s="61">
        <v>7.0000000000000007E-2</v>
      </c>
      <c r="F11" s="61">
        <v>7.0000000000000007E-2</v>
      </c>
      <c r="G11" s="61">
        <v>7.0000000000000007E-2</v>
      </c>
      <c r="H11" s="61">
        <v>7.0000000000000007E-2</v>
      </c>
    </row>
    <row r="12" spans="2:8" ht="16.5" x14ac:dyDescent="0.25">
      <c r="B12" s="58" t="str">
        <f>'Income Statement'!B11&amp;" as a % of Revenue"</f>
        <v>Transaction Fees as a % of Revenue</v>
      </c>
      <c r="C12" s="52"/>
      <c r="D12" s="61">
        <v>0.02</v>
      </c>
      <c r="E12" s="61">
        <v>0.02</v>
      </c>
      <c r="F12" s="61">
        <v>0.02</v>
      </c>
      <c r="G12" s="61">
        <v>0.02</v>
      </c>
      <c r="H12" s="61">
        <v>0.02</v>
      </c>
    </row>
    <row r="13" spans="2:8" ht="16.5" x14ac:dyDescent="0.25">
      <c r="B13" s="53" t="s">
        <v>84</v>
      </c>
      <c r="C13" s="52"/>
      <c r="D13" s="52"/>
      <c r="E13" s="52"/>
      <c r="F13" s="52"/>
      <c r="G13" s="52"/>
      <c r="H13" s="52"/>
    </row>
    <row r="14" spans="2:8" ht="16.5" x14ac:dyDescent="0.25">
      <c r="B14" s="58" t="str">
        <f>'Income Statement'!B16&amp;" as a % of Revenue"</f>
        <v>Labor as a % of Revenue</v>
      </c>
      <c r="C14" s="52"/>
      <c r="D14" s="61">
        <v>0.15</v>
      </c>
      <c r="E14" s="61">
        <v>0.15</v>
      </c>
      <c r="F14" s="61">
        <v>0.15</v>
      </c>
      <c r="G14" s="61">
        <v>0.15</v>
      </c>
      <c r="H14" s="61">
        <v>0.15</v>
      </c>
    </row>
    <row r="15" spans="2:8" ht="16.5" x14ac:dyDescent="0.25">
      <c r="B15" s="58" t="str">
        <f>'Income Statement'!B17&amp;" as a % of Revenue"</f>
        <v>Marketting as a % of Revenue</v>
      </c>
      <c r="C15" s="52"/>
      <c r="D15" s="61">
        <v>0.05</v>
      </c>
      <c r="E15" s="61">
        <v>0.05</v>
      </c>
      <c r="F15" s="61">
        <v>0.05</v>
      </c>
      <c r="G15" s="61">
        <v>0.05</v>
      </c>
      <c r="H15" s="61">
        <v>0.05</v>
      </c>
    </row>
    <row r="16" spans="2:8" ht="16.5" x14ac:dyDescent="0.25">
      <c r="B16" s="58" t="str">
        <f>'Income Statement'!B18&amp;" as a % of Revenue"</f>
        <v>Other Exp as a % of Revenue</v>
      </c>
      <c r="C16" s="52"/>
      <c r="D16" s="61">
        <v>0.05</v>
      </c>
      <c r="E16" s="61">
        <v>0.05</v>
      </c>
      <c r="F16" s="61">
        <v>0.05</v>
      </c>
      <c r="G16" s="61">
        <v>0.05</v>
      </c>
      <c r="H16" s="61">
        <v>0.05</v>
      </c>
    </row>
    <row r="17" spans="2:8" ht="16.5" x14ac:dyDescent="0.25">
      <c r="B17" s="53"/>
      <c r="C17" s="52"/>
      <c r="D17" s="52"/>
      <c r="E17" s="52"/>
      <c r="F17" s="52"/>
      <c r="G17" s="52"/>
      <c r="H17" s="52"/>
    </row>
    <row r="18" spans="2:8" ht="16.5" x14ac:dyDescent="0.25">
      <c r="B18" s="53" t="s">
        <v>95</v>
      </c>
      <c r="C18" s="52"/>
      <c r="D18" s="61">
        <v>7.0000000000000007E-2</v>
      </c>
      <c r="E18" s="61">
        <v>7.0000000000000007E-2</v>
      </c>
      <c r="F18" s="61">
        <v>7.0000000000000007E-2</v>
      </c>
      <c r="G18" s="61">
        <v>7.0000000000000007E-2</v>
      </c>
      <c r="H18" s="61">
        <v>7.0000000000000007E-2</v>
      </c>
    </row>
    <row r="19" spans="2:8" ht="16.5" x14ac:dyDescent="0.25">
      <c r="B19" s="53" t="s">
        <v>26</v>
      </c>
      <c r="C19" s="52"/>
      <c r="D19" s="61">
        <v>0.21</v>
      </c>
      <c r="E19" s="61">
        <v>0.21</v>
      </c>
      <c r="F19" s="61">
        <v>0.21</v>
      </c>
      <c r="G19" s="61">
        <v>0.21</v>
      </c>
      <c r="H19" s="61">
        <v>0.21</v>
      </c>
    </row>
    <row r="20" spans="2:8" ht="16.5" x14ac:dyDescent="0.25">
      <c r="B20" s="27"/>
      <c r="C20" s="34"/>
      <c r="D20" s="34"/>
      <c r="E20" s="34"/>
      <c r="F20" s="34"/>
      <c r="G20" s="34"/>
      <c r="H20" s="34"/>
    </row>
    <row r="21" spans="2:8" ht="16.5" x14ac:dyDescent="0.25">
      <c r="B21" s="26"/>
      <c r="C21" s="28"/>
      <c r="D21" s="28"/>
      <c r="E21" s="28"/>
      <c r="F21" s="28"/>
      <c r="G21" s="28"/>
      <c r="H21" s="28"/>
    </row>
    <row r="22" spans="2:8" ht="16.5" x14ac:dyDescent="0.25">
      <c r="B22" s="51" t="s">
        <v>38</v>
      </c>
      <c r="C22" s="52"/>
      <c r="D22" s="52"/>
      <c r="E22" s="52"/>
      <c r="F22" s="52"/>
      <c r="G22" s="52"/>
      <c r="H22" s="52"/>
    </row>
    <row r="23" spans="2:8" ht="16.5" x14ac:dyDescent="0.25">
      <c r="B23" s="53" t="s">
        <v>4</v>
      </c>
      <c r="C23" s="54">
        <v>2500000</v>
      </c>
      <c r="D23" s="64">
        <f>'Income Statement'!D7</f>
        <v>4750000</v>
      </c>
      <c r="E23" s="64">
        <f>'Income Statement'!E7</f>
        <v>5343750</v>
      </c>
      <c r="F23" s="64">
        <f>'Income Statement'!F7</f>
        <v>5937500</v>
      </c>
      <c r="G23" s="64">
        <f>'Income Statement'!G7</f>
        <v>7125000</v>
      </c>
      <c r="H23" s="64">
        <f>'Income Statement'!H7</f>
        <v>7718750</v>
      </c>
    </row>
    <row r="24" spans="2:8" ht="16.5" x14ac:dyDescent="0.25">
      <c r="B24" s="53" t="s">
        <v>62</v>
      </c>
      <c r="C24" s="54">
        <v>885000</v>
      </c>
      <c r="D24" s="64">
        <f>-'Income Statement'!D12</f>
        <v>1950000</v>
      </c>
      <c r="E24" s="64">
        <f>-'Income Statement'!E12</f>
        <v>2193750</v>
      </c>
      <c r="F24" s="64">
        <f>-'Income Statement'!F12</f>
        <v>2437500</v>
      </c>
      <c r="G24" s="64">
        <f>-'Income Statement'!G12</f>
        <v>2925000</v>
      </c>
      <c r="H24" s="64">
        <f>-'Income Statement'!H12</f>
        <v>3168750</v>
      </c>
    </row>
    <row r="25" spans="2:8" ht="16.5" x14ac:dyDescent="0.25">
      <c r="B25" s="53" t="s">
        <v>66</v>
      </c>
      <c r="C25" s="56">
        <f>'Balance Sheet'!D6/C23</f>
        <v>1.4999999999999999E-2</v>
      </c>
      <c r="D25" s="56">
        <f t="shared" ref="D25:H27" si="2">C25</f>
        <v>1.4999999999999999E-2</v>
      </c>
      <c r="E25" s="56">
        <f t="shared" si="2"/>
        <v>1.4999999999999999E-2</v>
      </c>
      <c r="F25" s="56">
        <f t="shared" si="2"/>
        <v>1.4999999999999999E-2</v>
      </c>
      <c r="G25" s="56">
        <f t="shared" si="2"/>
        <v>1.4999999999999999E-2</v>
      </c>
      <c r="H25" s="56">
        <f t="shared" si="2"/>
        <v>1.4999999999999999E-2</v>
      </c>
    </row>
    <row r="26" spans="2:8" ht="16.5" x14ac:dyDescent="0.25">
      <c r="B26" s="53" t="s">
        <v>68</v>
      </c>
      <c r="C26" s="56">
        <f>'Balance Sheet'!D16/C24</f>
        <v>5.6497175141242938E-2</v>
      </c>
      <c r="D26" s="56">
        <f t="shared" si="2"/>
        <v>5.6497175141242938E-2</v>
      </c>
      <c r="E26" s="56">
        <f t="shared" si="2"/>
        <v>5.6497175141242938E-2</v>
      </c>
      <c r="F26" s="56">
        <f t="shared" si="2"/>
        <v>5.6497175141242938E-2</v>
      </c>
      <c r="G26" s="56">
        <f t="shared" si="2"/>
        <v>5.6497175141242938E-2</v>
      </c>
      <c r="H26" s="56">
        <f t="shared" si="2"/>
        <v>5.6497175141242938E-2</v>
      </c>
    </row>
    <row r="27" spans="2:8" ht="16.5" x14ac:dyDescent="0.25">
      <c r="B27" s="53" t="s">
        <v>67</v>
      </c>
      <c r="C27" s="56">
        <f>'Balance Sheet'!D17/C23</f>
        <v>0.01</v>
      </c>
      <c r="D27" s="56">
        <f t="shared" si="2"/>
        <v>0.01</v>
      </c>
      <c r="E27" s="56">
        <f t="shared" si="2"/>
        <v>0.01</v>
      </c>
      <c r="F27" s="56">
        <f t="shared" si="2"/>
        <v>0.01</v>
      </c>
      <c r="G27" s="56">
        <f t="shared" si="2"/>
        <v>0.01</v>
      </c>
      <c r="H27" s="56">
        <f t="shared" si="2"/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DB721-D924-4052-BA81-A2FB591A078D}">
  <dimension ref="B2:H30"/>
  <sheetViews>
    <sheetView showGridLines="0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H23" sqref="H23"/>
    </sheetView>
  </sheetViews>
  <sheetFormatPr defaultRowHeight="15" x14ac:dyDescent="0.25"/>
  <cols>
    <col min="2" max="2" width="26.85546875" bestFit="1" customWidth="1"/>
    <col min="4" max="8" width="10.7109375" bestFit="1" customWidth="1"/>
  </cols>
  <sheetData>
    <row r="2" spans="2:8" ht="20.25" x14ac:dyDescent="0.25">
      <c r="B2" s="30" t="s">
        <v>0</v>
      </c>
      <c r="C2" s="31"/>
      <c r="D2" s="31"/>
      <c r="E2" s="31"/>
      <c r="F2" s="31"/>
      <c r="G2" s="31"/>
      <c r="H2" s="31"/>
    </row>
    <row r="3" spans="2:8" ht="20.25" x14ac:dyDescent="0.25">
      <c r="B3" s="62" t="s">
        <v>86</v>
      </c>
      <c r="C3" s="32"/>
      <c r="D3" s="33">
        <v>44227</v>
      </c>
      <c r="E3" s="33">
        <f>EDATE(D3,12)</f>
        <v>44592</v>
      </c>
      <c r="F3" s="33">
        <f>EDATE(E3,12)</f>
        <v>44957</v>
      </c>
      <c r="G3" s="33">
        <f>EDATE(F3,12)</f>
        <v>45322</v>
      </c>
      <c r="H3" s="33">
        <f>EDATE(G3,12)</f>
        <v>45688</v>
      </c>
    </row>
    <row r="4" spans="2:8" x14ac:dyDescent="0.25">
      <c r="B4" t="s">
        <v>1</v>
      </c>
    </row>
    <row r="5" spans="2:8" x14ac:dyDescent="0.25">
      <c r="B5" s="1" t="s">
        <v>2</v>
      </c>
      <c r="D5" s="5">
        <f>Assumptions!D6*Assumptions!D7</f>
        <v>5000000</v>
      </c>
      <c r="E5" s="5">
        <f>Assumptions!E6*Assumptions!E7</f>
        <v>5625000</v>
      </c>
      <c r="F5" s="5">
        <f>Assumptions!F6*Assumptions!F7</f>
        <v>6250000</v>
      </c>
      <c r="G5" s="5">
        <f>Assumptions!G6*Assumptions!G7</f>
        <v>7500000</v>
      </c>
      <c r="H5" s="5">
        <f>Assumptions!H6*Assumptions!H7</f>
        <v>8125000</v>
      </c>
    </row>
    <row r="6" spans="2:8" x14ac:dyDescent="0.25">
      <c r="B6" s="1" t="s">
        <v>3</v>
      </c>
      <c r="D6" s="5">
        <f>D5*-Assumptions!D8</f>
        <v>-250000</v>
      </c>
      <c r="E6" s="5">
        <f>E5*-Assumptions!E8</f>
        <v>-281250</v>
      </c>
      <c r="F6" s="5">
        <f>F5*-Assumptions!F8</f>
        <v>-312500</v>
      </c>
      <c r="G6" s="5">
        <f>G5*-Assumptions!G8</f>
        <v>-375000</v>
      </c>
      <c r="H6" s="5">
        <f>H5*-Assumptions!H8</f>
        <v>-406250</v>
      </c>
    </row>
    <row r="7" spans="2:8" x14ac:dyDescent="0.25">
      <c r="B7" s="2" t="s">
        <v>4</v>
      </c>
      <c r="C7" s="2"/>
      <c r="D7" s="6">
        <f>SUM(D5:D6)</f>
        <v>4750000</v>
      </c>
      <c r="E7" s="6">
        <f>SUM(E5:E6)</f>
        <v>5343750</v>
      </c>
      <c r="F7" s="6">
        <f>SUM(F5:F6)</f>
        <v>5937500</v>
      </c>
      <c r="G7" s="6">
        <f>SUM(G5:G6)</f>
        <v>7125000</v>
      </c>
      <c r="H7" s="6">
        <f>SUM(H5:H6)</f>
        <v>7718750</v>
      </c>
    </row>
    <row r="8" spans="2:8" x14ac:dyDescent="0.25">
      <c r="B8" t="s">
        <v>5</v>
      </c>
      <c r="D8" s="5"/>
      <c r="E8" s="5"/>
      <c r="F8" s="5"/>
      <c r="G8" s="5"/>
      <c r="H8" s="5"/>
    </row>
    <row r="9" spans="2:8" x14ac:dyDescent="0.25">
      <c r="B9" s="1" t="s">
        <v>6</v>
      </c>
      <c r="D9" s="5">
        <f>-D$5*Assumptions!D10</f>
        <v>-1500000</v>
      </c>
      <c r="E9" s="5">
        <f>-E$5*Assumptions!E10</f>
        <v>-1687500</v>
      </c>
      <c r="F9" s="5">
        <f>-F$5*Assumptions!F10</f>
        <v>-1875000</v>
      </c>
      <c r="G9" s="5">
        <f>-G$5*Assumptions!G10</f>
        <v>-2250000</v>
      </c>
      <c r="H9" s="5">
        <f>-H$5*Assumptions!H10</f>
        <v>-2437500</v>
      </c>
    </row>
    <row r="10" spans="2:8" x14ac:dyDescent="0.25">
      <c r="B10" s="1" t="s">
        <v>7</v>
      </c>
      <c r="D10" s="5">
        <f>-D$5*Assumptions!D11</f>
        <v>-350000.00000000006</v>
      </c>
      <c r="E10" s="5">
        <f>-E$5*Assumptions!E11</f>
        <v>-393750.00000000006</v>
      </c>
      <c r="F10" s="5">
        <f>-F$5*Assumptions!F11</f>
        <v>-437500.00000000006</v>
      </c>
      <c r="G10" s="5">
        <f>-G$5*Assumptions!G11</f>
        <v>-525000</v>
      </c>
      <c r="H10" s="5">
        <f>-H$5*Assumptions!H11</f>
        <v>-568750</v>
      </c>
    </row>
    <row r="11" spans="2:8" x14ac:dyDescent="0.25">
      <c r="B11" s="1" t="s">
        <v>8</v>
      </c>
      <c r="D11" s="5">
        <f>-D$5*Assumptions!D12</f>
        <v>-100000</v>
      </c>
      <c r="E11" s="5">
        <f>-E$5*Assumptions!E12</f>
        <v>-112500</v>
      </c>
      <c r="F11" s="5">
        <f>-F$5*Assumptions!F12</f>
        <v>-125000</v>
      </c>
      <c r="G11" s="5">
        <f>-G$5*Assumptions!G12</f>
        <v>-150000</v>
      </c>
      <c r="H11" s="5">
        <f>-H$5*Assumptions!H12</f>
        <v>-162500</v>
      </c>
    </row>
    <row r="12" spans="2:8" x14ac:dyDescent="0.25">
      <c r="B12" s="7" t="s">
        <v>9</v>
      </c>
      <c r="C12" s="8"/>
      <c r="D12" s="9">
        <f>SUM(D9:D11)</f>
        <v>-1950000</v>
      </c>
      <c r="E12" s="9">
        <f>SUM(E9:E11)</f>
        <v>-2193750</v>
      </c>
      <c r="F12" s="9">
        <f>SUM(F9:F11)</f>
        <v>-2437500</v>
      </c>
      <c r="G12" s="9">
        <f>SUM(G9:G11)</f>
        <v>-2925000</v>
      </c>
      <c r="H12" s="9">
        <f>SUM(H9:H11)</f>
        <v>-3168750</v>
      </c>
    </row>
    <row r="13" spans="2:8" x14ac:dyDescent="0.25">
      <c r="B13" s="2" t="s">
        <v>10</v>
      </c>
      <c r="C13" s="2"/>
      <c r="D13" s="6">
        <f>D7+D12</f>
        <v>2800000</v>
      </c>
      <c r="E13" s="6">
        <f>E7+E12</f>
        <v>3150000</v>
      </c>
      <c r="F13" s="6">
        <f>F7+F12</f>
        <v>3500000</v>
      </c>
      <c r="G13" s="6">
        <f>G7+G12</f>
        <v>4200000</v>
      </c>
      <c r="H13" s="6">
        <f>H7+H12</f>
        <v>4550000</v>
      </c>
    </row>
    <row r="14" spans="2:8" x14ac:dyDescent="0.25">
      <c r="B14" t="s">
        <v>11</v>
      </c>
      <c r="D14" s="4">
        <f>D13/D7</f>
        <v>0.58947368421052626</v>
      </c>
      <c r="E14" s="4">
        <f>E13/E7</f>
        <v>0.58947368421052626</v>
      </c>
      <c r="F14" s="4">
        <f>F13/F7</f>
        <v>0.58947368421052626</v>
      </c>
      <c r="G14" s="4">
        <f>G13/G7</f>
        <v>0.58947368421052626</v>
      </c>
      <c r="H14" s="4">
        <f>H13/H7</f>
        <v>0.58947368421052626</v>
      </c>
    </row>
    <row r="15" spans="2:8" x14ac:dyDescent="0.25">
      <c r="B15" t="s">
        <v>12</v>
      </c>
      <c r="D15" s="5"/>
      <c r="E15" s="5"/>
      <c r="F15" s="5"/>
      <c r="G15" s="5"/>
      <c r="H15" s="5"/>
    </row>
    <row r="16" spans="2:8" x14ac:dyDescent="0.25">
      <c r="B16" s="1" t="s">
        <v>13</v>
      </c>
      <c r="D16" s="5">
        <f>-D$5*Assumptions!D14</f>
        <v>-750000</v>
      </c>
      <c r="E16" s="5">
        <f>-E$5*Assumptions!E14</f>
        <v>-843750</v>
      </c>
      <c r="F16" s="5">
        <f>-F$5*Assumptions!F14</f>
        <v>-937500</v>
      </c>
      <c r="G16" s="5">
        <f>-G$5*Assumptions!G14</f>
        <v>-1125000</v>
      </c>
      <c r="H16" s="5">
        <f>-H$5*Assumptions!H14</f>
        <v>-1218750</v>
      </c>
    </row>
    <row r="17" spans="2:8" x14ac:dyDescent="0.25">
      <c r="B17" s="1" t="s">
        <v>14</v>
      </c>
      <c r="D17" s="5">
        <f>-D$5*Assumptions!D15</f>
        <v>-250000</v>
      </c>
      <c r="E17" s="5">
        <f>-E$5*Assumptions!E15</f>
        <v>-281250</v>
      </c>
      <c r="F17" s="5">
        <f>-F$5*Assumptions!F15</f>
        <v>-312500</v>
      </c>
      <c r="G17" s="5">
        <f>-G$5*Assumptions!G15</f>
        <v>-375000</v>
      </c>
      <c r="H17" s="5">
        <f>-H$5*Assumptions!H15</f>
        <v>-406250</v>
      </c>
    </row>
    <row r="18" spans="2:8" x14ac:dyDescent="0.25">
      <c r="B18" s="1" t="s">
        <v>27</v>
      </c>
      <c r="D18" s="5">
        <f>-D$5*Assumptions!D16</f>
        <v>-250000</v>
      </c>
      <c r="E18" s="5">
        <f>-E$5*Assumptions!E16</f>
        <v>-281250</v>
      </c>
      <c r="F18" s="5">
        <f>-F$5*Assumptions!F16</f>
        <v>-312500</v>
      </c>
      <c r="G18" s="5">
        <f>-G$5*Assumptions!G16</f>
        <v>-375000</v>
      </c>
      <c r="H18" s="5">
        <f>-H$5*Assumptions!H16</f>
        <v>-406250</v>
      </c>
    </row>
    <row r="19" spans="2:8" x14ac:dyDescent="0.25">
      <c r="B19" t="s">
        <v>15</v>
      </c>
      <c r="D19" s="5">
        <f>SUM(D16:D18)</f>
        <v>-1250000</v>
      </c>
      <c r="E19" s="5">
        <f>SUM(E16:E18)</f>
        <v>-1406250</v>
      </c>
      <c r="F19" s="5">
        <f>SUM(F16:F18)</f>
        <v>-1562500</v>
      </c>
      <c r="G19" s="5">
        <f>SUM(G16:G18)</f>
        <v>-1875000</v>
      </c>
      <c r="H19" s="5">
        <f>SUM(H16:H18)</f>
        <v>-2031250</v>
      </c>
    </row>
    <row r="20" spans="2:8" x14ac:dyDescent="0.25">
      <c r="B20" s="2" t="s">
        <v>16</v>
      </c>
      <c r="C20" s="2"/>
      <c r="D20" s="6">
        <f>D13+D19</f>
        <v>1550000</v>
      </c>
      <c r="E20" s="6">
        <f>E13+E19</f>
        <v>1743750</v>
      </c>
      <c r="F20" s="6">
        <f>F13+F19</f>
        <v>1937500</v>
      </c>
      <c r="G20" s="6">
        <f>G13+G19</f>
        <v>2325000</v>
      </c>
      <c r="H20" s="6">
        <f>H13+H19</f>
        <v>2518750</v>
      </c>
    </row>
    <row r="21" spans="2:8" x14ac:dyDescent="0.25">
      <c r="B21" t="s">
        <v>18</v>
      </c>
      <c r="D21" s="5">
        <f>-'Supporting Schedules'!D15</f>
        <v>-1238095.2380952381</v>
      </c>
      <c r="E21" s="5">
        <f>-'Supporting Schedules'!E15</f>
        <v>-1238095.2380952381</v>
      </c>
      <c r="F21" s="5">
        <f>-'Supporting Schedules'!F15</f>
        <v>-1238095.2380952381</v>
      </c>
      <c r="G21" s="5">
        <f>-'Supporting Schedules'!G15</f>
        <v>-1238095.2380952381</v>
      </c>
      <c r="H21" s="5">
        <f>-'Supporting Schedules'!H15</f>
        <v>-738095.23809523811</v>
      </c>
    </row>
    <row r="22" spans="2:8" x14ac:dyDescent="0.25">
      <c r="B22" s="2" t="s">
        <v>19</v>
      </c>
      <c r="C22" s="2"/>
      <c r="D22" s="6">
        <f>SUM(D20:D21)</f>
        <v>311904.76190476189</v>
      </c>
      <c r="E22" s="6">
        <f>SUM(E20:E21)</f>
        <v>505654.76190476189</v>
      </c>
      <c r="F22" s="6">
        <f>SUM(F20:F21)</f>
        <v>699404.76190476189</v>
      </c>
      <c r="G22" s="6">
        <f>SUM(G20:G21)</f>
        <v>1086904.7619047619</v>
      </c>
      <c r="H22" s="6">
        <f>SUM(H20:H21)</f>
        <v>1780654.7619047619</v>
      </c>
    </row>
    <row r="23" spans="2:8" x14ac:dyDescent="0.25">
      <c r="B23" t="s">
        <v>17</v>
      </c>
      <c r="D23" s="5">
        <f>-'Supporting Schedules'!D23</f>
        <v>-166250.00000000003</v>
      </c>
      <c r="E23" s="5">
        <f>-'Supporting Schedules'!E23</f>
        <v>-157500.00000000003</v>
      </c>
      <c r="F23" s="5">
        <f>-'Supporting Schedules'!F23</f>
        <v>-231875.00000000003</v>
      </c>
      <c r="G23" s="5">
        <f>-'Supporting Schedules'!G23</f>
        <v>-218750.00000000003</v>
      </c>
      <c r="H23" s="5">
        <f>-'Supporting Schedules'!H23</f>
        <v>-205625.00000000003</v>
      </c>
    </row>
    <row r="24" spans="2:8" x14ac:dyDescent="0.25">
      <c r="B24" s="2" t="s">
        <v>20</v>
      </c>
      <c r="C24" s="2"/>
      <c r="D24" s="6">
        <f>SUM(D22,D23)</f>
        <v>145654.76190476186</v>
      </c>
      <c r="E24" s="6">
        <f>SUM(E22,E23)</f>
        <v>348154.76190476189</v>
      </c>
      <c r="F24" s="6">
        <f>SUM(F22,F23)</f>
        <v>467529.76190476189</v>
      </c>
      <c r="G24" s="6">
        <f>SUM(G22,G23)</f>
        <v>868154.76190476189</v>
      </c>
      <c r="H24" s="6">
        <f>SUM(H22,H23)</f>
        <v>1575029.7619047619</v>
      </c>
    </row>
    <row r="25" spans="2:8" x14ac:dyDescent="0.25">
      <c r="B25" t="s">
        <v>21</v>
      </c>
      <c r="D25" s="5">
        <f>-D24*Assumptions!D19</f>
        <v>-30587.499999999989</v>
      </c>
      <c r="E25" s="5">
        <f>-E24*Assumptions!E19</f>
        <v>-73112.5</v>
      </c>
      <c r="F25" s="5">
        <f>-F24*Assumptions!F19</f>
        <v>-98181.25</v>
      </c>
      <c r="G25" s="5">
        <f>-G24*Assumptions!G19</f>
        <v>-182312.5</v>
      </c>
      <c r="H25" s="5">
        <f>-H24*Assumptions!H19</f>
        <v>-330756.25</v>
      </c>
    </row>
    <row r="26" spans="2:8" ht="15.75" thickBot="1" x14ac:dyDescent="0.3">
      <c r="B26" s="11" t="s">
        <v>22</v>
      </c>
      <c r="C26" s="11"/>
      <c r="D26" s="12">
        <f>SUM(D24:D25)</f>
        <v>115067.26190476188</v>
      </c>
      <c r="E26" s="12">
        <f>SUM(E24:E25)</f>
        <v>275042.26190476189</v>
      </c>
      <c r="F26" s="12">
        <f>SUM(F24:F25)</f>
        <v>369348.51190476189</v>
      </c>
      <c r="G26" s="12">
        <f>SUM(G24:G25)</f>
        <v>685842.26190476189</v>
      </c>
      <c r="H26" s="12">
        <f>SUM(H24:H25)</f>
        <v>1244273.5119047619</v>
      </c>
    </row>
    <row r="27" spans="2:8" x14ac:dyDescent="0.25">
      <c r="D27" s="5"/>
      <c r="E27" s="5"/>
      <c r="F27" s="5"/>
      <c r="G27" s="5"/>
      <c r="H27" s="5"/>
    </row>
    <row r="28" spans="2:8" x14ac:dyDescent="0.25">
      <c r="B28" s="3" t="s">
        <v>23</v>
      </c>
      <c r="D28" s="4">
        <f>D26/D7</f>
        <v>2.4224686716791975E-2</v>
      </c>
      <c r="E28" s="4">
        <f>E26/E7</f>
        <v>5.1469896964633804E-2</v>
      </c>
      <c r="F28" s="4">
        <f>F26/F7</f>
        <v>6.2206065162907269E-2</v>
      </c>
      <c r="G28" s="4">
        <f>G26/G7</f>
        <v>9.6258563074352543E-2</v>
      </c>
      <c r="H28" s="4">
        <f>H26/H7</f>
        <v>0.1612014266435319</v>
      </c>
    </row>
    <row r="29" spans="2:8" x14ac:dyDescent="0.25">
      <c r="D29" s="5"/>
      <c r="E29" s="5"/>
      <c r="F29" s="5"/>
      <c r="G29" s="5"/>
      <c r="H29" s="5"/>
    </row>
    <row r="30" spans="2:8" x14ac:dyDescent="0.25">
      <c r="D30" s="5"/>
      <c r="E30" s="5"/>
      <c r="F30" s="5"/>
      <c r="G30" s="5"/>
      <c r="H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87D0-4605-4C21-B81A-3E70A7DC13E0}">
  <dimension ref="B2:I31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9.140625" style="13"/>
    <col min="2" max="2" width="17.5703125" style="13" bestFit="1" customWidth="1"/>
    <col min="3" max="3" width="9.140625" style="13"/>
    <col min="4" max="4" width="10.5703125" style="13" bestFit="1" customWidth="1"/>
    <col min="5" max="9" width="11.28515625" style="13" bestFit="1" customWidth="1"/>
    <col min="10" max="16384" width="9.140625" style="13"/>
  </cols>
  <sheetData>
    <row r="2" spans="2:9" ht="20.25" x14ac:dyDescent="0.25">
      <c r="B2" s="30" t="s">
        <v>38</v>
      </c>
      <c r="C2" s="31"/>
      <c r="D2" s="31"/>
      <c r="E2" s="31"/>
      <c r="F2" s="31"/>
      <c r="G2" s="31"/>
      <c r="H2" s="31"/>
      <c r="I2" s="31"/>
    </row>
    <row r="3" spans="2:9" ht="20.25" x14ac:dyDescent="0.25">
      <c r="B3" s="62" t="s">
        <v>86</v>
      </c>
      <c r="C3" s="32"/>
      <c r="D3" s="33">
        <v>44196</v>
      </c>
      <c r="E3" s="33">
        <f>EDATE(D3,12)</f>
        <v>44561</v>
      </c>
      <c r="F3" s="33">
        <f>EDATE(E3,12)</f>
        <v>44926</v>
      </c>
      <c r="G3" s="33">
        <f t="shared" ref="G3:I3" si="0">EDATE(F3,12)</f>
        <v>45291</v>
      </c>
      <c r="H3" s="33">
        <f t="shared" si="0"/>
        <v>45657</v>
      </c>
      <c r="I3" s="33">
        <f t="shared" si="0"/>
        <v>46022</v>
      </c>
    </row>
    <row r="4" spans="2:9" x14ac:dyDescent="0.25">
      <c r="B4" s="13" t="s">
        <v>39</v>
      </c>
    </row>
    <row r="5" spans="2:9" x14ac:dyDescent="0.25">
      <c r="B5" s="14" t="s">
        <v>40</v>
      </c>
      <c r="D5" s="20">
        <v>1250000</v>
      </c>
      <c r="E5" s="21">
        <f>D5+'Statement of Cashflow'!D18</f>
        <v>-972918.00847457629</v>
      </c>
      <c r="F5" s="21">
        <f>E5+'Statement of Cashflow'!E18</f>
        <v>426021.92796610179</v>
      </c>
      <c r="G5" s="21">
        <f>F5+'Statement of Cashflow'!F18</f>
        <v>3106768.1144067803</v>
      </c>
      <c r="H5" s="21">
        <f>G5+'Statement of Cashflow'!G18</f>
        <v>3614810.487288136</v>
      </c>
      <c r="I5" s="21">
        <f>H5+'Statement of Cashflow'!H18</f>
        <v>5420481.6737288143</v>
      </c>
    </row>
    <row r="6" spans="2:9" x14ac:dyDescent="0.25">
      <c r="B6" s="14" t="s">
        <v>41</v>
      </c>
      <c r="D6" s="20">
        <v>37500</v>
      </c>
      <c r="E6" s="21">
        <f>Assumptions!D23*Assumptions!D25</f>
        <v>71250</v>
      </c>
      <c r="F6" s="21">
        <f>Assumptions!E23*Assumptions!E25</f>
        <v>80156.25</v>
      </c>
      <c r="G6" s="21">
        <f>Assumptions!F23*Assumptions!F25</f>
        <v>89062.5</v>
      </c>
      <c r="H6" s="21">
        <f>Assumptions!G23*Assumptions!G25</f>
        <v>106875</v>
      </c>
      <c r="I6" s="21">
        <f>Assumptions!H23*Assumptions!H25</f>
        <v>115781.25</v>
      </c>
    </row>
    <row r="7" spans="2:9" x14ac:dyDescent="0.25">
      <c r="B7" s="15" t="s">
        <v>42</v>
      </c>
      <c r="C7" s="15"/>
      <c r="D7" s="22">
        <f>SUM(D5:D6)</f>
        <v>1287500</v>
      </c>
      <c r="E7" s="22">
        <f t="shared" ref="E7:I7" si="1">SUM(E5:E6)</f>
        <v>-901668.00847457629</v>
      </c>
      <c r="F7" s="22">
        <f t="shared" si="1"/>
        <v>506178.17796610179</v>
      </c>
      <c r="G7" s="22">
        <f t="shared" si="1"/>
        <v>3195830.6144067803</v>
      </c>
      <c r="H7" s="22">
        <f t="shared" si="1"/>
        <v>3721685.487288136</v>
      </c>
      <c r="I7" s="22">
        <f t="shared" si="1"/>
        <v>5536262.9237288143</v>
      </c>
    </row>
    <row r="8" spans="2:9" x14ac:dyDescent="0.25">
      <c r="B8" s="13" t="s">
        <v>43</v>
      </c>
      <c r="D8" s="20"/>
      <c r="E8" s="21"/>
      <c r="F8" s="21"/>
      <c r="G8" s="21"/>
      <c r="H8" s="21"/>
      <c r="I8" s="21"/>
    </row>
    <row r="9" spans="2:9" x14ac:dyDescent="0.25">
      <c r="B9" s="14" t="s">
        <v>28</v>
      </c>
      <c r="D9" s="20">
        <v>2500000</v>
      </c>
      <c r="E9" s="21">
        <f>D9+'Supporting Schedules'!D8</f>
        <v>6000000</v>
      </c>
      <c r="F9" s="21">
        <f>E9+'Supporting Schedules'!E8</f>
        <v>6000000</v>
      </c>
      <c r="G9" s="21">
        <f>F9+'Supporting Schedules'!F8</f>
        <v>6000000</v>
      </c>
      <c r="H9" s="21">
        <f>G9+'Supporting Schedules'!G8</f>
        <v>7250000</v>
      </c>
      <c r="I9" s="21">
        <f>H9+'Supporting Schedules'!H8</f>
        <v>7250000</v>
      </c>
    </row>
    <row r="10" spans="2:9" x14ac:dyDescent="0.25">
      <c r="B10" s="14" t="s">
        <v>44</v>
      </c>
      <c r="D10" s="20">
        <v>-500000</v>
      </c>
      <c r="E10" s="21">
        <f>D10-'Supporting Schedules'!D15</f>
        <v>-1738095.2380952381</v>
      </c>
      <c r="F10" s="21">
        <f>E10-'Supporting Schedules'!E15</f>
        <v>-2976190.4761904762</v>
      </c>
      <c r="G10" s="21">
        <f>F10-'Supporting Schedules'!F15</f>
        <v>-4214285.7142857146</v>
      </c>
      <c r="H10" s="21">
        <f>G10-'Supporting Schedules'!G15</f>
        <v>-5452380.9523809524</v>
      </c>
      <c r="I10" s="21">
        <f>H10-'Supporting Schedules'!H15</f>
        <v>-6190476.1904761903</v>
      </c>
    </row>
    <row r="11" spans="2:9" x14ac:dyDescent="0.25">
      <c r="B11" s="14" t="s">
        <v>45</v>
      </c>
      <c r="D11" s="18">
        <f>SUM(D9:D10)</f>
        <v>2000000</v>
      </c>
      <c r="E11" s="18">
        <f t="shared" ref="E11:G11" si="2">SUM(E9:E10)</f>
        <v>4261904.7619047621</v>
      </c>
      <c r="F11" s="18">
        <f t="shared" si="2"/>
        <v>3023809.5238095238</v>
      </c>
      <c r="G11" s="18">
        <f t="shared" si="2"/>
        <v>1785714.2857142854</v>
      </c>
      <c r="H11" s="18">
        <f>SUM(H9:H10)</f>
        <v>1797619.0476190476</v>
      </c>
      <c r="I11" s="18">
        <f>SUM(I9:I10)</f>
        <v>1059523.8095238097</v>
      </c>
    </row>
    <row r="12" spans="2:9" x14ac:dyDescent="0.25">
      <c r="B12" s="15" t="s">
        <v>46</v>
      </c>
      <c r="C12" s="15"/>
      <c r="D12" s="22">
        <f>D11</f>
        <v>2000000</v>
      </c>
      <c r="E12" s="22">
        <f t="shared" ref="E12:I12" si="3">E11</f>
        <v>4261904.7619047621</v>
      </c>
      <c r="F12" s="22">
        <f t="shared" si="3"/>
        <v>3023809.5238095238</v>
      </c>
      <c r="G12" s="22">
        <f t="shared" si="3"/>
        <v>1785714.2857142854</v>
      </c>
      <c r="H12" s="22">
        <f t="shared" si="3"/>
        <v>1797619.0476190476</v>
      </c>
      <c r="I12" s="22">
        <f t="shared" si="3"/>
        <v>1059523.8095238097</v>
      </c>
    </row>
    <row r="13" spans="2:9" ht="15.75" thickBot="1" x14ac:dyDescent="0.3">
      <c r="B13" s="16" t="s">
        <v>47</v>
      </c>
      <c r="C13" s="16"/>
      <c r="D13" s="23">
        <f>D7+D12</f>
        <v>3287500</v>
      </c>
      <c r="E13" s="23">
        <f t="shared" ref="E13:I13" si="4">E7+E12</f>
        <v>3360236.7534301858</v>
      </c>
      <c r="F13" s="23">
        <f t="shared" si="4"/>
        <v>3529987.7017756253</v>
      </c>
      <c r="G13" s="23">
        <f t="shared" si="4"/>
        <v>4981544.9001210658</v>
      </c>
      <c r="H13" s="23">
        <f t="shared" si="4"/>
        <v>5519304.5349071836</v>
      </c>
      <c r="I13" s="23">
        <f t="shared" si="4"/>
        <v>6595786.733252624</v>
      </c>
    </row>
    <row r="14" spans="2:9" x14ac:dyDescent="0.25">
      <c r="D14" s="20"/>
      <c r="E14" s="21"/>
      <c r="F14" s="21"/>
      <c r="G14" s="21"/>
      <c r="H14" s="21"/>
      <c r="I14" s="21"/>
    </row>
    <row r="15" spans="2:9" x14ac:dyDescent="0.25">
      <c r="B15" s="13" t="s">
        <v>48</v>
      </c>
      <c r="D15" s="20"/>
      <c r="E15" s="21"/>
      <c r="F15" s="21"/>
      <c r="G15" s="21"/>
      <c r="H15" s="21"/>
      <c r="I15" s="21"/>
    </row>
    <row r="16" spans="2:9" x14ac:dyDescent="0.25">
      <c r="B16" s="14" t="s">
        <v>49</v>
      </c>
      <c r="D16" s="20">
        <v>50000</v>
      </c>
      <c r="E16" s="21">
        <f>Assumptions!D24*Assumptions!D26</f>
        <v>110169.49152542373</v>
      </c>
      <c r="F16" s="21">
        <f>Assumptions!E24*Assumptions!E26</f>
        <v>123940.67796610169</v>
      </c>
      <c r="G16" s="21">
        <f>Assumptions!F24*Assumptions!F26</f>
        <v>137711.86440677967</v>
      </c>
      <c r="H16" s="21">
        <f>Assumptions!G24*Assumptions!G26</f>
        <v>165254.2372881356</v>
      </c>
      <c r="I16" s="21">
        <f>Assumptions!H24*Assumptions!H26</f>
        <v>179025.42372881356</v>
      </c>
    </row>
    <row r="17" spans="2:9" x14ac:dyDescent="0.25">
      <c r="B17" s="14" t="s">
        <v>50</v>
      </c>
      <c r="D17" s="20">
        <v>25000</v>
      </c>
      <c r="E17" s="21">
        <f>Assumptions!D23*Assumptions!D27</f>
        <v>47500</v>
      </c>
      <c r="F17" s="21">
        <f>Assumptions!E23*Assumptions!E27</f>
        <v>53437.5</v>
      </c>
      <c r="G17" s="21">
        <f>Assumptions!F23*Assumptions!F27</f>
        <v>59375</v>
      </c>
      <c r="H17" s="21">
        <f>Assumptions!G23*Assumptions!G27</f>
        <v>71250</v>
      </c>
      <c r="I17" s="21">
        <f>Assumptions!H23*Assumptions!H27</f>
        <v>77187.5</v>
      </c>
    </row>
    <row r="18" spans="2:9" x14ac:dyDescent="0.25">
      <c r="B18" s="15" t="s">
        <v>51</v>
      </c>
      <c r="C18" s="15"/>
      <c r="D18" s="22">
        <f>SUM(D16:D17)</f>
        <v>75000</v>
      </c>
      <c r="E18" s="22">
        <f t="shared" ref="E18:I18" si="5">SUM(E16:E17)</f>
        <v>157669.49152542371</v>
      </c>
      <c r="F18" s="22">
        <f t="shared" si="5"/>
        <v>177378.17796610168</v>
      </c>
      <c r="G18" s="22">
        <f t="shared" si="5"/>
        <v>197086.86440677967</v>
      </c>
      <c r="H18" s="22">
        <f t="shared" si="5"/>
        <v>236504.2372881356</v>
      </c>
      <c r="I18" s="22">
        <f t="shared" si="5"/>
        <v>256212.92372881356</v>
      </c>
    </row>
    <row r="19" spans="2:9" x14ac:dyDescent="0.25">
      <c r="B19" s="13" t="s">
        <v>52</v>
      </c>
      <c r="D19" s="20"/>
      <c r="E19" s="21"/>
      <c r="F19" s="21"/>
      <c r="G19" s="21"/>
      <c r="H19" s="21"/>
      <c r="I19" s="21"/>
    </row>
    <row r="20" spans="2:9" x14ac:dyDescent="0.25">
      <c r="B20" s="14" t="s">
        <v>53</v>
      </c>
      <c r="D20" s="20">
        <v>2500000</v>
      </c>
      <c r="E20" s="21">
        <f>'Supporting Schedules'!D21</f>
        <v>2375000</v>
      </c>
      <c r="F20" s="21">
        <f>'Supporting Schedules'!E21</f>
        <v>2250000</v>
      </c>
      <c r="G20" s="21">
        <f>'Supporting Schedules'!F21</f>
        <v>3312500</v>
      </c>
      <c r="H20" s="21">
        <f>'Supporting Schedules'!G21</f>
        <v>3125000</v>
      </c>
      <c r="I20" s="21">
        <f>'Supporting Schedules'!H21</f>
        <v>2937500</v>
      </c>
    </row>
    <row r="21" spans="2:9" x14ac:dyDescent="0.25">
      <c r="B21" s="15" t="s">
        <v>54</v>
      </c>
      <c r="C21" s="15"/>
      <c r="D21" s="22">
        <f>D20</f>
        <v>2500000</v>
      </c>
      <c r="E21" s="22">
        <f t="shared" ref="E21:I21" si="6">E20</f>
        <v>2375000</v>
      </c>
      <c r="F21" s="22">
        <f t="shared" si="6"/>
        <v>2250000</v>
      </c>
      <c r="G21" s="22">
        <f t="shared" si="6"/>
        <v>3312500</v>
      </c>
      <c r="H21" s="22">
        <f t="shared" si="6"/>
        <v>3125000</v>
      </c>
      <c r="I21" s="22">
        <f t="shared" si="6"/>
        <v>2937500</v>
      </c>
    </row>
    <row r="22" spans="2:9" ht="15.75" thickBot="1" x14ac:dyDescent="0.3">
      <c r="B22" s="16" t="s">
        <v>55</v>
      </c>
      <c r="C22" s="16"/>
      <c r="D22" s="23">
        <f>D18+D21</f>
        <v>2575000</v>
      </c>
      <c r="E22" s="23">
        <f t="shared" ref="E22:I22" si="7">E18+E21</f>
        <v>2532669.4915254237</v>
      </c>
      <c r="F22" s="23">
        <f t="shared" si="7"/>
        <v>2427378.1779661016</v>
      </c>
      <c r="G22" s="23">
        <f t="shared" si="7"/>
        <v>3509586.8644067799</v>
      </c>
      <c r="H22" s="23">
        <f t="shared" si="7"/>
        <v>3361504.2372881356</v>
      </c>
      <c r="I22" s="23">
        <f t="shared" si="7"/>
        <v>3193712.9237288134</v>
      </c>
    </row>
    <row r="23" spans="2:9" x14ac:dyDescent="0.25">
      <c r="B23" s="13" t="s">
        <v>56</v>
      </c>
      <c r="D23" s="20"/>
      <c r="E23" s="21"/>
      <c r="F23" s="21"/>
      <c r="G23" s="21"/>
      <c r="H23" s="21"/>
      <c r="I23" s="21"/>
    </row>
    <row r="24" spans="2:9" x14ac:dyDescent="0.25">
      <c r="B24" s="13" t="s">
        <v>57</v>
      </c>
      <c r="D24" s="20">
        <v>75000</v>
      </c>
      <c r="E24" s="21">
        <f>D24</f>
        <v>75000</v>
      </c>
      <c r="F24" s="21">
        <f t="shared" ref="F24:I24" si="8">E24</f>
        <v>75000</v>
      </c>
      <c r="G24" s="21">
        <f t="shared" si="8"/>
        <v>75000</v>
      </c>
      <c r="H24" s="21">
        <f t="shared" si="8"/>
        <v>75000</v>
      </c>
      <c r="I24" s="21">
        <f t="shared" si="8"/>
        <v>75000</v>
      </c>
    </row>
    <row r="25" spans="2:9" x14ac:dyDescent="0.25">
      <c r="B25" s="13" t="s">
        <v>58</v>
      </c>
      <c r="D25" s="20">
        <v>637500</v>
      </c>
      <c r="E25" s="21">
        <f>D25+'Income Statement'!D26</f>
        <v>752567.26190476189</v>
      </c>
      <c r="F25" s="21">
        <f>E25+'Income Statement'!E26</f>
        <v>1027609.5238095238</v>
      </c>
      <c r="G25" s="21">
        <f>F25+'Income Statement'!F26</f>
        <v>1396958.0357142857</v>
      </c>
      <c r="H25" s="21">
        <f>G25+'Income Statement'!G26</f>
        <v>2082800.2976190476</v>
      </c>
      <c r="I25" s="21">
        <f>H25+'Income Statement'!H26</f>
        <v>3327073.8095238097</v>
      </c>
    </row>
    <row r="26" spans="2:9" x14ac:dyDescent="0.25">
      <c r="B26" s="15" t="s">
        <v>59</v>
      </c>
      <c r="C26" s="15"/>
      <c r="D26" s="22">
        <f>SUM(D24:D25)</f>
        <v>712500</v>
      </c>
      <c r="E26" s="22">
        <f t="shared" ref="E26:I26" si="9">SUM(E24:E25)</f>
        <v>827567.26190476189</v>
      </c>
      <c r="F26" s="22">
        <f t="shared" si="9"/>
        <v>1102609.5238095238</v>
      </c>
      <c r="G26" s="22">
        <f t="shared" si="9"/>
        <v>1471958.0357142857</v>
      </c>
      <c r="H26" s="22">
        <f t="shared" si="9"/>
        <v>2157800.2976190476</v>
      </c>
      <c r="I26" s="22">
        <f t="shared" si="9"/>
        <v>3402073.8095238097</v>
      </c>
    </row>
    <row r="27" spans="2:9" ht="15.75" thickBot="1" x14ac:dyDescent="0.3">
      <c r="B27" s="16" t="s">
        <v>60</v>
      </c>
      <c r="C27" s="16"/>
      <c r="D27" s="23">
        <f>D22+D26</f>
        <v>3287500</v>
      </c>
      <c r="E27" s="23">
        <f t="shared" ref="E27:I27" si="10">E22+E26</f>
        <v>3360236.7534301858</v>
      </c>
      <c r="F27" s="23">
        <f t="shared" si="10"/>
        <v>3529987.7017756253</v>
      </c>
      <c r="G27" s="23">
        <f t="shared" si="10"/>
        <v>4981544.9001210658</v>
      </c>
      <c r="H27" s="23">
        <f t="shared" si="10"/>
        <v>5519304.5349071827</v>
      </c>
      <c r="I27" s="23">
        <f t="shared" si="10"/>
        <v>6595786.7332526231</v>
      </c>
    </row>
    <row r="28" spans="2:9" x14ac:dyDescent="0.25">
      <c r="D28" s="21"/>
      <c r="E28" s="21"/>
      <c r="F28" s="21"/>
      <c r="G28" s="21"/>
      <c r="H28" s="21"/>
      <c r="I28" s="21"/>
    </row>
    <row r="29" spans="2:9" x14ac:dyDescent="0.25">
      <c r="B29" s="13" t="s">
        <v>61</v>
      </c>
      <c r="D29" s="21">
        <f>D13-D27</f>
        <v>0</v>
      </c>
      <c r="E29" s="21">
        <f t="shared" ref="E29:I29" si="11">E13-E27</f>
        <v>0</v>
      </c>
      <c r="F29" s="21">
        <f t="shared" si="11"/>
        <v>0</v>
      </c>
      <c r="G29" s="21">
        <f t="shared" si="11"/>
        <v>0</v>
      </c>
      <c r="H29" s="21">
        <f t="shared" si="11"/>
        <v>0</v>
      </c>
      <c r="I29" s="21">
        <f t="shared" si="11"/>
        <v>0</v>
      </c>
    </row>
    <row r="31" spans="2:9" x14ac:dyDescent="0.25">
      <c r="B31" s="19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0C1A-F73B-4AAA-9E5A-6B516D8686C8}">
  <dimension ref="B2:H18"/>
  <sheetViews>
    <sheetView showGridLines="0" workbookViewId="0">
      <selection activeCell="D6" sqref="D6"/>
    </sheetView>
  </sheetViews>
  <sheetFormatPr defaultRowHeight="15" x14ac:dyDescent="0.25"/>
  <cols>
    <col min="1" max="1" width="9.140625" style="13"/>
    <col min="2" max="2" width="17.5703125" style="13" bestFit="1" customWidth="1"/>
    <col min="3" max="3" width="9.140625" style="13"/>
    <col min="4" max="8" width="10.7109375" style="17" customWidth="1"/>
    <col min="9" max="16384" width="9.140625" style="13"/>
  </cols>
  <sheetData>
    <row r="2" spans="2:8" ht="20.25" x14ac:dyDescent="0.25">
      <c r="B2" s="63" t="s">
        <v>0</v>
      </c>
      <c r="C2" s="31"/>
      <c r="D2" s="31"/>
      <c r="E2" s="31"/>
      <c r="F2" s="31"/>
      <c r="G2" s="31"/>
      <c r="H2" s="31"/>
    </row>
    <row r="3" spans="2:8" ht="20.25" x14ac:dyDescent="0.25">
      <c r="B3" s="62" t="s">
        <v>86</v>
      </c>
      <c r="C3" s="32"/>
      <c r="D3" s="33">
        <v>44227</v>
      </c>
      <c r="E3" s="33">
        <f>EDATE(D3,12)</f>
        <v>44592</v>
      </c>
      <c r="F3" s="33">
        <f t="shared" ref="F3:H3" si="0">EDATE(E3,12)</f>
        <v>44957</v>
      </c>
      <c r="G3" s="33">
        <f t="shared" si="0"/>
        <v>45322</v>
      </c>
      <c r="H3" s="33">
        <f t="shared" si="0"/>
        <v>45688</v>
      </c>
    </row>
    <row r="4" spans="2:8" ht="16.5" x14ac:dyDescent="0.25">
      <c r="B4" s="27" t="s">
        <v>22</v>
      </c>
      <c r="C4" s="27"/>
      <c r="D4" s="29">
        <f>'Income Statement'!D26</f>
        <v>115067.26190476188</v>
      </c>
      <c r="E4" s="29">
        <f>'Income Statement'!E26</f>
        <v>275042.26190476189</v>
      </c>
      <c r="F4" s="29">
        <f>'Income Statement'!F26</f>
        <v>369348.51190476189</v>
      </c>
      <c r="G4" s="29">
        <f>'Income Statement'!G26</f>
        <v>685842.26190476189</v>
      </c>
      <c r="H4" s="29">
        <f>'Income Statement'!H26</f>
        <v>1244273.5119047619</v>
      </c>
    </row>
    <row r="5" spans="2:8" ht="16.5" x14ac:dyDescent="0.25">
      <c r="B5" s="27" t="s">
        <v>69</v>
      </c>
      <c r="C5" s="27"/>
      <c r="D5" s="34"/>
      <c r="E5" s="34"/>
      <c r="F5" s="34"/>
      <c r="G5" s="34"/>
      <c r="H5" s="34"/>
    </row>
    <row r="6" spans="2:8" ht="16.5" x14ac:dyDescent="0.25">
      <c r="B6" s="42" t="s">
        <v>34</v>
      </c>
      <c r="C6" s="27"/>
      <c r="D6" s="29">
        <f>'Supporting Schedules'!D15</f>
        <v>1238095.2380952381</v>
      </c>
      <c r="E6" s="29">
        <f>'Supporting Schedules'!E15</f>
        <v>1238095.2380952381</v>
      </c>
      <c r="F6" s="29">
        <f>'Supporting Schedules'!F15</f>
        <v>1238095.2380952381</v>
      </c>
      <c r="G6" s="29">
        <f>'Supporting Schedules'!G15</f>
        <v>1238095.2380952381</v>
      </c>
      <c r="H6" s="29">
        <f>'Supporting Schedules'!H15</f>
        <v>738095.23809523811</v>
      </c>
    </row>
    <row r="7" spans="2:8" ht="16.5" x14ac:dyDescent="0.25">
      <c r="B7" s="42" t="s">
        <v>70</v>
      </c>
      <c r="C7" s="27"/>
      <c r="D7" s="29">
        <f>-('Balance Sheet'!E6-'Balance Sheet'!D6)</f>
        <v>-33750</v>
      </c>
      <c r="E7" s="29">
        <f>-('Balance Sheet'!F6-'Balance Sheet'!E6)</f>
        <v>-8906.25</v>
      </c>
      <c r="F7" s="29">
        <f>-('Balance Sheet'!G6-'Balance Sheet'!F6)</f>
        <v>-8906.25</v>
      </c>
      <c r="G7" s="29">
        <f>-('Balance Sheet'!H6-'Balance Sheet'!G6)</f>
        <v>-17812.5</v>
      </c>
      <c r="H7" s="29">
        <f>-('Balance Sheet'!I6-'Balance Sheet'!H6)</f>
        <v>-8906.25</v>
      </c>
    </row>
    <row r="8" spans="2:8" ht="16.5" x14ac:dyDescent="0.25">
      <c r="B8" s="42" t="s">
        <v>71</v>
      </c>
      <c r="C8" s="27"/>
      <c r="D8" s="29">
        <f>'Balance Sheet'!E16-'Balance Sheet'!D16</f>
        <v>60169.491525423728</v>
      </c>
      <c r="E8" s="29">
        <f>'Balance Sheet'!F16-'Balance Sheet'!E16</f>
        <v>13771.186440677964</v>
      </c>
      <c r="F8" s="29">
        <f>'Balance Sheet'!G16-'Balance Sheet'!F16</f>
        <v>13771.186440677979</v>
      </c>
      <c r="G8" s="29">
        <f>'Balance Sheet'!H16-'Balance Sheet'!G16</f>
        <v>27542.372881355928</v>
      </c>
      <c r="H8" s="29">
        <f>'Balance Sheet'!I16-'Balance Sheet'!H16</f>
        <v>13771.186440677964</v>
      </c>
    </row>
    <row r="9" spans="2:8" ht="16.5" x14ac:dyDescent="0.25">
      <c r="B9" s="42" t="s">
        <v>72</v>
      </c>
      <c r="C9" s="27"/>
      <c r="D9" s="29">
        <f>'Balance Sheet'!E17-'Balance Sheet'!D17</f>
        <v>22500</v>
      </c>
      <c r="E9" s="29">
        <f>'Balance Sheet'!F17-'Balance Sheet'!E17</f>
        <v>5937.5</v>
      </c>
      <c r="F9" s="29">
        <f>'Balance Sheet'!G17-'Balance Sheet'!F17</f>
        <v>5937.5</v>
      </c>
      <c r="G9" s="29">
        <f>'Balance Sheet'!H17-'Balance Sheet'!G17</f>
        <v>11875</v>
      </c>
      <c r="H9" s="29">
        <f>'Balance Sheet'!I17-'Balance Sheet'!H17</f>
        <v>5937.5</v>
      </c>
    </row>
    <row r="10" spans="2:8" ht="16.5" x14ac:dyDescent="0.25">
      <c r="B10" s="43" t="s">
        <v>73</v>
      </c>
      <c r="C10" s="43"/>
      <c r="D10" s="44">
        <f>SUM(D6:D9)</f>
        <v>1287014.7296206618</v>
      </c>
      <c r="E10" s="44">
        <f t="shared" ref="E10:H10" si="1">SUM(E6:E9)</f>
        <v>1248897.6745359162</v>
      </c>
      <c r="F10" s="44">
        <f t="shared" si="1"/>
        <v>1248897.6745359162</v>
      </c>
      <c r="G10" s="44">
        <f t="shared" si="1"/>
        <v>1259700.110976594</v>
      </c>
      <c r="H10" s="44">
        <f t="shared" si="1"/>
        <v>748897.67453591607</v>
      </c>
    </row>
    <row r="11" spans="2:8" ht="16.5" x14ac:dyDescent="0.25">
      <c r="B11" s="27" t="s">
        <v>74</v>
      </c>
      <c r="C11" s="27"/>
      <c r="D11" s="34"/>
      <c r="E11" s="34"/>
      <c r="F11" s="34"/>
      <c r="G11" s="34"/>
      <c r="H11" s="34"/>
    </row>
    <row r="12" spans="2:8" ht="16.5" x14ac:dyDescent="0.25">
      <c r="B12" s="42" t="s">
        <v>29</v>
      </c>
      <c r="C12" s="27"/>
      <c r="D12" s="29">
        <f>-'Supporting Schedules'!D8</f>
        <v>-3500000</v>
      </c>
      <c r="E12" s="45">
        <f>-'Supporting Schedules'!E8</f>
        <v>0</v>
      </c>
      <c r="F12" s="45">
        <f>-'Supporting Schedules'!F8</f>
        <v>0</v>
      </c>
      <c r="G12" s="45">
        <f>-'Supporting Schedules'!G8</f>
        <v>-1250000</v>
      </c>
      <c r="H12" s="45">
        <f>-'Supporting Schedules'!H8</f>
        <v>0</v>
      </c>
    </row>
    <row r="13" spans="2:8" ht="16.5" x14ac:dyDescent="0.25">
      <c r="B13" s="43" t="s">
        <v>75</v>
      </c>
      <c r="C13" s="43"/>
      <c r="D13" s="44">
        <f>SUM(D12)</f>
        <v>-3500000</v>
      </c>
      <c r="E13" s="46">
        <f t="shared" ref="E13:H13" si="2">SUM(E12)</f>
        <v>0</v>
      </c>
      <c r="F13" s="46">
        <f t="shared" si="2"/>
        <v>0</v>
      </c>
      <c r="G13" s="46">
        <f t="shared" si="2"/>
        <v>-1250000</v>
      </c>
      <c r="H13" s="46">
        <f t="shared" si="2"/>
        <v>0</v>
      </c>
    </row>
    <row r="14" spans="2:8" ht="16.5" x14ac:dyDescent="0.25">
      <c r="B14" s="27" t="s">
        <v>76</v>
      </c>
      <c r="C14" s="27"/>
      <c r="D14" s="34"/>
      <c r="E14" s="34"/>
      <c r="F14" s="34"/>
      <c r="G14" s="34"/>
      <c r="H14" s="34"/>
    </row>
    <row r="15" spans="2:8" ht="16.5" x14ac:dyDescent="0.25">
      <c r="B15" s="42" t="s">
        <v>64</v>
      </c>
      <c r="C15" s="27"/>
      <c r="D15" s="29">
        <f>'Supporting Schedules'!D20</f>
        <v>-125000</v>
      </c>
      <c r="E15" s="29">
        <f>'Supporting Schedules'!E20</f>
        <v>-125000</v>
      </c>
      <c r="F15" s="29">
        <f>'Supporting Schedules'!F20</f>
        <v>-187500</v>
      </c>
      <c r="G15" s="29">
        <f>'Supporting Schedules'!G20</f>
        <v>-187500</v>
      </c>
      <c r="H15" s="29">
        <f>'Supporting Schedules'!H20</f>
        <v>-187500</v>
      </c>
    </row>
    <row r="16" spans="2:8" ht="16.5" x14ac:dyDescent="0.25">
      <c r="B16" s="42" t="s">
        <v>77</v>
      </c>
      <c r="C16" s="27"/>
      <c r="D16" s="45">
        <f>'Supporting Schedules'!D19</f>
        <v>0</v>
      </c>
      <c r="E16" s="45">
        <f>'Supporting Schedules'!E19</f>
        <v>0</v>
      </c>
      <c r="F16" s="45">
        <f>'Supporting Schedules'!F19</f>
        <v>1250000</v>
      </c>
      <c r="G16" s="45">
        <f>'Supporting Schedules'!G19</f>
        <v>0</v>
      </c>
      <c r="H16" s="45">
        <f>'Supporting Schedules'!H19</f>
        <v>0</v>
      </c>
    </row>
    <row r="17" spans="2:8" ht="16.5" x14ac:dyDescent="0.25">
      <c r="B17" s="47" t="s">
        <v>78</v>
      </c>
      <c r="C17" s="47"/>
      <c r="D17" s="48">
        <f>SUM(D15:D16)</f>
        <v>-125000</v>
      </c>
      <c r="E17" s="48">
        <f t="shared" ref="E17:H17" si="3">SUM(E15:E16)</f>
        <v>-125000</v>
      </c>
      <c r="F17" s="48">
        <f t="shared" si="3"/>
        <v>1062500</v>
      </c>
      <c r="G17" s="48">
        <f t="shared" si="3"/>
        <v>-187500</v>
      </c>
      <c r="H17" s="48">
        <f t="shared" si="3"/>
        <v>-187500</v>
      </c>
    </row>
    <row r="18" spans="2:8" ht="17.25" thickBot="1" x14ac:dyDescent="0.3">
      <c r="B18" s="49" t="s">
        <v>79</v>
      </c>
      <c r="C18" s="49"/>
      <c r="D18" s="50">
        <f>D4+D10+D13+D17</f>
        <v>-2222918.0084745763</v>
      </c>
      <c r="E18" s="50">
        <f t="shared" ref="E18:H18" si="4">E4+E10+E13+E17</f>
        <v>1398939.9364406781</v>
      </c>
      <c r="F18" s="50">
        <f t="shared" si="4"/>
        <v>2680746.1864406783</v>
      </c>
      <c r="G18" s="50">
        <f t="shared" si="4"/>
        <v>508042.37288135593</v>
      </c>
      <c r="H18" s="50">
        <f t="shared" si="4"/>
        <v>1805671.1864406778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F43B-8862-43B2-B662-D6B46D1B6DA3}">
  <dimension ref="B1:I23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3" sqref="D23"/>
    </sheetView>
  </sheetViews>
  <sheetFormatPr defaultRowHeight="15" x14ac:dyDescent="0.25"/>
  <cols>
    <col min="2" max="2" width="18.28515625" bestFit="1" customWidth="1"/>
    <col min="3" max="3" width="15.85546875" bestFit="1" customWidth="1"/>
    <col min="4" max="8" width="11.5703125" bestFit="1" customWidth="1"/>
  </cols>
  <sheetData>
    <row r="1" spans="2:8" ht="16.5" x14ac:dyDescent="0.3">
      <c r="B1" s="25"/>
      <c r="C1" s="25"/>
      <c r="D1" s="25"/>
      <c r="E1" s="25"/>
      <c r="F1" s="25"/>
      <c r="G1" s="25"/>
      <c r="H1" s="25"/>
    </row>
    <row r="2" spans="2:8" ht="20.25" x14ac:dyDescent="0.25">
      <c r="B2" s="30" t="s">
        <v>90</v>
      </c>
      <c r="C2" s="31"/>
      <c r="D2" s="31"/>
      <c r="E2" s="31"/>
      <c r="F2" s="31"/>
      <c r="G2" s="31"/>
      <c r="H2" s="31"/>
    </row>
    <row r="3" spans="2:8" ht="20.25" x14ac:dyDescent="0.25">
      <c r="B3" s="30"/>
      <c r="C3" s="35" t="s">
        <v>37</v>
      </c>
      <c r="D3" s="33">
        <v>44227</v>
      </c>
      <c r="E3" s="33">
        <f>EDATE(D3,12)</f>
        <v>44592</v>
      </c>
      <c r="F3" s="33">
        <f t="shared" ref="F3:H3" si="0">EDATE(E3,12)</f>
        <v>44957</v>
      </c>
      <c r="G3" s="33">
        <f t="shared" si="0"/>
        <v>45322</v>
      </c>
      <c r="H3" s="33">
        <f t="shared" si="0"/>
        <v>45688</v>
      </c>
    </row>
    <row r="4" spans="2:8" ht="16.5" x14ac:dyDescent="0.3">
      <c r="B4" s="36" t="s">
        <v>29</v>
      </c>
      <c r="C4" s="25"/>
      <c r="D4" s="25"/>
      <c r="E4" s="25"/>
      <c r="F4" s="25"/>
      <c r="G4" s="25"/>
      <c r="H4" s="25"/>
    </row>
    <row r="5" spans="2:8" ht="16.5" x14ac:dyDescent="0.3">
      <c r="B5" s="25" t="s">
        <v>30</v>
      </c>
      <c r="C5" s="37">
        <v>3</v>
      </c>
      <c r="D5" s="38">
        <v>1250000</v>
      </c>
      <c r="E5" s="38"/>
      <c r="F5" s="38"/>
      <c r="G5" s="38">
        <v>1250000</v>
      </c>
      <c r="H5" s="38"/>
    </row>
    <row r="6" spans="2:8" ht="16.5" x14ac:dyDescent="0.3">
      <c r="B6" s="25" t="s">
        <v>31</v>
      </c>
      <c r="C6" s="37">
        <v>7</v>
      </c>
      <c r="D6" s="38">
        <v>750000</v>
      </c>
      <c r="E6" s="38"/>
      <c r="F6" s="38"/>
      <c r="G6" s="38"/>
      <c r="H6" s="38"/>
    </row>
    <row r="7" spans="2:8" ht="16.5" x14ac:dyDescent="0.3">
      <c r="B7" s="25" t="s">
        <v>81</v>
      </c>
      <c r="C7" s="37">
        <v>7</v>
      </c>
      <c r="D7" s="38">
        <v>1500000</v>
      </c>
      <c r="E7" s="38"/>
      <c r="F7" s="38"/>
      <c r="G7" s="38"/>
      <c r="H7" s="38"/>
    </row>
    <row r="8" spans="2:8" s="10" customFormat="1" ht="17.25" thickBot="1" x14ac:dyDescent="0.35">
      <c r="B8" s="39" t="s">
        <v>33</v>
      </c>
      <c r="C8" s="39"/>
      <c r="D8" s="40">
        <f>SUM(D5:D7)</f>
        <v>3500000</v>
      </c>
      <c r="E8" s="40">
        <f t="shared" ref="E8:H8" si="1">SUM(E5:E7)</f>
        <v>0</v>
      </c>
      <c r="F8" s="40">
        <f t="shared" si="1"/>
        <v>0</v>
      </c>
      <c r="G8" s="40">
        <f t="shared" si="1"/>
        <v>1250000</v>
      </c>
      <c r="H8" s="40">
        <f t="shared" si="1"/>
        <v>0</v>
      </c>
    </row>
    <row r="9" spans="2:8" ht="16.5" x14ac:dyDescent="0.3">
      <c r="B9" s="25"/>
      <c r="C9" s="25"/>
      <c r="D9" s="25"/>
      <c r="E9" s="25"/>
      <c r="F9" s="25"/>
      <c r="G9" s="25"/>
      <c r="H9" s="25"/>
    </row>
    <row r="10" spans="2:8" ht="16.5" x14ac:dyDescent="0.3">
      <c r="B10" s="36" t="s">
        <v>34</v>
      </c>
      <c r="C10" s="25"/>
      <c r="D10" s="25"/>
      <c r="E10" s="25"/>
      <c r="F10" s="25"/>
      <c r="G10" s="25"/>
      <c r="H10" s="25"/>
    </row>
    <row r="11" spans="2:8" ht="16.5" x14ac:dyDescent="0.3">
      <c r="B11" s="25" t="s">
        <v>35</v>
      </c>
      <c r="C11" s="25"/>
      <c r="D11" s="38">
        <v>500000</v>
      </c>
      <c r="E11" s="38">
        <v>500000</v>
      </c>
      <c r="F11" s="38">
        <v>500000</v>
      </c>
      <c r="G11" s="38">
        <v>500000</v>
      </c>
      <c r="H11" s="38"/>
    </row>
    <row r="12" spans="2:8" ht="16.5" x14ac:dyDescent="0.3">
      <c r="B12" s="25" t="s">
        <v>30</v>
      </c>
      <c r="C12" s="25"/>
      <c r="D12" s="41">
        <f>$D5/$C5</f>
        <v>416666.66666666669</v>
      </c>
      <c r="E12" s="41">
        <f t="shared" ref="E12:F12" si="2">$D5/$C5</f>
        <v>416666.66666666669</v>
      </c>
      <c r="F12" s="41">
        <f t="shared" si="2"/>
        <v>416666.66666666669</v>
      </c>
      <c r="G12" s="41">
        <f>$G5/$C5</f>
        <v>416666.66666666669</v>
      </c>
      <c r="H12" s="41">
        <f>$G5/$C5</f>
        <v>416666.66666666669</v>
      </c>
    </row>
    <row r="13" spans="2:8" ht="16.5" x14ac:dyDescent="0.3">
      <c r="B13" s="25" t="s">
        <v>31</v>
      </c>
      <c r="C13" s="25"/>
      <c r="D13" s="41">
        <f t="shared" ref="D13:G14" si="3">$D6/$C6</f>
        <v>107142.85714285714</v>
      </c>
      <c r="E13" s="41">
        <f t="shared" si="3"/>
        <v>107142.85714285714</v>
      </c>
      <c r="F13" s="41">
        <f t="shared" si="3"/>
        <v>107142.85714285714</v>
      </c>
      <c r="G13" s="41">
        <f>$D6/$C6</f>
        <v>107142.85714285714</v>
      </c>
      <c r="H13" s="41">
        <f t="shared" ref="H13" si="4">$D6/$C6</f>
        <v>107142.85714285714</v>
      </c>
    </row>
    <row r="14" spans="2:8" ht="16.5" x14ac:dyDescent="0.3">
      <c r="B14" s="25" t="s">
        <v>32</v>
      </c>
      <c r="C14" s="25"/>
      <c r="D14" s="41">
        <f t="shared" si="3"/>
        <v>214285.71428571429</v>
      </c>
      <c r="E14" s="41">
        <f t="shared" si="3"/>
        <v>214285.71428571429</v>
      </c>
      <c r="F14" s="41">
        <f t="shared" si="3"/>
        <v>214285.71428571429</v>
      </c>
      <c r="G14" s="41">
        <f t="shared" si="3"/>
        <v>214285.71428571429</v>
      </c>
      <c r="H14" s="41">
        <f>$D7/$C7</f>
        <v>214285.71428571429</v>
      </c>
    </row>
    <row r="15" spans="2:8" s="10" customFormat="1" ht="17.25" thickBot="1" x14ac:dyDescent="0.35">
      <c r="B15" s="39" t="s">
        <v>36</v>
      </c>
      <c r="C15" s="39"/>
      <c r="D15" s="40">
        <f>SUM(D11:D14)</f>
        <v>1238095.2380952381</v>
      </c>
      <c r="E15" s="40">
        <f t="shared" ref="E15:H15" si="5">SUM(E11:E14)</f>
        <v>1238095.2380952381</v>
      </c>
      <c r="F15" s="40">
        <f t="shared" si="5"/>
        <v>1238095.2380952381</v>
      </c>
      <c r="G15" s="40">
        <f t="shared" si="5"/>
        <v>1238095.2380952381</v>
      </c>
      <c r="H15" s="40">
        <f t="shared" si="5"/>
        <v>738095.23809523811</v>
      </c>
    </row>
    <row r="17" spans="2:9" ht="16.5" x14ac:dyDescent="0.3">
      <c r="B17" s="36" t="s">
        <v>63</v>
      </c>
    </row>
    <row r="18" spans="2:9" ht="16.5" x14ac:dyDescent="0.3">
      <c r="B18" s="25" t="s">
        <v>87</v>
      </c>
      <c r="C18" s="25"/>
      <c r="D18" s="41">
        <f>'Balance Sheet'!D20</f>
        <v>2500000</v>
      </c>
      <c r="E18" s="41">
        <f>D21</f>
        <v>2375000</v>
      </c>
      <c r="F18" s="41">
        <f>E21</f>
        <v>2250000</v>
      </c>
      <c r="G18" s="41">
        <f>F21</f>
        <v>3312500</v>
      </c>
      <c r="H18" s="41">
        <f t="shared" ref="H18" si="6">G21</f>
        <v>3125000</v>
      </c>
      <c r="I18" s="13"/>
    </row>
    <row r="19" spans="2:9" ht="16.5" x14ac:dyDescent="0.3">
      <c r="B19" s="25" t="s">
        <v>88</v>
      </c>
      <c r="C19" s="25"/>
      <c r="D19" s="41">
        <v>0</v>
      </c>
      <c r="E19" s="41">
        <v>0</v>
      </c>
      <c r="F19" s="41">
        <f>5000*250</f>
        <v>1250000</v>
      </c>
      <c r="G19" s="41">
        <v>0</v>
      </c>
      <c r="H19" s="41">
        <v>0</v>
      </c>
    </row>
    <row r="20" spans="2:9" ht="16.5" x14ac:dyDescent="0.3">
      <c r="B20" s="13" t="s">
        <v>64</v>
      </c>
      <c r="C20" s="13"/>
      <c r="D20" s="38">
        <v>-125000</v>
      </c>
      <c r="E20" s="38">
        <v>-125000</v>
      </c>
      <c r="F20" s="38">
        <v>-187500</v>
      </c>
      <c r="G20" s="38">
        <v>-187500</v>
      </c>
      <c r="H20" s="38">
        <v>-187500</v>
      </c>
    </row>
    <row r="21" spans="2:9" ht="17.25" thickBot="1" x14ac:dyDescent="0.35">
      <c r="B21" s="39" t="s">
        <v>89</v>
      </c>
      <c r="C21" s="39"/>
      <c r="D21" s="40">
        <f>D18+D19+D20</f>
        <v>2375000</v>
      </c>
      <c r="E21" s="40">
        <f t="shared" ref="E21:H21" si="7">E18+E19+E20</f>
        <v>2250000</v>
      </c>
      <c r="F21" s="40">
        <f t="shared" si="7"/>
        <v>3312500</v>
      </c>
      <c r="G21" s="40">
        <f t="shared" si="7"/>
        <v>3125000</v>
      </c>
      <c r="H21" s="40">
        <f t="shared" si="7"/>
        <v>2937500</v>
      </c>
    </row>
    <row r="22" spans="2:9" x14ac:dyDescent="0.25">
      <c r="B22" s="13"/>
      <c r="C22" s="13"/>
      <c r="D22" s="13"/>
      <c r="E22" s="13"/>
      <c r="F22" s="13"/>
      <c r="G22" s="13"/>
      <c r="H22" s="13"/>
    </row>
    <row r="23" spans="2:9" ht="16.5" x14ac:dyDescent="0.3">
      <c r="B23" s="65" t="s">
        <v>65</v>
      </c>
      <c r="C23" s="65"/>
      <c r="D23" s="66">
        <f>Assumptions!D18*D21</f>
        <v>166250.00000000003</v>
      </c>
      <c r="E23" s="66">
        <f>Assumptions!E18*E21</f>
        <v>157500.00000000003</v>
      </c>
      <c r="F23" s="66">
        <f>Assumptions!F18*F21</f>
        <v>231875.00000000003</v>
      </c>
      <c r="G23" s="66">
        <f>Assumptions!G18*G21</f>
        <v>218750.00000000003</v>
      </c>
      <c r="H23" s="66">
        <f>Assumptions!H18*H21</f>
        <v>205625.00000000003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Assumptions</vt:lpstr>
      <vt:lpstr>Income Statement</vt:lpstr>
      <vt:lpstr>Balance Sheet</vt:lpstr>
      <vt:lpstr>Statement of Cashflow</vt:lpstr>
      <vt:lpstr>Supporting 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SHITTU</dc:creator>
  <cp:lastModifiedBy>HP</cp:lastModifiedBy>
  <dcterms:created xsi:type="dcterms:W3CDTF">2022-04-15T08:22:55Z</dcterms:created>
  <dcterms:modified xsi:type="dcterms:W3CDTF">2022-04-19T13:17:49Z</dcterms:modified>
</cp:coreProperties>
</file>