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4570982-C513-48F2-AB5F-AECF8D96B388}" xr6:coauthVersionLast="47" xr6:coauthVersionMax="47" xr10:uidLastSave="{00000000-0000-0000-0000-000000000000}"/>
  <bookViews>
    <workbookView xWindow="2625" yWindow="405" windowWidth="15375" windowHeight="10275" tabRatio="853" xr2:uid="{E12D8C85-5C19-4D33-A9EF-8D73978F085F}"/>
  </bookViews>
  <sheets>
    <sheet name="Cover" sheetId="9" r:id="rId1"/>
    <sheet name="Research" sheetId="1" state="hidden" r:id="rId2"/>
    <sheet name="Income Statement" sheetId="2" r:id="rId3"/>
    <sheet name="Balance Sheet" sheetId="4" r:id="rId4"/>
    <sheet name="Cashflow Statement" sheetId="5" r:id="rId5"/>
    <sheet name="Financial Statements Analysis" sheetId="7" r:id="rId6"/>
    <sheet name="Income Scenario Forecast" sheetId="8" r:id="rId7"/>
    <sheet name="Chart1" sheetId="10" r:id="rId8"/>
  </sheets>
  <externalReferences>
    <externalReference r:id="rId9"/>
  </externalReferences>
  <definedNames>
    <definedName name="_TOC_250002" localSheetId="1">Research!#REF!</definedName>
    <definedName name="_TOC_250004" localSheetId="1">Research!$A$1</definedName>
    <definedName name="Balance_Sheet">'Balance Sheet'!$B$1</definedName>
    <definedName name="CashFlow_Statement">'Cashflow Statement'!$B$1</definedName>
    <definedName name="COGS">[1]Data!$F$2:$F$13</definedName>
    <definedName name="cost_of_sales">'Income Statement'!$E$16:$H$16</definedName>
    <definedName name="Cover_Page">Cover!$B$3</definedName>
    <definedName name="Depreciation_Amortisation">'Income Statement'!$E$29:$H$29</definedName>
    <definedName name="Financial_Analysis">'Financial Statements Analysis'!$B$1</definedName>
    <definedName name="Financial_year">'Income Statement'!$E$3:$H$3</definedName>
    <definedName name="Gross_Margin">'Financial Statements Analysis'!$D$6:$G$6</definedName>
    <definedName name="grossmargin">[1]Data!$K$2:$K$13</definedName>
    <definedName name="Income_Statement">'Income Statement'!$B$1</definedName>
    <definedName name="Notional_reversal_difference_payment_to_CBN">Research!$C$23</definedName>
    <definedName name="oper_margin">[1]Data!$L$2:$L$13</definedName>
    <definedName name="Operating_Margin">'Financial Statements Analysis'!$D$7:$G$7</definedName>
    <definedName name="OtherOpItems">[1]Data!$H$2:$H$13</definedName>
    <definedName name="Sales_Growth">'Financial Statements Analysis'!$D$5:$G$5</definedName>
    <definedName name="Scenario_Forecast">'Income Scenario Forecast'!$A$1</definedName>
    <definedName name="SG_A">'Income Statement'!$E$23:$H$23</definedName>
    <definedName name="SGAs">[1]Data!$G$2:$G$13</definedName>
    <definedName name="tickersymbol">[1]Data!$B$2:$B$13</definedName>
    <definedName name="total_rev">'Income Statement'!$E$8:$H$8</definedName>
    <definedName name="total_revenue">[1]Data!$E$2:$E$13</definedName>
    <definedName name="years">[1]Data!$C$2:$C$13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4" l="1"/>
  <c r="G31" i="4"/>
  <c r="H31" i="4"/>
  <c r="E31" i="4"/>
  <c r="F8" i="2" l="1"/>
  <c r="F17" i="2" s="1"/>
  <c r="G8" i="2"/>
  <c r="G17" i="2" s="1"/>
  <c r="H8" i="2"/>
  <c r="H17" i="2" s="1"/>
  <c r="E8" i="2"/>
  <c r="F16" i="2"/>
  <c r="H16" i="2"/>
  <c r="E16" i="2"/>
  <c r="G16" i="2"/>
  <c r="E23" i="2"/>
  <c r="F23" i="2"/>
  <c r="G23" i="2"/>
  <c r="H23" i="2"/>
  <c r="F29" i="2"/>
  <c r="G29" i="2"/>
  <c r="H29" i="2"/>
  <c r="E29" i="2"/>
  <c r="F34" i="2"/>
  <c r="G34" i="2"/>
  <c r="H34" i="2"/>
  <c r="E34" i="2"/>
  <c r="F24" i="2" l="1"/>
  <c r="H24" i="2"/>
  <c r="H30" i="2" s="1"/>
  <c r="H35" i="2" s="1"/>
  <c r="H37" i="2" s="1"/>
  <c r="G24" i="2"/>
  <c r="E17" i="2"/>
  <c r="E24" i="2" s="1"/>
  <c r="E30" i="2" s="1"/>
  <c r="E35" i="2" s="1"/>
  <c r="E37" i="2" s="1"/>
  <c r="F30" i="2"/>
  <c r="F35" i="2" s="1"/>
  <c r="F37" i="2" s="1"/>
  <c r="G30" i="2"/>
  <c r="G35" i="2" s="1"/>
  <c r="G37" i="2" s="1"/>
  <c r="L19" i="8"/>
  <c r="K19" i="8"/>
  <c r="J19" i="8"/>
  <c r="I19" i="8"/>
  <c r="L18" i="8"/>
  <c r="K18" i="8"/>
  <c r="J18" i="8"/>
  <c r="I18" i="8"/>
  <c r="L17" i="8"/>
  <c r="K17" i="8"/>
  <c r="I17" i="8"/>
  <c r="J17" i="8"/>
  <c r="J24" i="8"/>
  <c r="K24" i="8" s="1"/>
  <c r="L24" i="8" s="1"/>
  <c r="F4" i="8"/>
  <c r="G4" i="8" s="1"/>
  <c r="H4" i="8" l="1"/>
  <c r="E3" i="7"/>
  <c r="F3" i="7" s="1"/>
  <c r="G3" i="7" s="1"/>
  <c r="I4" i="8" l="1"/>
  <c r="J4" i="8" s="1"/>
  <c r="K4" i="8" s="1"/>
  <c r="L4" i="8" s="1"/>
  <c r="E27" i="5" l="1"/>
  <c r="G27" i="5"/>
  <c r="F27" i="5"/>
  <c r="H27" i="5"/>
  <c r="E20" i="5" l="1"/>
  <c r="E11" i="5"/>
  <c r="F20" i="5"/>
  <c r="H20" i="5"/>
  <c r="G20" i="5"/>
  <c r="G11" i="5"/>
  <c r="F11" i="5"/>
  <c r="H11" i="5"/>
  <c r="E29" i="5" l="1"/>
  <c r="E32" i="5" s="1"/>
  <c r="G29" i="5"/>
  <c r="G32" i="5" s="1"/>
  <c r="H29" i="5"/>
  <c r="H32" i="5" s="1"/>
  <c r="F29" i="5"/>
  <c r="F32" i="5" s="1"/>
  <c r="F3" i="5"/>
  <c r="G3" i="5" s="1"/>
  <c r="H3" i="5" s="1"/>
  <c r="B26" i="4" l="1"/>
  <c r="E38" i="4" l="1"/>
  <c r="H38" i="4"/>
  <c r="F38" i="4"/>
  <c r="G38" i="4"/>
  <c r="B21" i="4"/>
  <c r="B22" i="4"/>
  <c r="B23" i="4"/>
  <c r="B20" i="4"/>
  <c r="F3" i="4"/>
  <c r="G3" i="4" s="1"/>
  <c r="H3" i="4" s="1"/>
  <c r="E11" i="4" l="1"/>
  <c r="G25" i="4"/>
  <c r="G32" i="4" s="1"/>
  <c r="E25" i="4"/>
  <c r="E32" i="4" s="1"/>
  <c r="H25" i="4"/>
  <c r="H32" i="4" s="1"/>
  <c r="F25" i="4"/>
  <c r="F32" i="4" s="1"/>
  <c r="F11" i="4"/>
  <c r="H17" i="4"/>
  <c r="G11" i="7" s="1"/>
  <c r="G17" i="4"/>
  <c r="F11" i="7" s="1"/>
  <c r="F17" i="4"/>
  <c r="E11" i="7" s="1"/>
  <c r="E17" i="4"/>
  <c r="D11" i="7" s="1"/>
  <c r="G11" i="4"/>
  <c r="H11" i="4"/>
  <c r="F39" i="4" l="1"/>
  <c r="E17" i="7"/>
  <c r="H39" i="4"/>
  <c r="G17" i="7"/>
  <c r="E39" i="4"/>
  <c r="D17" i="7"/>
  <c r="G39" i="4"/>
  <c r="F17" i="7"/>
  <c r="G18" i="4"/>
  <c r="H18" i="4"/>
  <c r="E18" i="4"/>
  <c r="F18" i="4"/>
  <c r="F41" i="4" l="1"/>
  <c r="H41" i="4"/>
  <c r="E41" i="4"/>
  <c r="G41" i="4"/>
  <c r="E9" i="8" l="1" a="1"/>
  <c r="E9" i="8" s="1"/>
  <c r="E10" i="8" a="1"/>
  <c r="E10" i="8" s="1"/>
  <c r="F3" i="2"/>
  <c r="E11" i="8" l="1"/>
  <c r="F14" i="7"/>
  <c r="F12" i="7"/>
  <c r="F13" i="7"/>
  <c r="G14" i="7"/>
  <c r="G12" i="7"/>
  <c r="G13" i="7"/>
  <c r="E6" i="7"/>
  <c r="F18" i="8" s="1" a="1"/>
  <c r="F18" i="8" s="1"/>
  <c r="E14" i="7"/>
  <c r="E12" i="7"/>
  <c r="E13" i="7"/>
  <c r="G3" i="2"/>
  <c r="H3" i="2" s="1"/>
  <c r="G9" i="8" a="1"/>
  <c r="G9" i="8" s="1"/>
  <c r="F10" i="8" a="1"/>
  <c r="F10" i="8" s="1"/>
  <c r="G7" i="8" a="1"/>
  <c r="G7" i="8" s="1"/>
  <c r="F9" i="8" a="1"/>
  <c r="F9" i="8" s="1"/>
  <c r="F6" i="8" a="1"/>
  <c r="F6" i="8" s="1"/>
  <c r="F7" i="8" a="1"/>
  <c r="F7" i="8" s="1"/>
  <c r="E16" i="7"/>
  <c r="E10" i="7"/>
  <c r="F6" i="7"/>
  <c r="H6" i="8" l="1" a="1"/>
  <c r="H6" i="8" s="1"/>
  <c r="H7" i="8" a="1"/>
  <c r="H7" i="8" s="1"/>
  <c r="G6" i="8" a="1"/>
  <c r="G6" i="8" s="1"/>
  <c r="G8" i="8" s="1"/>
  <c r="F11" i="8"/>
  <c r="H10" i="8" a="1"/>
  <c r="H10" i="8" s="1"/>
  <c r="G16" i="7"/>
  <c r="G10" i="7"/>
  <c r="F16" i="7"/>
  <c r="F10" i="7"/>
  <c r="E7" i="8" a="1"/>
  <c r="E7" i="8" s="1"/>
  <c r="D6" i="7"/>
  <c r="E18" i="8" s="1" a="1"/>
  <c r="E18" i="8" s="1"/>
  <c r="D14" i="7"/>
  <c r="D12" i="7"/>
  <c r="D13" i="7"/>
  <c r="F8" i="8"/>
  <c r="G18" i="8" a="1"/>
  <c r="G18" i="8" s="1"/>
  <c r="E5" i="7"/>
  <c r="F17" i="8" s="1" a="1"/>
  <c r="F17" i="8" s="1"/>
  <c r="E6" i="8" a="1"/>
  <c r="E6" i="8" s="1"/>
  <c r="D16" i="7"/>
  <c r="D10" i="7"/>
  <c r="G6" i="7"/>
  <c r="H18" i="8" s="1" a="1"/>
  <c r="H18" i="8" s="1"/>
  <c r="G10" i="8" a="1"/>
  <c r="G10" i="8" s="1"/>
  <c r="G11" i="8" s="1"/>
  <c r="H9" i="8" a="1"/>
  <c r="H9" i="8" s="1"/>
  <c r="I6" i="8"/>
  <c r="G5" i="7"/>
  <c r="H17" i="8" s="1" a="1"/>
  <c r="H17" i="8" s="1"/>
  <c r="F5" i="7"/>
  <c r="G17" i="8" s="1" a="1"/>
  <c r="G17" i="8" s="1"/>
  <c r="F12" i="8" l="1"/>
  <c r="H11" i="8"/>
  <c r="H12" i="8" s="1"/>
  <c r="H8" i="8"/>
  <c r="G12" i="8"/>
  <c r="F21" i="7"/>
  <c r="F7" i="7"/>
  <c r="G19" i="8" s="1" a="1"/>
  <c r="G19" i="8" s="1"/>
  <c r="E8" i="8"/>
  <c r="E12" i="8" s="1"/>
  <c r="I12" i="8"/>
  <c r="I8" i="8"/>
  <c r="J6" i="8"/>
  <c r="E21" i="7"/>
  <c r="E7" i="7"/>
  <c r="F19" i="8" s="1" a="1"/>
  <c r="F19" i="8" s="1"/>
  <c r="G22" i="7" l="1"/>
  <c r="G8" i="7"/>
  <c r="G18" i="7"/>
  <c r="J12" i="8"/>
  <c r="J8" i="8"/>
  <c r="K6" i="8"/>
  <c r="E8" i="7"/>
  <c r="E22" i="7"/>
  <c r="E18" i="7"/>
  <c r="D7" i="7"/>
  <c r="E19" i="8" s="1" a="1"/>
  <c r="E19" i="8" s="1"/>
  <c r="D21" i="7"/>
  <c r="G21" i="7"/>
  <c r="G7" i="7"/>
  <c r="H19" i="8" s="1" a="1"/>
  <c r="H19" i="8" s="1"/>
  <c r="F8" i="7" l="1"/>
  <c r="F22" i="7"/>
  <c r="F18" i="7"/>
  <c r="K12" i="8"/>
  <c r="L6" i="8"/>
  <c r="K8" i="8"/>
  <c r="D8" i="7"/>
  <c r="D22" i="7"/>
  <c r="D18" i="7"/>
  <c r="L8" i="8" l="1"/>
  <c r="L12" i="8"/>
</calcChain>
</file>

<file path=xl/sharedStrings.xml><?xml version="1.0" encoding="utf-8"?>
<sst xmlns="http://schemas.openxmlformats.org/spreadsheetml/2006/main" count="296" uniqueCount="181">
  <si>
    <t>Statement of profit or loss</t>
  </si>
  <si>
    <t>Group</t>
  </si>
  <si>
    <t>Company</t>
  </si>
  <si>
    <t>Note(s)</t>
  </si>
  <si>
    <t>N '000</t>
  </si>
  <si>
    <t>Revenue</t>
  </si>
  <si>
    <t>Other income</t>
  </si>
  <si>
    <t>Direct network operating costs</t>
  </si>
  <si>
    <t>Value added services</t>
  </si>
  <si>
    <t>Interconnect costs</t>
  </si>
  <si>
    <t>Roaming costs</t>
  </si>
  <si>
    <t>Transmission costs</t>
  </si>
  <si>
    <t>Advertisements, sponsorships and sales promotions</t>
  </si>
  <si>
    <t>Employee costs</t>
  </si>
  <si>
    <t>Depreciation of property, plant and equipment</t>
  </si>
  <si>
    <t>Amortisation of intangible assets</t>
  </si>
  <si>
    <t>Depreciation of right of use assets</t>
  </si>
  <si>
    <t>-</t>
  </si>
  <si>
    <t>Notional reversal difference payment to CBN</t>
  </si>
  <si>
    <t>Other operating expenses</t>
  </si>
  <si>
    <t>Operating profit</t>
  </si>
  <si>
    <t>Finance income</t>
  </si>
  <si>
    <t>Finance costs</t>
  </si>
  <si>
    <t>Profit before taxation</t>
  </si>
  <si>
    <t>Taxation</t>
  </si>
  <si>
    <t>Profit for the year</t>
  </si>
  <si>
    <t>N million</t>
  </si>
  <si>
    <t>Costs of starter packs, handsets and accessories</t>
  </si>
  <si>
    <t>Discount and commissions</t>
  </si>
  <si>
    <t>Depreciation of property and equipment</t>
  </si>
  <si>
    <t>N' million</t>
  </si>
  <si>
    <t>restated* N 'million</t>
  </si>
  <si>
    <t>Gross Profit</t>
  </si>
  <si>
    <t>EBITDA</t>
  </si>
  <si>
    <t>Operating profit/EBIT</t>
  </si>
  <si>
    <t>Net Icome</t>
  </si>
  <si>
    <t>Balance Sheet</t>
  </si>
  <si>
    <t>Earnings per share  basic/diluted (N)</t>
  </si>
  <si>
    <t>Assets</t>
  </si>
  <si>
    <t>Non-current assets</t>
  </si>
  <si>
    <t>Right of use assets</t>
  </si>
  <si>
    <t>Intangible assets</t>
  </si>
  <si>
    <t>Investments in subsidiaries</t>
  </si>
  <si>
    <t>Contract acquisition costs</t>
  </si>
  <si>
    <t>Prepayments</t>
  </si>
  <si>
    <t>Current assets</t>
  </si>
  <si>
    <t>Inventories</t>
  </si>
  <si>
    <t>Trade and other receivables</t>
  </si>
  <si>
    <t>Current investments</t>
  </si>
  <si>
    <t>Restricted cash</t>
  </si>
  <si>
    <t>Cash and cash equivalents</t>
  </si>
  <si>
    <t>Total assets</t>
  </si>
  <si>
    <t>Equity and liabilities</t>
  </si>
  <si>
    <t>Share capital</t>
  </si>
  <si>
    <t>Share premium</t>
  </si>
  <si>
    <t>Other reserves</t>
  </si>
  <si>
    <t>Retained profit</t>
  </si>
  <si>
    <t>Liabilities</t>
  </si>
  <si>
    <t>Borrowings</t>
  </si>
  <si>
    <t>Derivatives</t>
  </si>
  <si>
    <t>Lease liabilities</t>
  </si>
  <si>
    <t>Deferred tax</t>
  </si>
  <si>
    <t>Provisions</t>
  </si>
  <si>
    <t>Share based payment liability</t>
  </si>
  <si>
    <t>Current liabilities</t>
  </si>
  <si>
    <t>Trade and other payables</t>
  </si>
  <si>
    <t>Contract liabilities</t>
  </si>
  <si>
    <t>Current tax payable</t>
  </si>
  <si>
    <t>Regulatory fine liability</t>
  </si>
  <si>
    <t>Total liabilities</t>
  </si>
  <si>
    <t>Total equity and liabilities</t>
  </si>
  <si>
    <t>Consolidated and separate statement of financial position as at 31 December 2021</t>
  </si>
  <si>
    <t>Property and equipment</t>
  </si>
  <si>
    <t>Other investments</t>
  </si>
  <si>
    <t>Employee benefits</t>
  </si>
  <si>
    <t xml:space="preserve"> Equity</t>
  </si>
  <si>
    <t>Total Assets</t>
  </si>
  <si>
    <t>Total Liabilities</t>
  </si>
  <si>
    <t>Shareholder's Equity</t>
  </si>
  <si>
    <t>Total Liabilities &amp; Shareholder's Equity</t>
  </si>
  <si>
    <t>Liabilities &amp; Equity</t>
  </si>
  <si>
    <t>Consolidated and separate statement of cash flows</t>
  </si>
  <si>
    <t>Cash flows from operating activities</t>
  </si>
  <si>
    <t>Cash generated from operations</t>
  </si>
  <si>
    <t>Dividends</t>
  </si>
  <si>
    <t>Employee benefits paid</t>
  </si>
  <si>
    <t>Share based payment</t>
  </si>
  <si>
    <t>Tax paid</t>
  </si>
  <si>
    <t>Utilised/paid provision for the year</t>
  </si>
  <si>
    <t>Net cash generated from operating activities</t>
  </si>
  <si>
    <t>Cash flows from investing activities</t>
  </si>
  <si>
    <t>Acquisition of property and equipment</t>
  </si>
  <si>
    <t>Proceeds from sale of property and equipment</t>
  </si>
  <si>
    <t>Purchase of contract acquisition costs</t>
  </si>
  <si>
    <t>Acquisition of right of use assets</t>
  </si>
  <si>
    <t>Purchase of intangible assets</t>
  </si>
  <si>
    <t>45.3.3</t>
  </si>
  <si>
    <t>Movement in restricted cash</t>
  </si>
  <si>
    <t>Purchase of bonds, treasury bills and foreign deposits</t>
  </si>
  <si>
    <t>Sale of bonds, treasury bills and foreign deposits</t>
  </si>
  <si>
    <t>Net cash flows used in investing activities</t>
  </si>
  <si>
    <t>Cash flows from financing activities</t>
  </si>
  <si>
    <t>Proceeds from borrowings</t>
  </si>
  <si>
    <t>Repayment of borrowings</t>
  </si>
  <si>
    <t>Repayment of lease liabilities</t>
  </si>
  <si>
    <t>Additional investment in subsidiary</t>
  </si>
  <si>
    <t>Net cash flows (used in)/ generated from financing activities</t>
  </si>
  <si>
    <t>Net (decrease)/ increase in cash and cash equivalents</t>
  </si>
  <si>
    <t>Cash and cash equivalents at beginning of the year</t>
  </si>
  <si>
    <t>Exchange gain on cash and cash equivalents</t>
  </si>
  <si>
    <t>Cash and cash equivalents at the end of the year</t>
  </si>
  <si>
    <t>Regulatory fine paid</t>
  </si>
  <si>
    <t>Movement in investment in subsidiaries</t>
  </si>
  <si>
    <t>Redemption of preference shares</t>
  </si>
  <si>
    <t>Noncurrent assets</t>
  </si>
  <si>
    <t>Noncurrent liabilities</t>
  </si>
  <si>
    <t>Purchase of noncurrent FGN bonds</t>
  </si>
  <si>
    <t>Sale of noncurrent FGN bonds</t>
  </si>
  <si>
    <t>Operating Cash Flow</t>
  </si>
  <si>
    <t>Investing Cash Flow</t>
  </si>
  <si>
    <t>Cash from Investing</t>
  </si>
  <si>
    <t>Financing Cash Flow</t>
  </si>
  <si>
    <t>Cash from Financing</t>
  </si>
  <si>
    <t>Closing Cash Balance</t>
  </si>
  <si>
    <t>Check</t>
  </si>
  <si>
    <t>Total Revenue</t>
  </si>
  <si>
    <t>COGS</t>
  </si>
  <si>
    <t>SG&amp;A</t>
  </si>
  <si>
    <t>Depreciation &amp; Amortisation</t>
  </si>
  <si>
    <t>Profit before Tax/EBT</t>
  </si>
  <si>
    <t>INCOME STATEMENT</t>
  </si>
  <si>
    <t>Interest</t>
  </si>
  <si>
    <t>Net Cash from Operations</t>
  </si>
  <si>
    <t>Sales Growth</t>
  </si>
  <si>
    <t>Fixed Asset Turnover Ratio</t>
  </si>
  <si>
    <t>Net Profit Margin</t>
  </si>
  <si>
    <t>Other expenses</t>
  </si>
  <si>
    <t>Working Capital Ratio</t>
  </si>
  <si>
    <t>Other non-current asset</t>
  </si>
  <si>
    <t>Other current assets</t>
  </si>
  <si>
    <t>Inventory Turnover Days</t>
  </si>
  <si>
    <t>Receaivable Collection Days</t>
  </si>
  <si>
    <t>Payable Payment Days</t>
  </si>
  <si>
    <t>Income Statement</t>
  </si>
  <si>
    <t>Cash Flow</t>
  </si>
  <si>
    <t>Other non-current liabilities</t>
  </si>
  <si>
    <t>Other current Liabilitie</t>
  </si>
  <si>
    <t>Cash Flow Margin Ratio</t>
  </si>
  <si>
    <t>Operating Cash Flow Ratio</t>
  </si>
  <si>
    <t>Cash Flow to Net Income</t>
  </si>
  <si>
    <t>Investments Returns</t>
  </si>
  <si>
    <t>Return on Capital Employed</t>
  </si>
  <si>
    <t>Return on Equity</t>
  </si>
  <si>
    <t>Operating Margin</t>
  </si>
  <si>
    <t>Gross Margin</t>
  </si>
  <si>
    <t xml:space="preserve"> Sales, General and Admin. </t>
  </si>
  <si>
    <t>Total operating expenses</t>
  </si>
  <si>
    <t>Operating income/ EBIT</t>
  </si>
  <si>
    <t>Operating statistics</t>
  </si>
  <si>
    <t>Historical</t>
  </si>
  <si>
    <t>Assumptions</t>
  </si>
  <si>
    <t>Revenue growth (%)</t>
  </si>
  <si>
    <t>Gross margin</t>
  </si>
  <si>
    <t>Operating margin</t>
  </si>
  <si>
    <t>Scenario</t>
  </si>
  <si>
    <t>Base case</t>
  </si>
  <si>
    <t>Operating Scenarios - sensitivity analysis</t>
  </si>
  <si>
    <t>Strong case</t>
  </si>
  <si>
    <t>Weak case</t>
  </si>
  <si>
    <t>Table of Contents</t>
  </si>
  <si>
    <t>Cashflow Statement</t>
  </si>
  <si>
    <t>Index</t>
  </si>
  <si>
    <t>Statement of Cash Flow</t>
  </si>
  <si>
    <t>Financial Analysis</t>
  </si>
  <si>
    <t>Income Statement Scenario Forecast</t>
  </si>
  <si>
    <t>Inputs:</t>
  </si>
  <si>
    <t>Outputs:</t>
  </si>
  <si>
    <t>The_Analyst_Shittu</t>
  </si>
  <si>
    <t>Other Operating Activities</t>
  </si>
  <si>
    <t>Other Investing activities</t>
  </si>
  <si>
    <t>MTN Nigeria Financial Statements Model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</si>
</sst>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&quot;A&quot;"/>
    <numFmt numFmtId="165" formatCode="0&quot;E&quot;"/>
    <numFmt numFmtId="166" formatCode="_-* #,##0_-;\(#,##0\)_-;_-* &quot;-&quot;_-;_-@_-"/>
    <numFmt numFmtId="167" formatCode="0.0"/>
    <numFmt numFmtId="168" formatCode="0.0%"/>
    <numFmt numFmtId="169" formatCode="0.0&quot;x&quot;"/>
    <numFmt numFmtId="170" formatCode="_(&quot;$&quot;* #,##0_);_(&quot;$&quot;* \(#,##0\);_(&quot;$&quot;* &quot;-&quot;??_);_(@_)"/>
    <numFmt numFmtId="171" formatCode="_(* #,##0_);_(* \(#,##0\);_(* &quot;-&quot;??_);_(@_)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sz val="15.5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Times New Roman"/>
      <family val="1"/>
    </font>
    <font>
      <sz val="10.5"/>
      <color theme="1"/>
      <name val="Arial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i/>
      <sz val="12"/>
      <color theme="1"/>
      <name val="Arial Narrow"/>
      <family val="2"/>
    </font>
    <font>
      <sz val="12"/>
      <color rgb="FF0000FF"/>
      <name val="Arial Narrow"/>
      <family val="2"/>
    </font>
    <font>
      <sz val="7"/>
      <color theme="1"/>
      <name val="Times New Roman"/>
      <family val="1"/>
    </font>
    <font>
      <sz val="12"/>
      <color theme="1"/>
      <name val="Arial"/>
      <family val="2"/>
    </font>
    <font>
      <b/>
      <sz val="8"/>
      <color theme="1"/>
      <name val="Arial"/>
      <family val="2"/>
    </font>
    <font>
      <sz val="7.5"/>
      <color theme="1"/>
      <name val="Arial"/>
      <family val="2"/>
    </font>
    <font>
      <b/>
      <sz val="12"/>
      <name val="Arial Narrow"/>
      <family val="2"/>
    </font>
    <font>
      <b/>
      <sz val="12"/>
      <color rgb="FF0000FF"/>
      <name val="Arial Narrow"/>
      <family val="2"/>
    </font>
    <font>
      <b/>
      <i/>
      <sz val="12"/>
      <color theme="1"/>
      <name val="Arial Narrow"/>
      <family val="2"/>
    </font>
    <font>
      <sz val="12"/>
      <name val="Arial Narrow"/>
      <family val="2"/>
    </font>
    <font>
      <sz val="4"/>
      <color theme="1"/>
      <name val="Arial"/>
      <family val="2"/>
    </font>
    <font>
      <sz val="10"/>
      <color theme="1"/>
      <name val="Arial"/>
      <family val="2"/>
    </font>
    <font>
      <sz val="12.5"/>
      <color theme="1"/>
      <name val="Arial"/>
      <family val="2"/>
    </font>
    <font>
      <sz val="9"/>
      <color theme="1"/>
      <name val="Times New Roman"/>
      <family val="1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0"/>
      <name val="Tahoma"/>
      <family val="2"/>
    </font>
    <font>
      <b/>
      <sz val="14"/>
      <color theme="0"/>
      <name val="Tahoma"/>
      <family val="2"/>
    </font>
    <font>
      <sz val="11"/>
      <color theme="1"/>
      <name val="Tahoma"/>
      <family val="2"/>
    </font>
    <font>
      <i/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4"/>
      <color theme="3" tint="-0.499984740745262"/>
      <name val="Tahoma"/>
      <family val="2"/>
    </font>
    <font>
      <sz val="12"/>
      <color theme="3" tint="-0.499984740745262"/>
      <name val="Arial Narrow"/>
      <family val="2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22"/>
      <color theme="1"/>
      <name val="Arial Narrow"/>
      <family val="2"/>
    </font>
    <font>
      <b/>
      <sz val="11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u/>
      <sz val="11"/>
      <color theme="10"/>
      <name val="Arial Narrow"/>
      <family val="2"/>
    </font>
    <font>
      <b/>
      <sz val="11"/>
      <name val="Arial Narrow"/>
      <family val="2"/>
    </font>
    <font>
      <sz val="10"/>
      <color theme="4" tint="-0.499984740745262"/>
      <name val="Tahoma"/>
      <family val="2"/>
    </font>
    <font>
      <sz val="12"/>
      <color theme="4" tint="-0.499984740745262"/>
      <name val="Arial Narrow"/>
      <family val="2"/>
    </font>
    <font>
      <sz val="11"/>
      <color theme="4" tint="-0.499984740745262"/>
      <name val="Arial Narrow"/>
      <family val="2"/>
    </font>
    <font>
      <sz val="11"/>
      <color theme="4" tint="-0.499984740745262"/>
      <name val="Calibri"/>
      <family val="2"/>
      <scheme val="minor"/>
    </font>
    <font>
      <b/>
      <u/>
      <sz val="16"/>
      <color theme="1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42" fillId="0" borderId="0" applyNumberFormat="0" applyFill="0" applyBorder="0" applyAlignment="0" applyProtection="0"/>
  </cellStyleXfs>
  <cellXfs count="236">
    <xf numFmtId="0" fontId="0" fillId="0" borderId="0" xfId="0"/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3" fontId="3" fillId="0" borderId="0" xfId="0" applyNumberFormat="1" applyFont="1" applyAlignment="1">
      <alignment horizontal="right" vertical="center" wrapText="1"/>
    </xf>
    <xf numFmtId="3" fontId="3" fillId="0" borderId="0" xfId="0" applyNumberFormat="1" applyFont="1" applyAlignment="1">
      <alignment horizontal="left" vertical="center" wrapText="1" indent="5"/>
    </xf>
    <xf numFmtId="3" fontId="3" fillId="0" borderId="3" xfId="0" applyNumberFormat="1" applyFont="1" applyBorder="1" applyAlignment="1">
      <alignment horizontal="right" vertical="center" wrapText="1"/>
    </xf>
    <xf numFmtId="3" fontId="3" fillId="0" borderId="0" xfId="0" applyNumberFormat="1" applyFont="1" applyAlignment="1">
      <alignment horizontal="left" vertical="center" wrapText="1" indent="1"/>
    </xf>
    <xf numFmtId="3" fontId="3" fillId="0" borderId="2" xfId="0" applyNumberFormat="1" applyFont="1" applyBorder="1" applyAlignment="1">
      <alignment horizontal="right" vertical="center" wrapText="1"/>
    </xf>
    <xf numFmtId="3" fontId="3" fillId="0" borderId="2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5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6" fillId="0" borderId="0" xfId="0" applyFont="1" applyAlignment="1">
      <alignment horizontal="righ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left" vertical="center" wrapText="1" indent="4"/>
    </xf>
    <xf numFmtId="3" fontId="6" fillId="0" borderId="0" xfId="0" applyNumberFormat="1" applyFont="1" applyAlignment="1">
      <alignment horizontal="right" vertical="center" wrapText="1"/>
    </xf>
    <xf numFmtId="3" fontId="6" fillId="0" borderId="0" xfId="0" applyNumberFormat="1" applyFont="1" applyAlignment="1">
      <alignment horizontal="left" vertical="center" wrapText="1" indent="2"/>
    </xf>
    <xf numFmtId="3" fontId="6" fillId="0" borderId="0" xfId="0" applyNumberFormat="1" applyFont="1" applyAlignment="1">
      <alignment horizontal="left" vertical="center" wrapText="1" indent="5"/>
    </xf>
    <xf numFmtId="3" fontId="6" fillId="0" borderId="0" xfId="0" applyNumberFormat="1" applyFont="1" applyAlignment="1">
      <alignment horizontal="left" vertical="center" wrapText="1" indent="3"/>
    </xf>
    <xf numFmtId="3" fontId="6" fillId="0" borderId="0" xfId="0" applyNumberFormat="1" applyFont="1" applyAlignment="1">
      <alignment horizontal="left" vertical="center" wrapText="1" indent="6"/>
    </xf>
    <xf numFmtId="3" fontId="6" fillId="0" borderId="3" xfId="0" applyNumberFormat="1" applyFont="1" applyBorder="1" applyAlignment="1">
      <alignment horizontal="left" vertical="center" wrapText="1" indent="5"/>
    </xf>
    <xf numFmtId="3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left" vertical="center" wrapText="1" indent="3"/>
    </xf>
    <xf numFmtId="3" fontId="6" fillId="0" borderId="3" xfId="0" applyNumberFormat="1" applyFont="1" applyBorder="1" applyAlignment="1">
      <alignment horizontal="left" vertical="center" wrapText="1" indent="2"/>
    </xf>
    <xf numFmtId="3" fontId="6" fillId="0" borderId="2" xfId="0" applyNumberFormat="1" applyFont="1" applyBorder="1" applyAlignment="1">
      <alignment horizontal="left" vertical="center" wrapText="1" indent="5"/>
    </xf>
    <xf numFmtId="3" fontId="6" fillId="0" borderId="2" xfId="0" applyNumberFormat="1" applyFont="1" applyBorder="1" applyAlignment="1">
      <alignment horizontal="right" vertical="center" wrapText="1"/>
    </xf>
    <xf numFmtId="3" fontId="6" fillId="0" borderId="2" xfId="0" applyNumberFormat="1" applyFont="1" applyBorder="1" applyAlignment="1">
      <alignment horizontal="left" vertical="center" wrapText="1" indent="3"/>
    </xf>
    <xf numFmtId="0" fontId="6" fillId="0" borderId="2" xfId="0" applyFont="1" applyBorder="1" applyAlignment="1">
      <alignment horizontal="left" vertical="center" wrapText="1" indent="6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166" fontId="9" fillId="0" borderId="0" xfId="1" applyNumberFormat="1" applyFont="1"/>
    <xf numFmtId="166" fontId="10" fillId="0" borderId="0" xfId="1" applyNumberFormat="1" applyFont="1"/>
    <xf numFmtId="166" fontId="10" fillId="0" borderId="0" xfId="1" applyNumberFormat="1" applyFont="1" applyBorder="1"/>
    <xf numFmtId="166" fontId="10" fillId="0" borderId="0" xfId="1" applyNumberFormat="1" applyFont="1" applyBorder="1" applyAlignment="1">
      <alignment horizontal="center"/>
    </xf>
    <xf numFmtId="166" fontId="11" fillId="0" borderId="0" xfId="1" applyNumberFormat="1" applyFont="1" applyBorder="1"/>
    <xf numFmtId="166" fontId="10" fillId="0" borderId="0" xfId="1" applyNumberFormat="1" applyFont="1" applyAlignment="1">
      <alignment horizontal="center"/>
    </xf>
    <xf numFmtId="9" fontId="0" fillId="0" borderId="0" xfId="2" applyFont="1"/>
    <xf numFmtId="0" fontId="7" fillId="0" borderId="4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left" vertical="center" wrapText="1" indent="1"/>
    </xf>
    <xf numFmtId="3" fontId="6" fillId="0" borderId="2" xfId="0" applyNumberFormat="1" applyFont="1" applyBorder="1" applyAlignment="1">
      <alignment horizontal="left" vertical="center" wrapText="1" indent="1"/>
    </xf>
    <xf numFmtId="3" fontId="6" fillId="0" borderId="3" xfId="0" applyNumberFormat="1" applyFont="1" applyBorder="1" applyAlignment="1">
      <alignment horizontal="left" vertical="center" wrapText="1" indent="4"/>
    </xf>
    <xf numFmtId="0" fontId="13" fillId="0" borderId="0" xfId="0" applyFont="1" applyAlignment="1">
      <alignment vertical="center" wrapText="1"/>
    </xf>
    <xf numFmtId="0" fontId="6" fillId="0" borderId="3" xfId="0" applyFont="1" applyBorder="1" applyAlignment="1">
      <alignment horizontal="right" vertical="center" wrapText="1"/>
    </xf>
    <xf numFmtId="0" fontId="7" fillId="0" borderId="4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3" fontId="6" fillId="0" borderId="3" xfId="0" applyNumberFormat="1" applyFont="1" applyBorder="1" applyAlignment="1">
      <alignment horizontal="left" vertical="center" wrapText="1" indent="6"/>
    </xf>
    <xf numFmtId="3" fontId="6" fillId="0" borderId="2" xfId="0" applyNumberFormat="1" applyFont="1" applyBorder="1" applyAlignment="1">
      <alignment horizontal="left" vertical="center" wrapText="1" indent="4"/>
    </xf>
    <xf numFmtId="0" fontId="6" fillId="0" borderId="0" xfId="0" applyFont="1" applyAlignment="1">
      <alignment horizontal="left" vertical="center" wrapText="1" indent="7"/>
    </xf>
    <xf numFmtId="0" fontId="6" fillId="0" borderId="0" xfId="0" applyFont="1" applyAlignment="1">
      <alignment horizontal="left" vertical="center" wrapText="1" indent="5"/>
    </xf>
    <xf numFmtId="0" fontId="6" fillId="0" borderId="0" xfId="0" applyFont="1" applyAlignment="1">
      <alignment horizontal="left" vertical="center" wrapText="1" indent="8"/>
    </xf>
    <xf numFmtId="0" fontId="6" fillId="0" borderId="0" xfId="0" applyFont="1" applyAlignment="1">
      <alignment horizontal="left" vertical="center" wrapText="1" indent="6"/>
    </xf>
    <xf numFmtId="0" fontId="6" fillId="0" borderId="3" xfId="0" applyFont="1" applyBorder="1" applyAlignment="1">
      <alignment horizontal="left" vertical="center" wrapText="1" indent="7"/>
    </xf>
    <xf numFmtId="0" fontId="6" fillId="0" borderId="3" xfId="0" applyFont="1" applyBorder="1" applyAlignment="1">
      <alignment horizontal="left" vertical="center" wrapText="1" indent="5"/>
    </xf>
    <xf numFmtId="0" fontId="6" fillId="0" borderId="4" xfId="0" applyFont="1" applyBorder="1" applyAlignment="1">
      <alignment horizontal="left" vertical="center" indent="8"/>
    </xf>
    <xf numFmtId="0" fontId="6" fillId="0" borderId="4" xfId="0" applyFont="1" applyBorder="1" applyAlignment="1">
      <alignment horizontal="left" vertical="center" indent="5"/>
    </xf>
    <xf numFmtId="3" fontId="6" fillId="0" borderId="0" xfId="0" applyNumberFormat="1" applyFont="1" applyBorder="1" applyAlignment="1">
      <alignment horizontal="right" vertical="center" wrapText="1"/>
    </xf>
    <xf numFmtId="3" fontId="6" fillId="0" borderId="0" xfId="0" applyNumberFormat="1" applyFont="1" applyAlignment="1">
      <alignment horizontal="right" vertical="center"/>
    </xf>
    <xf numFmtId="3" fontId="6" fillId="0" borderId="3" xfId="0" applyNumberFormat="1" applyFont="1" applyBorder="1" applyAlignment="1">
      <alignment horizontal="right" vertical="center"/>
    </xf>
    <xf numFmtId="0" fontId="15" fillId="0" borderId="0" xfId="0" applyFont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3" fontId="6" fillId="0" borderId="4" xfId="0" applyNumberFormat="1" applyFont="1" applyBorder="1" applyAlignment="1">
      <alignment horizontal="right" vertical="center" wrapText="1"/>
    </xf>
    <xf numFmtId="166" fontId="9" fillId="0" borderId="0" xfId="1" applyNumberFormat="1" applyFont="1" applyBorder="1"/>
    <xf numFmtId="166" fontId="9" fillId="0" borderId="7" xfId="1" applyNumberFormat="1" applyFont="1" applyBorder="1"/>
    <xf numFmtId="166" fontId="12" fillId="0" borderId="0" xfId="1" applyNumberFormat="1" applyFont="1"/>
    <xf numFmtId="166" fontId="17" fillId="0" borderId="6" xfId="1" applyNumberFormat="1" applyFont="1" applyBorder="1"/>
    <xf numFmtId="166" fontId="18" fillId="0" borderId="0" xfId="1" applyNumberFormat="1" applyFont="1" applyBorder="1"/>
    <xf numFmtId="166" fontId="17" fillId="0" borderId="7" xfId="1" applyNumberFormat="1" applyFont="1" applyBorder="1"/>
    <xf numFmtId="166" fontId="19" fillId="0" borderId="0" xfId="1" applyNumberFormat="1" applyFont="1"/>
    <xf numFmtId="3" fontId="0" fillId="0" borderId="0" xfId="0" applyNumberFormat="1"/>
    <xf numFmtId="166" fontId="17" fillId="0" borderId="0" xfId="1" applyNumberFormat="1" applyFont="1" applyBorder="1"/>
    <xf numFmtId="3" fontId="0" fillId="0" borderId="8" xfId="0" applyNumberFormat="1" applyBorder="1"/>
    <xf numFmtId="3" fontId="0" fillId="0" borderId="0" xfId="0" applyNumberFormat="1" applyBorder="1"/>
    <xf numFmtId="166" fontId="19" fillId="0" borderId="0" xfId="1" applyNumberFormat="1" applyFont="1" applyBorder="1"/>
    <xf numFmtId="166" fontId="20" fillId="0" borderId="8" xfId="1" applyNumberFormat="1" applyFont="1" applyBorder="1"/>
    <xf numFmtId="0" fontId="14" fillId="0" borderId="0" xfId="0" applyFont="1" applyAlignment="1">
      <alignment horizontal="left" vertical="center" indent="1"/>
    </xf>
    <xf numFmtId="0" fontId="21" fillId="0" borderId="0" xfId="0" applyFont="1" applyAlignment="1">
      <alignment vertical="center"/>
    </xf>
    <xf numFmtId="0" fontId="6" fillId="0" borderId="2" xfId="0" applyFont="1" applyBorder="1" applyAlignment="1">
      <alignment vertical="center" wrapText="1"/>
    </xf>
    <xf numFmtId="3" fontId="6" fillId="0" borderId="2" xfId="0" applyNumberFormat="1" applyFont="1" applyBorder="1" applyAlignment="1">
      <alignment horizontal="left" vertical="center" wrapText="1" indent="2"/>
    </xf>
    <xf numFmtId="0" fontId="22" fillId="0" borderId="0" xfId="0" applyFont="1" applyAlignment="1">
      <alignment vertical="center" wrapText="1"/>
    </xf>
    <xf numFmtId="3" fontId="6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 indent="2"/>
    </xf>
    <xf numFmtId="0" fontId="2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horizontal="right" vertical="center"/>
    </xf>
    <xf numFmtId="0" fontId="24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3" fontId="3" fillId="0" borderId="3" xfId="0" applyNumberFormat="1" applyFont="1" applyBorder="1" applyAlignment="1">
      <alignment horizontal="right" vertical="center"/>
    </xf>
    <xf numFmtId="3" fontId="3" fillId="0" borderId="2" xfId="0" applyNumberFormat="1" applyFont="1" applyBorder="1" applyAlignment="1">
      <alignment vertical="center"/>
    </xf>
    <xf numFmtId="3" fontId="3" fillId="0" borderId="2" xfId="0" applyNumberFormat="1" applyFont="1" applyBorder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23" fillId="0" borderId="0" xfId="0" applyFont="1" applyAlignment="1">
      <alignment vertical="center"/>
    </xf>
    <xf numFmtId="0" fontId="0" fillId="0" borderId="0" xfId="0" applyAlignment="1"/>
    <xf numFmtId="3" fontId="3" fillId="0" borderId="0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3" fontId="3" fillId="0" borderId="0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0" fontId="23" fillId="0" borderId="0" xfId="0" applyFont="1" applyAlignment="1">
      <alignment horizontal="right" vertical="center"/>
    </xf>
    <xf numFmtId="3" fontId="6" fillId="0" borderId="0" xfId="0" applyNumberFormat="1" applyFont="1" applyAlignment="1">
      <alignment vertical="center" wrapText="1"/>
    </xf>
    <xf numFmtId="3" fontId="6" fillId="0" borderId="3" xfId="0" applyNumberFormat="1" applyFont="1" applyBorder="1" applyAlignment="1">
      <alignment vertical="center" wrapText="1"/>
    </xf>
    <xf numFmtId="3" fontId="6" fillId="0" borderId="2" xfId="0" applyNumberFormat="1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0" borderId="0" xfId="0" applyAlignment="1">
      <alignment horizontal="right"/>
    </xf>
    <xf numFmtId="0" fontId="6" fillId="0" borderId="4" xfId="0" applyFont="1" applyBorder="1" applyAlignment="1">
      <alignment vertical="center"/>
    </xf>
    <xf numFmtId="166" fontId="10" fillId="0" borderId="7" xfId="1" applyNumberFormat="1" applyFont="1" applyBorder="1"/>
    <xf numFmtId="166" fontId="10" fillId="0" borderId="7" xfId="1" applyNumberFormat="1" applyFont="1" applyBorder="1" applyAlignment="1">
      <alignment horizontal="center"/>
    </xf>
    <xf numFmtId="166" fontId="12" fillId="0" borderId="0" xfId="1" applyNumberFormat="1" applyFont="1" applyBorder="1"/>
    <xf numFmtId="0" fontId="25" fillId="0" borderId="0" xfId="0" applyFont="1" applyAlignment="1">
      <alignment horizontal="left" indent="3"/>
    </xf>
    <xf numFmtId="164" fontId="28" fillId="2" borderId="0" xfId="0" applyNumberFormat="1" applyFont="1" applyFill="1" applyAlignment="1">
      <alignment vertical="center"/>
    </xf>
    <xf numFmtId="165" fontId="28" fillId="2" borderId="0" xfId="0" applyNumberFormat="1" applyFont="1" applyFill="1" applyAlignment="1">
      <alignment vertical="center"/>
    </xf>
    <xf numFmtId="165" fontId="29" fillId="0" borderId="0" xfId="0" applyNumberFormat="1" applyFont="1" applyAlignment="1">
      <alignment vertical="center"/>
    </xf>
    <xf numFmtId="0" fontId="29" fillId="0" borderId="0" xfId="0" applyFont="1" applyAlignment="1">
      <alignment vertical="center"/>
    </xf>
    <xf numFmtId="0" fontId="31" fillId="0" borderId="0" xfId="0" applyFont="1" applyAlignment="1">
      <alignment horizontal="left"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37" fontId="29" fillId="0" borderId="0" xfId="0" applyNumberFormat="1" applyFont="1" applyAlignment="1">
      <alignment vertical="center"/>
    </xf>
    <xf numFmtId="0" fontId="27" fillId="0" borderId="0" xfId="0" applyFont="1" applyFill="1" applyAlignment="1">
      <alignment vertical="center"/>
    </xf>
    <xf numFmtId="166" fontId="33" fillId="0" borderId="0" xfId="1" applyNumberFormat="1" applyFont="1" applyBorder="1"/>
    <xf numFmtId="37" fontId="25" fillId="0" borderId="0" xfId="0" applyNumberFormat="1" applyFont="1" applyAlignment="1">
      <alignment horizontal="right" vertical="center" wrapText="1"/>
    </xf>
    <xf numFmtId="37" fontId="26" fillId="0" borderId="0" xfId="0" applyNumberFormat="1" applyFont="1" applyAlignment="1">
      <alignment horizontal="right" vertical="center"/>
    </xf>
    <xf numFmtId="0" fontId="25" fillId="0" borderId="0" xfId="0" applyFont="1" applyAlignment="1">
      <alignment horizontal="right" vertical="center"/>
    </xf>
    <xf numFmtId="37" fontId="25" fillId="0" borderId="8" xfId="0" applyNumberFormat="1" applyFont="1" applyBorder="1" applyAlignment="1">
      <alignment horizontal="right" vertical="center"/>
    </xf>
    <xf numFmtId="37" fontId="26" fillId="0" borderId="0" xfId="0" applyNumberFormat="1" applyFont="1" applyBorder="1" applyAlignment="1">
      <alignment horizontal="right" vertical="center" wrapText="1"/>
    </xf>
    <xf numFmtId="37" fontId="25" fillId="0" borderId="8" xfId="0" applyNumberFormat="1" applyFont="1" applyBorder="1" applyAlignment="1">
      <alignment horizontal="right" vertical="center" wrapText="1"/>
    </xf>
    <xf numFmtId="37" fontId="26" fillId="0" borderId="6" xfId="0" applyNumberFormat="1" applyFont="1" applyBorder="1" applyAlignment="1">
      <alignment horizontal="right" vertical="center"/>
    </xf>
    <xf numFmtId="166" fontId="0" fillId="0" borderId="0" xfId="0" applyNumberFormat="1"/>
    <xf numFmtId="167" fontId="0" fillId="0" borderId="0" xfId="0" applyNumberFormat="1"/>
    <xf numFmtId="0" fontId="0" fillId="0" borderId="0" xfId="0" applyBorder="1"/>
    <xf numFmtId="0" fontId="0" fillId="0" borderId="0" xfId="0" applyFill="1"/>
    <xf numFmtId="164" fontId="28" fillId="0" borderId="0" xfId="0" applyNumberFormat="1" applyFont="1" applyFill="1" applyAlignment="1">
      <alignment vertical="center"/>
    </xf>
    <xf numFmtId="168" fontId="0" fillId="0" borderId="0" xfId="2" applyNumberFormat="1" applyFont="1"/>
    <xf numFmtId="0" fontId="0" fillId="0" borderId="0" xfId="0" applyAlignment="1">
      <alignment vertical="center"/>
    </xf>
    <xf numFmtId="0" fontId="3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8" fontId="0" fillId="0" borderId="0" xfId="2" applyNumberFormat="1" applyFont="1" applyAlignment="1">
      <alignment vertical="center"/>
    </xf>
    <xf numFmtId="169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34" fillId="0" borderId="0" xfId="0" applyFont="1"/>
    <xf numFmtId="170" fontId="0" fillId="0" borderId="0" xfId="3" applyNumberFormat="1" applyFont="1" applyFill="1" applyBorder="1"/>
    <xf numFmtId="0" fontId="0" fillId="0" borderId="0" xfId="0" applyAlignment="1">
      <alignment horizontal="left" indent="1"/>
    </xf>
    <xf numFmtId="170" fontId="0" fillId="3" borderId="0" xfId="3" applyNumberFormat="1" applyFont="1" applyFill="1" applyBorder="1"/>
    <xf numFmtId="44" fontId="0" fillId="0" borderId="0" xfId="3" applyFont="1"/>
    <xf numFmtId="0" fontId="37" fillId="0" borderId="0" xfId="0" applyFont="1" applyAlignment="1">
      <alignment horizontal="left" indent="1"/>
    </xf>
    <xf numFmtId="44" fontId="0" fillId="3" borderId="0" xfId="3" applyFont="1" applyFill="1" applyBorder="1"/>
    <xf numFmtId="0" fontId="34" fillId="4" borderId="9" xfId="0" applyFont="1" applyFill="1" applyBorder="1"/>
    <xf numFmtId="0" fontId="0" fillId="4" borderId="9" xfId="0" applyFill="1" applyBorder="1"/>
    <xf numFmtId="0" fontId="34" fillId="5" borderId="0" xfId="0" applyFont="1" applyFill="1"/>
    <xf numFmtId="0" fontId="0" fillId="5" borderId="0" xfId="0" applyFill="1"/>
    <xf numFmtId="0" fontId="0" fillId="0" borderId="6" xfId="0" applyBorder="1"/>
    <xf numFmtId="0" fontId="0" fillId="6" borderId="0" xfId="0" applyFill="1"/>
    <xf numFmtId="168" fontId="38" fillId="6" borderId="0" xfId="0" quotePrefix="1" applyNumberFormat="1" applyFont="1" applyFill="1"/>
    <xf numFmtId="2" fontId="35" fillId="6" borderId="0" xfId="0" applyNumberFormat="1" applyFont="1" applyFill="1"/>
    <xf numFmtId="2" fontId="38" fillId="6" borderId="0" xfId="0" quotePrefix="1" applyNumberFormat="1" applyFont="1" applyFill="1"/>
    <xf numFmtId="0" fontId="0" fillId="6" borderId="9" xfId="0" applyFill="1" applyBorder="1"/>
    <xf numFmtId="0" fontId="0" fillId="0" borderId="9" xfId="0" applyBorder="1"/>
    <xf numFmtId="2" fontId="35" fillId="6" borderId="9" xfId="0" applyNumberFormat="1" applyFont="1" applyFill="1" applyBorder="1"/>
    <xf numFmtId="2" fontId="38" fillId="6" borderId="9" xfId="0" applyNumberFormat="1" applyFont="1" applyFill="1" applyBorder="1"/>
    <xf numFmtId="0" fontId="0" fillId="7" borderId="10" xfId="0" applyFill="1" applyBorder="1"/>
    <xf numFmtId="0" fontId="34" fillId="0" borderId="11" xfId="0" applyFont="1" applyBorder="1"/>
    <xf numFmtId="0" fontId="0" fillId="0" borderId="11" xfId="0" applyBorder="1"/>
    <xf numFmtId="168" fontId="0" fillId="0" borderId="11" xfId="2" applyNumberFormat="1" applyFont="1" applyFill="1" applyBorder="1" applyAlignment="1">
      <alignment horizontal="center"/>
    </xf>
    <xf numFmtId="168" fontId="39" fillId="0" borderId="0" xfId="0" applyNumberFormat="1" applyFont="1"/>
    <xf numFmtId="168" fontId="39" fillId="0" borderId="0" xfId="2" applyNumberFormat="1" applyFont="1" applyFill="1" applyBorder="1"/>
    <xf numFmtId="168" fontId="38" fillId="0" borderId="11" xfId="2" applyNumberFormat="1" applyFont="1" applyFill="1" applyBorder="1" applyAlignment="1">
      <alignment horizontal="center"/>
    </xf>
    <xf numFmtId="168" fontId="38" fillId="0" borderId="11" xfId="0" applyNumberFormat="1" applyFont="1" applyBorder="1" applyAlignment="1">
      <alignment horizontal="center"/>
    </xf>
    <xf numFmtId="2" fontId="39" fillId="0" borderId="0" xfId="2" applyNumberFormat="1" applyFont="1" applyFill="1" applyBorder="1"/>
    <xf numFmtId="2" fontId="39" fillId="0" borderId="0" xfId="0" applyNumberFormat="1" applyFont="1"/>
    <xf numFmtId="2" fontId="0" fillId="0" borderId="0" xfId="0" applyNumberFormat="1"/>
    <xf numFmtId="168" fontId="38" fillId="0" borderId="11" xfId="0" applyNumberFormat="1" applyFont="1" applyBorder="1"/>
    <xf numFmtId="2" fontId="39" fillId="0" borderId="9" xfId="2" applyNumberFormat="1" applyFont="1" applyFill="1" applyBorder="1"/>
    <xf numFmtId="2" fontId="39" fillId="0" borderId="9" xfId="0" applyNumberFormat="1" applyFont="1" applyBorder="1"/>
    <xf numFmtId="171" fontId="35" fillId="0" borderId="0" xfId="1" applyNumberFormat="1" applyFont="1" applyBorder="1" applyAlignment="1"/>
    <xf numFmtId="171" fontId="36" fillId="0" borderId="0" xfId="1" applyNumberFormat="1" applyFont="1" applyBorder="1" applyAlignment="1"/>
    <xf numFmtId="0" fontId="32" fillId="0" borderId="0" xfId="0" applyFont="1" applyFill="1"/>
    <xf numFmtId="171" fontId="36" fillId="4" borderId="9" xfId="1" applyNumberFormat="1" applyFont="1" applyFill="1" applyBorder="1" applyAlignment="1"/>
    <xf numFmtId="43" fontId="0" fillId="0" borderId="0" xfId="1" applyFont="1" applyAlignment="1">
      <alignment vertical="center"/>
    </xf>
    <xf numFmtId="0" fontId="34" fillId="0" borderId="6" xfId="0" applyFont="1" applyBorder="1" applyAlignment="1"/>
    <xf numFmtId="1" fontId="0" fillId="0" borderId="11" xfId="0" applyNumberFormat="1" applyBorder="1" applyAlignment="1">
      <alignment horizontal="center"/>
    </xf>
    <xf numFmtId="0" fontId="36" fillId="8" borderId="0" xfId="0" applyFont="1" applyFill="1"/>
    <xf numFmtId="0" fontId="40" fillId="0" borderId="0" xfId="4" applyFont="1" applyBorder="1" applyProtection="1">
      <protection locked="0"/>
    </xf>
    <xf numFmtId="0" fontId="36" fillId="8" borderId="0" xfId="0" applyFont="1" applyFill="1" applyBorder="1"/>
    <xf numFmtId="0" fontId="41" fillId="0" borderId="12" xfId="4" applyFont="1" applyBorder="1" applyProtection="1">
      <protection locked="0"/>
    </xf>
    <xf numFmtId="0" fontId="43" fillId="8" borderId="0" xfId="0" applyFont="1" applyFill="1" applyBorder="1"/>
    <xf numFmtId="0" fontId="44" fillId="8" borderId="0" xfId="5" applyFont="1" applyFill="1" applyBorder="1"/>
    <xf numFmtId="0" fontId="44" fillId="8" borderId="0" xfId="5" applyFont="1" applyFill="1"/>
    <xf numFmtId="0" fontId="45" fillId="8" borderId="0" xfId="0" applyFont="1" applyFill="1" applyBorder="1" applyAlignment="1">
      <alignment horizontal="left"/>
    </xf>
    <xf numFmtId="0" fontId="45" fillId="8" borderId="0" xfId="0" applyFont="1" applyFill="1" applyBorder="1"/>
    <xf numFmtId="0" fontId="36" fillId="9" borderId="0" xfId="0" applyFont="1" applyFill="1"/>
    <xf numFmtId="9" fontId="35" fillId="6" borderId="0" xfId="2" applyFont="1" applyFill="1"/>
    <xf numFmtId="0" fontId="45" fillId="8" borderId="0" xfId="0" applyFont="1" applyFill="1"/>
    <xf numFmtId="37" fontId="46" fillId="0" borderId="0" xfId="0" applyNumberFormat="1" applyFont="1" applyAlignment="1">
      <alignment horizontal="right" vertical="center" wrapText="1"/>
    </xf>
    <xf numFmtId="37" fontId="46" fillId="0" borderId="0" xfId="1" applyNumberFormat="1" applyFont="1" applyAlignment="1">
      <alignment horizontal="right" vertical="center"/>
    </xf>
    <xf numFmtId="37" fontId="46" fillId="0" borderId="0" xfId="0" applyNumberFormat="1" applyFont="1" applyAlignment="1">
      <alignment horizontal="right" vertical="center"/>
    </xf>
    <xf numFmtId="37" fontId="46" fillId="0" borderId="9" xfId="0" applyNumberFormat="1" applyFont="1" applyBorder="1" applyAlignment="1">
      <alignment horizontal="right" vertical="center" wrapText="1"/>
    </xf>
    <xf numFmtId="37" fontId="46" fillId="0" borderId="9" xfId="1" applyNumberFormat="1" applyFont="1" applyBorder="1" applyAlignment="1">
      <alignment horizontal="right" vertical="center"/>
    </xf>
    <xf numFmtId="37" fontId="46" fillId="0" borderId="9" xfId="0" applyNumberFormat="1" applyFont="1" applyBorder="1" applyAlignment="1">
      <alignment horizontal="right" vertical="center"/>
    </xf>
    <xf numFmtId="37" fontId="46" fillId="0" borderId="0" xfId="0" applyNumberFormat="1" applyFont="1" applyBorder="1" applyAlignment="1">
      <alignment horizontal="right" vertical="center" wrapText="1"/>
    </xf>
    <xf numFmtId="37" fontId="46" fillId="0" borderId="0" xfId="0" applyNumberFormat="1" applyFont="1" applyBorder="1" applyAlignment="1">
      <alignment horizontal="right" vertical="center"/>
    </xf>
    <xf numFmtId="37" fontId="46" fillId="0" borderId="9" xfId="1" applyNumberFormat="1" applyFont="1" applyBorder="1" applyAlignment="1">
      <alignment horizontal="right" vertical="center" wrapText="1"/>
    </xf>
    <xf numFmtId="3" fontId="47" fillId="0" borderId="0" xfId="0" applyNumberFormat="1" applyFont="1"/>
    <xf numFmtId="3" fontId="48" fillId="0" borderId="0" xfId="0" applyNumberFormat="1" applyFont="1"/>
    <xf numFmtId="3" fontId="48" fillId="0" borderId="0" xfId="0" applyNumberFormat="1" applyFont="1" applyBorder="1"/>
    <xf numFmtId="3" fontId="48" fillId="0" borderId="9" xfId="0" applyNumberFormat="1" applyFont="1" applyBorder="1"/>
    <xf numFmtId="3" fontId="49" fillId="0" borderId="0" xfId="0" applyNumberFormat="1" applyFont="1" applyBorder="1"/>
    <xf numFmtId="166" fontId="47" fillId="0" borderId="0" xfId="1" applyNumberFormat="1" applyFont="1"/>
    <xf numFmtId="3" fontId="49" fillId="0" borderId="0" xfId="0" applyNumberFormat="1" applyFont="1"/>
    <xf numFmtId="166" fontId="47" fillId="0" borderId="0" xfId="1" applyNumberFormat="1" applyFont="1" applyBorder="1"/>
    <xf numFmtId="166" fontId="20" fillId="0" borderId="0" xfId="1" applyNumberFormat="1" applyFont="1" applyBorder="1"/>
    <xf numFmtId="0" fontId="24" fillId="0" borderId="5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24" fillId="0" borderId="5" xfId="0" applyFont="1" applyBorder="1" applyAlignment="1">
      <alignment horizontal="right" vertical="center"/>
    </xf>
    <xf numFmtId="0" fontId="24" fillId="0" borderId="0" xfId="0" applyFont="1" applyAlignment="1">
      <alignment horizontal="right" vertical="center"/>
    </xf>
    <xf numFmtId="0" fontId="7" fillId="0" borderId="5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26" fillId="0" borderId="0" xfId="0" applyFont="1" applyFill="1" applyAlignment="1">
      <alignment horizontal="center" vertical="center"/>
    </xf>
    <xf numFmtId="0" fontId="34" fillId="0" borderId="6" xfId="0" applyFont="1" applyBorder="1" applyAlignment="1">
      <alignment horizontal="center"/>
    </xf>
    <xf numFmtId="0" fontId="50" fillId="8" borderId="0" xfId="5" applyFont="1" applyFill="1"/>
  </cellXfs>
  <cellStyles count="6">
    <cellStyle name="Comma" xfId="1" builtinId="3"/>
    <cellStyle name="Currency" xfId="3" builtinId="4"/>
    <cellStyle name="Hyperlink" xfId="5" builtinId="8"/>
    <cellStyle name="Normal" xfId="0" builtinId="0"/>
    <cellStyle name="Normal 2" xfId="4" xr:uid="{FF47FAC1-251E-47F1-BACF-3713D69AB05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Growth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'Income Scenario Forecast'!$B$6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'Income Scenario Forecast'!$E$4:$L$4</c:f>
              <c:numCache>
                <c:formatCode>0"A"</c:formatCod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 formatCode="0&quot;E&quot;">
                  <c:v>2022</c:v>
                </c:pt>
                <c:pt idx="5" formatCode="0&quot;E&quot;">
                  <c:v>2023</c:v>
                </c:pt>
                <c:pt idx="6" formatCode="0&quot;E&quot;">
                  <c:v>2024</c:v>
                </c:pt>
                <c:pt idx="7" formatCode="0&quot;E&quot;">
                  <c:v>2025</c:v>
                </c:pt>
              </c:numCache>
            </c:numRef>
          </c:cat>
          <c:val>
            <c:numRef>
              <c:f>'Income Scenario Forecast'!$E$6:$L$6</c:f>
              <c:numCache>
                <c:formatCode>_(* #,##0_);_(* \(#,##0\);_(* "-"??_);_(@_)</c:formatCode>
                <c:ptCount val="8"/>
                <c:pt idx="0">
                  <c:v>1041342.876</c:v>
                </c:pt>
                <c:pt idx="1">
                  <c:v>1169831</c:v>
                </c:pt>
                <c:pt idx="2">
                  <c:v>1346494</c:v>
                </c:pt>
                <c:pt idx="3">
                  <c:v>1654299</c:v>
                </c:pt>
                <c:pt idx="4" formatCode="_(&quot;$&quot;* #,##0_);_(&quot;$&quot;* \(#,##0\);_(&quot;$&quot;* &quot;-&quot;??_);_(@_)">
                  <c:v>2051330.76</c:v>
                </c:pt>
                <c:pt idx="5" formatCode="_(&quot;$&quot;* #,##0_);_(&quot;$&quot;* \(#,##0\);_(&quot;$&quot;* &quot;-&quot;??_);_(@_)">
                  <c:v>2543650.1423999998</c:v>
                </c:pt>
                <c:pt idx="6" formatCode="_(&quot;$&quot;* #,##0_);_(&quot;$&quot;* \(#,##0\);_(&quot;$&quot;* &quot;-&quot;??_);_(@_)">
                  <c:v>3154126.1765759997</c:v>
                </c:pt>
                <c:pt idx="7" formatCode="_(&quot;$&quot;* #,##0_);_(&quot;$&quot;* \(#,##0\);_(&quot;$&quot;* &quot;-&quot;??_);_(@_)">
                  <c:v>3911116.4589542397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4A-4059-85D6-67C04793C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328406991"/>
        <c:axId val="328408655"/>
      </c:barChart>
      <c:lineChart>
        <c:grouping val="standard"/>
        <c:varyColors val="0"/>
        <c:ser>
          <c:idx val="2"/>
          <c:order val="1"/>
          <c:tx>
            <c:strRef>
              <c:f>'Income Scenario Forecast'!$B$18</c:f>
              <c:strCache>
                <c:ptCount val="1"/>
                <c:pt idx="0">
                  <c:v>Gross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'Income Scenario Forecast'!$E$4:$L$4</c:f>
              <c:numCache>
                <c:formatCode>0"A"</c:formatCode>
                <c:ptCount val="8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 formatCode="0&quot;E&quot;">
                  <c:v>2022</c:v>
                </c:pt>
                <c:pt idx="5" formatCode="0&quot;E&quot;">
                  <c:v>2023</c:v>
                </c:pt>
                <c:pt idx="6" formatCode="0&quot;E&quot;">
                  <c:v>2024</c:v>
                </c:pt>
                <c:pt idx="7" formatCode="0&quot;E&quot;">
                  <c:v>2025</c:v>
                </c:pt>
              </c:numCache>
            </c:numRef>
          </c:cat>
          <c:val>
            <c:numRef>
              <c:f>'Income Scenario Forecast'!$E$18:$L$18</c:f>
              <c:numCache>
                <c:formatCode>0.00</c:formatCode>
                <c:ptCount val="8"/>
                <c:pt idx="0">
                  <c:v>0.58355084958587644</c:v>
                </c:pt>
                <c:pt idx="1">
                  <c:v>0.66946507657943755</c:v>
                </c:pt>
                <c:pt idx="2">
                  <c:v>0.65453540825284029</c:v>
                </c:pt>
                <c:pt idx="3">
                  <c:v>0.66483447067307666</c:v>
                </c:pt>
                <c:pt idx="4">
                  <c:v>0.66</c:v>
                </c:pt>
                <c:pt idx="5">
                  <c:v>0.66</c:v>
                </c:pt>
                <c:pt idx="6">
                  <c:v>0.66</c:v>
                </c:pt>
                <c:pt idx="7">
                  <c:v>0.66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4A-4059-85D6-67C04793C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088751"/>
        <c:axId val="328405327"/>
      </c:lineChart>
      <c:catAx>
        <c:axId val="328406991"/>
        <c:scaling>
          <c:orientation val="minMax"/>
        </c:scaling>
        <c:delete val="0"/>
        <c:axPos val="b"/>
        <c:numFmt formatCode="0&quot;A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408655"/>
        <c:crosses val="autoZero"/>
        <c:auto val="1"/>
        <c:lblAlgn val="ctr"/>
        <c:lblOffset val="100"/>
        <c:noMultiLvlLbl val="0"/>
      </c:catAx>
      <c:valAx>
        <c:axId val="32840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406991"/>
        <c:crosses val="autoZero"/>
        <c:crossBetween val="between"/>
      </c:valAx>
      <c:valAx>
        <c:axId val="328405327"/>
        <c:scaling>
          <c:orientation val="minMax"/>
        </c:scaling>
        <c:delete val="0"/>
        <c:axPos val="r"/>
        <c:numFmt formatCode="0.00" sourceLinked="1"/>
        <c:majorTickMark val="none"/>
        <c:minorTickMark val="none"/>
        <c:tickLblPos val="nextTo"/>
        <c:spPr>
          <a:solidFill>
            <a:schemeClr val="bg1"/>
          </a:solidFill>
          <a:ln>
            <a:solidFill>
              <a:schemeClr val="accent1"/>
            </a:solidFill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ln w="0">
                  <a:solidFill>
                    <a:schemeClr val="bg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088751"/>
        <c:crosses val="max"/>
        <c:crossBetween val="between"/>
      </c:valAx>
      <c:catAx>
        <c:axId val="318088751"/>
        <c:scaling>
          <c:orientation val="minMax"/>
        </c:scaling>
        <c:delete val="1"/>
        <c:axPos val="b"/>
        <c:numFmt formatCode="0&quot;A&quot;" sourceLinked="1"/>
        <c:majorTickMark val="out"/>
        <c:minorTickMark val="none"/>
        <c:tickLblPos val="nextTo"/>
        <c:crossAx val="3284053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C425134-499B-4D28-A066-98D703BA3396}">
  <sheetPr/>
  <sheetViews>
    <sheetView zoomScale="67" workbookViewId="0" zoomToFit="1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133350</xdr:rowOff>
    </xdr:from>
    <xdr:to>
      <xdr:col>9</xdr:col>
      <xdr:colOff>0</xdr:colOff>
      <xdr:row>1</xdr:row>
      <xdr:rowOff>142875</xdr:rowOff>
    </xdr:to>
    <xdr:grpSp>
      <xdr:nvGrpSpPr>
        <xdr:cNvPr id="1062" name="Group 38">
          <a:extLst>
            <a:ext uri="{FF2B5EF4-FFF2-40B4-BE49-F238E27FC236}">
              <a16:creationId xmlns:a16="http://schemas.microsoft.com/office/drawing/2014/main" id="{93C8D805-B10B-443B-B5CC-508224D09356}"/>
            </a:ext>
          </a:extLst>
        </xdr:cNvPr>
        <xdr:cNvGrpSpPr>
          <a:grpSpLocks/>
        </xdr:cNvGrpSpPr>
      </xdr:nvGrpSpPr>
      <xdr:grpSpPr bwMode="auto">
        <a:xfrm>
          <a:off x="533400" y="361950"/>
          <a:ext cx="8258175" cy="9525"/>
          <a:chOff x="845" y="564"/>
          <a:chExt cx="10376" cy="20"/>
        </a:xfrm>
      </xdr:grpSpPr>
      <xdr:sp macro="" textlink="">
        <xdr:nvSpPr>
          <xdr:cNvPr id="1098" name="Line 74">
            <a:extLst>
              <a:ext uri="{FF2B5EF4-FFF2-40B4-BE49-F238E27FC236}">
                <a16:creationId xmlns:a16="http://schemas.microsoft.com/office/drawing/2014/main" id="{162509FB-0BB7-418B-8649-AB770F27D40C}"/>
              </a:ext>
            </a:extLst>
          </xdr:cNvPr>
          <xdr:cNvSpPr>
            <a:spLocks noChangeShapeType="1"/>
          </xdr:cNvSpPr>
        </xdr:nvSpPr>
        <xdr:spPr bwMode="auto">
          <a:xfrm>
            <a:off x="845" y="568"/>
            <a:ext cx="3633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7" name="Line 73">
            <a:extLst>
              <a:ext uri="{FF2B5EF4-FFF2-40B4-BE49-F238E27FC236}">
                <a16:creationId xmlns:a16="http://schemas.microsoft.com/office/drawing/2014/main" id="{805D047B-D7E2-4778-86BF-21430082F15E}"/>
              </a:ext>
            </a:extLst>
          </xdr:cNvPr>
          <xdr:cNvSpPr>
            <a:spLocks noChangeShapeType="1"/>
          </xdr:cNvSpPr>
        </xdr:nvSpPr>
        <xdr:spPr bwMode="auto">
          <a:xfrm>
            <a:off x="845" y="571"/>
            <a:ext cx="3633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6" name="Line 72">
            <a:extLst>
              <a:ext uri="{FF2B5EF4-FFF2-40B4-BE49-F238E27FC236}">
                <a16:creationId xmlns:a16="http://schemas.microsoft.com/office/drawing/2014/main" id="{E31C02BF-E609-4C1E-AD40-D5FB89F8A8F5}"/>
              </a:ext>
            </a:extLst>
          </xdr:cNvPr>
          <xdr:cNvSpPr>
            <a:spLocks noChangeShapeType="1"/>
          </xdr:cNvSpPr>
        </xdr:nvSpPr>
        <xdr:spPr bwMode="auto">
          <a:xfrm>
            <a:off x="845" y="573"/>
            <a:ext cx="3633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5" name="Line 71">
            <a:extLst>
              <a:ext uri="{FF2B5EF4-FFF2-40B4-BE49-F238E27FC236}">
                <a16:creationId xmlns:a16="http://schemas.microsoft.com/office/drawing/2014/main" id="{23F9DF66-4FBB-4F3B-80CD-5768BF841CE4}"/>
              </a:ext>
            </a:extLst>
          </xdr:cNvPr>
          <xdr:cNvSpPr>
            <a:spLocks noChangeShapeType="1"/>
          </xdr:cNvSpPr>
        </xdr:nvSpPr>
        <xdr:spPr bwMode="auto">
          <a:xfrm>
            <a:off x="845" y="575"/>
            <a:ext cx="3633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4" name="Line 70">
            <a:extLst>
              <a:ext uri="{FF2B5EF4-FFF2-40B4-BE49-F238E27FC236}">
                <a16:creationId xmlns:a16="http://schemas.microsoft.com/office/drawing/2014/main" id="{0E5C0421-8252-4FD0-9AFF-12ED5A7DFFAA}"/>
              </a:ext>
            </a:extLst>
          </xdr:cNvPr>
          <xdr:cNvSpPr>
            <a:spLocks noChangeShapeType="1"/>
          </xdr:cNvSpPr>
        </xdr:nvSpPr>
        <xdr:spPr bwMode="auto">
          <a:xfrm>
            <a:off x="845" y="578"/>
            <a:ext cx="3633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3" name="Line 69">
            <a:extLst>
              <a:ext uri="{FF2B5EF4-FFF2-40B4-BE49-F238E27FC236}">
                <a16:creationId xmlns:a16="http://schemas.microsoft.com/office/drawing/2014/main" id="{10881CDF-813C-4522-B7EC-A88BB2079597}"/>
              </a:ext>
            </a:extLst>
          </xdr:cNvPr>
          <xdr:cNvSpPr>
            <a:spLocks noChangeShapeType="1"/>
          </xdr:cNvSpPr>
        </xdr:nvSpPr>
        <xdr:spPr bwMode="auto">
          <a:xfrm>
            <a:off x="845" y="580"/>
            <a:ext cx="3633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2" name="Line 68">
            <a:extLst>
              <a:ext uri="{FF2B5EF4-FFF2-40B4-BE49-F238E27FC236}">
                <a16:creationId xmlns:a16="http://schemas.microsoft.com/office/drawing/2014/main" id="{7B09A822-DCBD-45B4-9865-E9ABE6FCFBEF}"/>
              </a:ext>
            </a:extLst>
          </xdr:cNvPr>
          <xdr:cNvSpPr>
            <a:spLocks noChangeShapeType="1"/>
          </xdr:cNvSpPr>
        </xdr:nvSpPr>
        <xdr:spPr bwMode="auto">
          <a:xfrm>
            <a:off x="4481" y="568"/>
            <a:ext cx="1070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1" name="Line 67">
            <a:extLst>
              <a:ext uri="{FF2B5EF4-FFF2-40B4-BE49-F238E27FC236}">
                <a16:creationId xmlns:a16="http://schemas.microsoft.com/office/drawing/2014/main" id="{F8452037-BB94-4B6A-ABFE-ABA38D2C3324}"/>
              </a:ext>
            </a:extLst>
          </xdr:cNvPr>
          <xdr:cNvSpPr>
            <a:spLocks noChangeShapeType="1"/>
          </xdr:cNvSpPr>
        </xdr:nvSpPr>
        <xdr:spPr bwMode="auto">
          <a:xfrm>
            <a:off x="4481" y="571"/>
            <a:ext cx="1070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90" name="Line 66">
            <a:extLst>
              <a:ext uri="{FF2B5EF4-FFF2-40B4-BE49-F238E27FC236}">
                <a16:creationId xmlns:a16="http://schemas.microsoft.com/office/drawing/2014/main" id="{3D951733-2C9B-434A-BEA6-468EE78D2F29}"/>
              </a:ext>
            </a:extLst>
          </xdr:cNvPr>
          <xdr:cNvSpPr>
            <a:spLocks noChangeShapeType="1"/>
          </xdr:cNvSpPr>
        </xdr:nvSpPr>
        <xdr:spPr bwMode="auto">
          <a:xfrm>
            <a:off x="4481" y="573"/>
            <a:ext cx="1070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9" name="Line 65">
            <a:extLst>
              <a:ext uri="{FF2B5EF4-FFF2-40B4-BE49-F238E27FC236}">
                <a16:creationId xmlns:a16="http://schemas.microsoft.com/office/drawing/2014/main" id="{3FD96029-4E55-4DFA-BFA4-96E88AF48A04}"/>
              </a:ext>
            </a:extLst>
          </xdr:cNvPr>
          <xdr:cNvSpPr>
            <a:spLocks noChangeShapeType="1"/>
          </xdr:cNvSpPr>
        </xdr:nvSpPr>
        <xdr:spPr bwMode="auto">
          <a:xfrm>
            <a:off x="4481" y="575"/>
            <a:ext cx="1070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8" name="Line 64">
            <a:extLst>
              <a:ext uri="{FF2B5EF4-FFF2-40B4-BE49-F238E27FC236}">
                <a16:creationId xmlns:a16="http://schemas.microsoft.com/office/drawing/2014/main" id="{890EFB4E-D4F6-4EDA-B5F5-CEAACA76577E}"/>
              </a:ext>
            </a:extLst>
          </xdr:cNvPr>
          <xdr:cNvSpPr>
            <a:spLocks noChangeShapeType="1"/>
          </xdr:cNvSpPr>
        </xdr:nvSpPr>
        <xdr:spPr bwMode="auto">
          <a:xfrm>
            <a:off x="4481" y="578"/>
            <a:ext cx="1070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7" name="Line 63">
            <a:extLst>
              <a:ext uri="{FF2B5EF4-FFF2-40B4-BE49-F238E27FC236}">
                <a16:creationId xmlns:a16="http://schemas.microsoft.com/office/drawing/2014/main" id="{F17E25E1-096A-40B5-A700-95F3D24547E3}"/>
              </a:ext>
            </a:extLst>
          </xdr:cNvPr>
          <xdr:cNvSpPr>
            <a:spLocks noChangeShapeType="1"/>
          </xdr:cNvSpPr>
        </xdr:nvSpPr>
        <xdr:spPr bwMode="auto">
          <a:xfrm>
            <a:off x="4481" y="580"/>
            <a:ext cx="1070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6" name="Line 62">
            <a:extLst>
              <a:ext uri="{FF2B5EF4-FFF2-40B4-BE49-F238E27FC236}">
                <a16:creationId xmlns:a16="http://schemas.microsoft.com/office/drawing/2014/main" id="{87ACC8E1-3E74-4056-B4C0-67C5088ACD42}"/>
              </a:ext>
            </a:extLst>
          </xdr:cNvPr>
          <xdr:cNvSpPr>
            <a:spLocks noChangeShapeType="1"/>
          </xdr:cNvSpPr>
        </xdr:nvSpPr>
        <xdr:spPr bwMode="auto">
          <a:xfrm>
            <a:off x="5551" y="568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5" name="Line 61">
            <a:extLst>
              <a:ext uri="{FF2B5EF4-FFF2-40B4-BE49-F238E27FC236}">
                <a16:creationId xmlns:a16="http://schemas.microsoft.com/office/drawing/2014/main" id="{6AB0E2D0-E574-4BE8-9052-17E1436D214E}"/>
              </a:ext>
            </a:extLst>
          </xdr:cNvPr>
          <xdr:cNvSpPr>
            <a:spLocks noChangeShapeType="1"/>
          </xdr:cNvSpPr>
        </xdr:nvSpPr>
        <xdr:spPr bwMode="auto">
          <a:xfrm>
            <a:off x="5551" y="571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4" name="Line 60">
            <a:extLst>
              <a:ext uri="{FF2B5EF4-FFF2-40B4-BE49-F238E27FC236}">
                <a16:creationId xmlns:a16="http://schemas.microsoft.com/office/drawing/2014/main" id="{E8397B7B-AA3D-4F51-956E-280CA5C58606}"/>
              </a:ext>
            </a:extLst>
          </xdr:cNvPr>
          <xdr:cNvSpPr>
            <a:spLocks noChangeShapeType="1"/>
          </xdr:cNvSpPr>
        </xdr:nvSpPr>
        <xdr:spPr bwMode="auto">
          <a:xfrm>
            <a:off x="5551" y="573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3" name="Line 59">
            <a:extLst>
              <a:ext uri="{FF2B5EF4-FFF2-40B4-BE49-F238E27FC236}">
                <a16:creationId xmlns:a16="http://schemas.microsoft.com/office/drawing/2014/main" id="{6D97ECF3-1F3D-42A6-BE7C-20FDC8728687}"/>
              </a:ext>
            </a:extLst>
          </xdr:cNvPr>
          <xdr:cNvSpPr>
            <a:spLocks noChangeShapeType="1"/>
          </xdr:cNvSpPr>
        </xdr:nvSpPr>
        <xdr:spPr bwMode="auto">
          <a:xfrm>
            <a:off x="5551" y="575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2" name="Line 58">
            <a:extLst>
              <a:ext uri="{FF2B5EF4-FFF2-40B4-BE49-F238E27FC236}">
                <a16:creationId xmlns:a16="http://schemas.microsoft.com/office/drawing/2014/main" id="{EB4E2B1F-EEAD-4E27-A403-DB7C9F944282}"/>
              </a:ext>
            </a:extLst>
          </xdr:cNvPr>
          <xdr:cNvSpPr>
            <a:spLocks noChangeShapeType="1"/>
          </xdr:cNvSpPr>
        </xdr:nvSpPr>
        <xdr:spPr bwMode="auto">
          <a:xfrm>
            <a:off x="5551" y="578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1" name="Line 57">
            <a:extLst>
              <a:ext uri="{FF2B5EF4-FFF2-40B4-BE49-F238E27FC236}">
                <a16:creationId xmlns:a16="http://schemas.microsoft.com/office/drawing/2014/main" id="{7DEB0DA2-C27C-4BBF-B96D-B4A216C10725}"/>
              </a:ext>
            </a:extLst>
          </xdr:cNvPr>
          <xdr:cNvSpPr>
            <a:spLocks noChangeShapeType="1"/>
          </xdr:cNvSpPr>
        </xdr:nvSpPr>
        <xdr:spPr bwMode="auto">
          <a:xfrm>
            <a:off x="5551" y="580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80" name="Line 56">
            <a:extLst>
              <a:ext uri="{FF2B5EF4-FFF2-40B4-BE49-F238E27FC236}">
                <a16:creationId xmlns:a16="http://schemas.microsoft.com/office/drawing/2014/main" id="{D74764CA-7B2E-4948-83D7-A386A1A68A37}"/>
              </a:ext>
            </a:extLst>
          </xdr:cNvPr>
          <xdr:cNvSpPr>
            <a:spLocks noChangeShapeType="1"/>
          </xdr:cNvSpPr>
        </xdr:nvSpPr>
        <xdr:spPr bwMode="auto">
          <a:xfrm>
            <a:off x="6970" y="568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9" name="Line 55">
            <a:extLst>
              <a:ext uri="{FF2B5EF4-FFF2-40B4-BE49-F238E27FC236}">
                <a16:creationId xmlns:a16="http://schemas.microsoft.com/office/drawing/2014/main" id="{94B4B167-B0CC-48BC-9873-6BE76D056007}"/>
              </a:ext>
            </a:extLst>
          </xdr:cNvPr>
          <xdr:cNvSpPr>
            <a:spLocks noChangeShapeType="1"/>
          </xdr:cNvSpPr>
        </xdr:nvSpPr>
        <xdr:spPr bwMode="auto">
          <a:xfrm>
            <a:off x="6970" y="571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8" name="Line 54">
            <a:extLst>
              <a:ext uri="{FF2B5EF4-FFF2-40B4-BE49-F238E27FC236}">
                <a16:creationId xmlns:a16="http://schemas.microsoft.com/office/drawing/2014/main" id="{37D94E07-1569-4B18-A4B1-2D07FDBFB4B7}"/>
              </a:ext>
            </a:extLst>
          </xdr:cNvPr>
          <xdr:cNvSpPr>
            <a:spLocks noChangeShapeType="1"/>
          </xdr:cNvSpPr>
        </xdr:nvSpPr>
        <xdr:spPr bwMode="auto">
          <a:xfrm>
            <a:off x="6970" y="573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7" name="Line 53">
            <a:extLst>
              <a:ext uri="{FF2B5EF4-FFF2-40B4-BE49-F238E27FC236}">
                <a16:creationId xmlns:a16="http://schemas.microsoft.com/office/drawing/2014/main" id="{ACBCC8E1-11CC-40EA-B9E6-0F785BAD16C3}"/>
              </a:ext>
            </a:extLst>
          </xdr:cNvPr>
          <xdr:cNvSpPr>
            <a:spLocks noChangeShapeType="1"/>
          </xdr:cNvSpPr>
        </xdr:nvSpPr>
        <xdr:spPr bwMode="auto">
          <a:xfrm>
            <a:off x="6970" y="575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6" name="Line 52">
            <a:extLst>
              <a:ext uri="{FF2B5EF4-FFF2-40B4-BE49-F238E27FC236}">
                <a16:creationId xmlns:a16="http://schemas.microsoft.com/office/drawing/2014/main" id="{A861CFF4-0711-481A-AA09-9BADEDAA0C45}"/>
              </a:ext>
            </a:extLst>
          </xdr:cNvPr>
          <xdr:cNvSpPr>
            <a:spLocks noChangeShapeType="1"/>
          </xdr:cNvSpPr>
        </xdr:nvSpPr>
        <xdr:spPr bwMode="auto">
          <a:xfrm>
            <a:off x="6970" y="578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5" name="Line 51">
            <a:extLst>
              <a:ext uri="{FF2B5EF4-FFF2-40B4-BE49-F238E27FC236}">
                <a16:creationId xmlns:a16="http://schemas.microsoft.com/office/drawing/2014/main" id="{D2410CB3-B58C-4DBD-870B-B20BFADE5E80}"/>
              </a:ext>
            </a:extLst>
          </xdr:cNvPr>
          <xdr:cNvSpPr>
            <a:spLocks noChangeShapeType="1"/>
          </xdr:cNvSpPr>
        </xdr:nvSpPr>
        <xdr:spPr bwMode="auto">
          <a:xfrm>
            <a:off x="6970" y="580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4" name="Line 50">
            <a:extLst>
              <a:ext uri="{FF2B5EF4-FFF2-40B4-BE49-F238E27FC236}">
                <a16:creationId xmlns:a16="http://schemas.microsoft.com/office/drawing/2014/main" id="{96B06C12-BC9E-4CDA-B75F-ABA2ED53CB48}"/>
              </a:ext>
            </a:extLst>
          </xdr:cNvPr>
          <xdr:cNvSpPr>
            <a:spLocks noChangeShapeType="1"/>
          </xdr:cNvSpPr>
        </xdr:nvSpPr>
        <xdr:spPr bwMode="auto">
          <a:xfrm>
            <a:off x="8386" y="568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3" name="Line 49">
            <a:extLst>
              <a:ext uri="{FF2B5EF4-FFF2-40B4-BE49-F238E27FC236}">
                <a16:creationId xmlns:a16="http://schemas.microsoft.com/office/drawing/2014/main" id="{DD1C7846-E7F4-4410-8ACB-2F54FFC976CC}"/>
              </a:ext>
            </a:extLst>
          </xdr:cNvPr>
          <xdr:cNvSpPr>
            <a:spLocks noChangeShapeType="1"/>
          </xdr:cNvSpPr>
        </xdr:nvSpPr>
        <xdr:spPr bwMode="auto">
          <a:xfrm>
            <a:off x="8386" y="571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2" name="Line 48">
            <a:extLst>
              <a:ext uri="{FF2B5EF4-FFF2-40B4-BE49-F238E27FC236}">
                <a16:creationId xmlns:a16="http://schemas.microsoft.com/office/drawing/2014/main" id="{72AB1B35-59D4-4F95-A643-9E3CA841C8F1}"/>
              </a:ext>
            </a:extLst>
          </xdr:cNvPr>
          <xdr:cNvSpPr>
            <a:spLocks noChangeShapeType="1"/>
          </xdr:cNvSpPr>
        </xdr:nvSpPr>
        <xdr:spPr bwMode="auto">
          <a:xfrm>
            <a:off x="8386" y="573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1" name="Line 47">
            <a:extLst>
              <a:ext uri="{FF2B5EF4-FFF2-40B4-BE49-F238E27FC236}">
                <a16:creationId xmlns:a16="http://schemas.microsoft.com/office/drawing/2014/main" id="{9003DAE5-5BE1-4482-895E-DF26DE0E972E}"/>
              </a:ext>
            </a:extLst>
          </xdr:cNvPr>
          <xdr:cNvSpPr>
            <a:spLocks noChangeShapeType="1"/>
          </xdr:cNvSpPr>
        </xdr:nvSpPr>
        <xdr:spPr bwMode="auto">
          <a:xfrm>
            <a:off x="8386" y="575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70" name="Line 46">
            <a:extLst>
              <a:ext uri="{FF2B5EF4-FFF2-40B4-BE49-F238E27FC236}">
                <a16:creationId xmlns:a16="http://schemas.microsoft.com/office/drawing/2014/main" id="{C5C1B253-37C0-46F3-B3EE-CF2B77E95B03}"/>
              </a:ext>
            </a:extLst>
          </xdr:cNvPr>
          <xdr:cNvSpPr>
            <a:spLocks noChangeShapeType="1"/>
          </xdr:cNvSpPr>
        </xdr:nvSpPr>
        <xdr:spPr bwMode="auto">
          <a:xfrm>
            <a:off x="8386" y="578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9" name="Line 45">
            <a:extLst>
              <a:ext uri="{FF2B5EF4-FFF2-40B4-BE49-F238E27FC236}">
                <a16:creationId xmlns:a16="http://schemas.microsoft.com/office/drawing/2014/main" id="{F64241E3-75AF-49E4-85DF-ECEAE80D3FEF}"/>
              </a:ext>
            </a:extLst>
          </xdr:cNvPr>
          <xdr:cNvSpPr>
            <a:spLocks noChangeShapeType="1"/>
          </xdr:cNvSpPr>
        </xdr:nvSpPr>
        <xdr:spPr bwMode="auto">
          <a:xfrm>
            <a:off x="8386" y="580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8" name="Line 44">
            <a:extLst>
              <a:ext uri="{FF2B5EF4-FFF2-40B4-BE49-F238E27FC236}">
                <a16:creationId xmlns:a16="http://schemas.microsoft.com/office/drawing/2014/main" id="{3601995D-060E-4B02-833A-43025F7B3E39}"/>
              </a:ext>
            </a:extLst>
          </xdr:cNvPr>
          <xdr:cNvSpPr>
            <a:spLocks noChangeShapeType="1"/>
          </xdr:cNvSpPr>
        </xdr:nvSpPr>
        <xdr:spPr bwMode="auto">
          <a:xfrm>
            <a:off x="9804" y="568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7" name="Line 43">
            <a:extLst>
              <a:ext uri="{FF2B5EF4-FFF2-40B4-BE49-F238E27FC236}">
                <a16:creationId xmlns:a16="http://schemas.microsoft.com/office/drawing/2014/main" id="{8F4AA471-9817-4EDD-99F4-928AF89BCED5}"/>
              </a:ext>
            </a:extLst>
          </xdr:cNvPr>
          <xdr:cNvSpPr>
            <a:spLocks noChangeShapeType="1"/>
          </xdr:cNvSpPr>
        </xdr:nvSpPr>
        <xdr:spPr bwMode="auto">
          <a:xfrm>
            <a:off x="9804" y="571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6" name="Line 42">
            <a:extLst>
              <a:ext uri="{FF2B5EF4-FFF2-40B4-BE49-F238E27FC236}">
                <a16:creationId xmlns:a16="http://schemas.microsoft.com/office/drawing/2014/main" id="{2527DE29-9CBF-4929-970C-B463477D82CC}"/>
              </a:ext>
            </a:extLst>
          </xdr:cNvPr>
          <xdr:cNvSpPr>
            <a:spLocks noChangeShapeType="1"/>
          </xdr:cNvSpPr>
        </xdr:nvSpPr>
        <xdr:spPr bwMode="auto">
          <a:xfrm>
            <a:off x="9804" y="573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5" name="Line 41">
            <a:extLst>
              <a:ext uri="{FF2B5EF4-FFF2-40B4-BE49-F238E27FC236}">
                <a16:creationId xmlns:a16="http://schemas.microsoft.com/office/drawing/2014/main" id="{19C460EB-E352-4490-857F-209CB9C9A5B4}"/>
              </a:ext>
            </a:extLst>
          </xdr:cNvPr>
          <xdr:cNvSpPr>
            <a:spLocks noChangeShapeType="1"/>
          </xdr:cNvSpPr>
        </xdr:nvSpPr>
        <xdr:spPr bwMode="auto">
          <a:xfrm>
            <a:off x="9804" y="575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4" name="Line 40">
            <a:extLst>
              <a:ext uri="{FF2B5EF4-FFF2-40B4-BE49-F238E27FC236}">
                <a16:creationId xmlns:a16="http://schemas.microsoft.com/office/drawing/2014/main" id="{FFD820C1-2F50-49D8-B4D4-A8EEB105BB7F}"/>
              </a:ext>
            </a:extLst>
          </xdr:cNvPr>
          <xdr:cNvSpPr>
            <a:spLocks noChangeShapeType="1"/>
          </xdr:cNvSpPr>
        </xdr:nvSpPr>
        <xdr:spPr bwMode="auto">
          <a:xfrm>
            <a:off x="9804" y="578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63" name="Line 39">
            <a:extLst>
              <a:ext uri="{FF2B5EF4-FFF2-40B4-BE49-F238E27FC236}">
                <a16:creationId xmlns:a16="http://schemas.microsoft.com/office/drawing/2014/main" id="{9B30D60F-5AA6-46FC-9171-A8827636E8F7}"/>
              </a:ext>
            </a:extLst>
          </xdr:cNvPr>
          <xdr:cNvSpPr>
            <a:spLocks noChangeShapeType="1"/>
          </xdr:cNvSpPr>
        </xdr:nvSpPr>
        <xdr:spPr bwMode="auto">
          <a:xfrm>
            <a:off x="9804" y="580"/>
            <a:ext cx="1416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533400</xdr:colOff>
      <xdr:row>87</xdr:row>
      <xdr:rowOff>133350</xdr:rowOff>
    </xdr:from>
    <xdr:to>
      <xdr:col>7</xdr:col>
      <xdr:colOff>0</xdr:colOff>
      <xdr:row>87</xdr:row>
      <xdr:rowOff>142875</xdr:rowOff>
    </xdr:to>
    <xdr:grpSp>
      <xdr:nvGrpSpPr>
        <xdr:cNvPr id="1025" name="Group 1">
          <a:extLst>
            <a:ext uri="{FF2B5EF4-FFF2-40B4-BE49-F238E27FC236}">
              <a16:creationId xmlns:a16="http://schemas.microsoft.com/office/drawing/2014/main" id="{46501A4F-E64D-474B-9E68-67E909A11651}"/>
            </a:ext>
          </a:extLst>
        </xdr:cNvPr>
        <xdr:cNvGrpSpPr>
          <a:grpSpLocks/>
        </xdr:cNvGrpSpPr>
      </xdr:nvGrpSpPr>
      <xdr:grpSpPr bwMode="auto">
        <a:xfrm>
          <a:off x="533400" y="18049875"/>
          <a:ext cx="6505575" cy="9525"/>
          <a:chOff x="845" y="564"/>
          <a:chExt cx="10491" cy="20"/>
        </a:xfrm>
      </xdr:grpSpPr>
      <xdr:sp macro="" textlink="">
        <xdr:nvSpPr>
          <xdr:cNvPr id="1036" name="Line 12">
            <a:extLst>
              <a:ext uri="{FF2B5EF4-FFF2-40B4-BE49-F238E27FC236}">
                <a16:creationId xmlns:a16="http://schemas.microsoft.com/office/drawing/2014/main" id="{048F9D04-794A-4CD9-93B9-F14CD25A7440}"/>
              </a:ext>
            </a:extLst>
          </xdr:cNvPr>
          <xdr:cNvSpPr>
            <a:spLocks noChangeShapeType="1"/>
          </xdr:cNvSpPr>
        </xdr:nvSpPr>
        <xdr:spPr bwMode="auto">
          <a:xfrm>
            <a:off x="845" y="568"/>
            <a:ext cx="4317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5" name="Line 11">
            <a:extLst>
              <a:ext uri="{FF2B5EF4-FFF2-40B4-BE49-F238E27FC236}">
                <a16:creationId xmlns:a16="http://schemas.microsoft.com/office/drawing/2014/main" id="{317441DC-77D7-48ED-A3FE-D19AC2859BCA}"/>
              </a:ext>
            </a:extLst>
          </xdr:cNvPr>
          <xdr:cNvSpPr>
            <a:spLocks noChangeShapeType="1"/>
          </xdr:cNvSpPr>
        </xdr:nvSpPr>
        <xdr:spPr bwMode="auto">
          <a:xfrm>
            <a:off x="845" y="571"/>
            <a:ext cx="4317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4" name="Line 10">
            <a:extLst>
              <a:ext uri="{FF2B5EF4-FFF2-40B4-BE49-F238E27FC236}">
                <a16:creationId xmlns:a16="http://schemas.microsoft.com/office/drawing/2014/main" id="{98AEEBA4-AA5E-4DA0-B3DC-3E50E0A35C35}"/>
              </a:ext>
            </a:extLst>
          </xdr:cNvPr>
          <xdr:cNvSpPr>
            <a:spLocks noChangeShapeType="1"/>
          </xdr:cNvSpPr>
        </xdr:nvSpPr>
        <xdr:spPr bwMode="auto">
          <a:xfrm>
            <a:off x="845" y="573"/>
            <a:ext cx="4317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3" name="Line 9">
            <a:extLst>
              <a:ext uri="{FF2B5EF4-FFF2-40B4-BE49-F238E27FC236}">
                <a16:creationId xmlns:a16="http://schemas.microsoft.com/office/drawing/2014/main" id="{08717B57-8F90-4C7B-B087-C279DCB5182D}"/>
              </a:ext>
            </a:extLst>
          </xdr:cNvPr>
          <xdr:cNvSpPr>
            <a:spLocks noChangeShapeType="1"/>
          </xdr:cNvSpPr>
        </xdr:nvSpPr>
        <xdr:spPr bwMode="auto">
          <a:xfrm>
            <a:off x="845" y="575"/>
            <a:ext cx="4317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2" name="Line 8">
            <a:extLst>
              <a:ext uri="{FF2B5EF4-FFF2-40B4-BE49-F238E27FC236}">
                <a16:creationId xmlns:a16="http://schemas.microsoft.com/office/drawing/2014/main" id="{DC4A738A-9473-4CCB-A343-FCFE77DC2A65}"/>
              </a:ext>
            </a:extLst>
          </xdr:cNvPr>
          <xdr:cNvSpPr>
            <a:spLocks noChangeShapeType="1"/>
          </xdr:cNvSpPr>
        </xdr:nvSpPr>
        <xdr:spPr bwMode="auto">
          <a:xfrm>
            <a:off x="845" y="578"/>
            <a:ext cx="4317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1" name="Line 7">
            <a:extLst>
              <a:ext uri="{FF2B5EF4-FFF2-40B4-BE49-F238E27FC236}">
                <a16:creationId xmlns:a16="http://schemas.microsoft.com/office/drawing/2014/main" id="{60BDABA4-D42C-4661-9C19-2A3C82E2A8FF}"/>
              </a:ext>
            </a:extLst>
          </xdr:cNvPr>
          <xdr:cNvSpPr>
            <a:spLocks noChangeShapeType="1"/>
          </xdr:cNvSpPr>
        </xdr:nvSpPr>
        <xdr:spPr bwMode="auto">
          <a:xfrm>
            <a:off x="845" y="580"/>
            <a:ext cx="4317" cy="0"/>
          </a:xfrm>
          <a:prstGeom prst="line">
            <a:avLst/>
          </a:pr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0" name="AutoShape 6">
            <a:extLst>
              <a:ext uri="{FF2B5EF4-FFF2-40B4-BE49-F238E27FC236}">
                <a16:creationId xmlns:a16="http://schemas.microsoft.com/office/drawing/2014/main" id="{C1B4167C-D4AE-4277-A872-084F284F7003}"/>
              </a:ext>
            </a:extLst>
          </xdr:cNvPr>
          <xdr:cNvSpPr>
            <a:spLocks/>
          </xdr:cNvSpPr>
        </xdr:nvSpPr>
        <xdr:spPr bwMode="auto">
          <a:xfrm>
            <a:off x="5162" y="568"/>
            <a:ext cx="701" cy="12"/>
          </a:xfrm>
          <a:custGeom>
            <a:avLst/>
            <a:gdLst>
              <a:gd name="T0" fmla="+- 0 5162 5162"/>
              <a:gd name="T1" fmla="*/ T0 w 701"/>
              <a:gd name="T2" fmla="+- 0 568 568"/>
              <a:gd name="T3" fmla="*/ 568 h 12"/>
              <a:gd name="T4" fmla="+- 0 5863 5162"/>
              <a:gd name="T5" fmla="*/ T4 w 701"/>
              <a:gd name="T6" fmla="+- 0 568 568"/>
              <a:gd name="T7" fmla="*/ 568 h 12"/>
              <a:gd name="T8" fmla="+- 0 5162 5162"/>
              <a:gd name="T9" fmla="*/ T8 w 701"/>
              <a:gd name="T10" fmla="+- 0 571 568"/>
              <a:gd name="T11" fmla="*/ 571 h 12"/>
              <a:gd name="T12" fmla="+- 0 5863 5162"/>
              <a:gd name="T13" fmla="*/ T12 w 701"/>
              <a:gd name="T14" fmla="+- 0 571 568"/>
              <a:gd name="T15" fmla="*/ 571 h 12"/>
              <a:gd name="T16" fmla="+- 0 5162 5162"/>
              <a:gd name="T17" fmla="*/ T16 w 701"/>
              <a:gd name="T18" fmla="+- 0 573 568"/>
              <a:gd name="T19" fmla="*/ 573 h 12"/>
              <a:gd name="T20" fmla="+- 0 5863 5162"/>
              <a:gd name="T21" fmla="*/ T20 w 701"/>
              <a:gd name="T22" fmla="+- 0 573 568"/>
              <a:gd name="T23" fmla="*/ 573 h 12"/>
              <a:gd name="T24" fmla="+- 0 5162 5162"/>
              <a:gd name="T25" fmla="*/ T24 w 701"/>
              <a:gd name="T26" fmla="+- 0 575 568"/>
              <a:gd name="T27" fmla="*/ 575 h 12"/>
              <a:gd name="T28" fmla="+- 0 5863 5162"/>
              <a:gd name="T29" fmla="*/ T28 w 701"/>
              <a:gd name="T30" fmla="+- 0 575 568"/>
              <a:gd name="T31" fmla="*/ 575 h 12"/>
              <a:gd name="T32" fmla="+- 0 5162 5162"/>
              <a:gd name="T33" fmla="*/ T32 w 701"/>
              <a:gd name="T34" fmla="+- 0 578 568"/>
              <a:gd name="T35" fmla="*/ 578 h 12"/>
              <a:gd name="T36" fmla="+- 0 5863 5162"/>
              <a:gd name="T37" fmla="*/ T36 w 701"/>
              <a:gd name="T38" fmla="+- 0 578 568"/>
              <a:gd name="T39" fmla="*/ 578 h 12"/>
              <a:gd name="T40" fmla="+- 0 5162 5162"/>
              <a:gd name="T41" fmla="*/ T40 w 701"/>
              <a:gd name="T42" fmla="+- 0 580 568"/>
              <a:gd name="T43" fmla="*/ 580 h 12"/>
              <a:gd name="T44" fmla="+- 0 5863 5162"/>
              <a:gd name="T45" fmla="*/ T44 w 701"/>
              <a:gd name="T46" fmla="+- 0 580 568"/>
              <a:gd name="T47" fmla="*/ 580 h 12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</a:cxnLst>
            <a:rect l="0" t="0" r="r" b="b"/>
            <a:pathLst>
              <a:path w="701" h="12">
                <a:moveTo>
                  <a:pt x="0" y="0"/>
                </a:moveTo>
                <a:lnTo>
                  <a:pt x="701" y="0"/>
                </a:lnTo>
                <a:moveTo>
                  <a:pt x="0" y="3"/>
                </a:moveTo>
                <a:lnTo>
                  <a:pt x="701" y="3"/>
                </a:lnTo>
                <a:moveTo>
                  <a:pt x="0" y="5"/>
                </a:moveTo>
                <a:lnTo>
                  <a:pt x="701" y="5"/>
                </a:lnTo>
                <a:moveTo>
                  <a:pt x="0" y="7"/>
                </a:moveTo>
                <a:lnTo>
                  <a:pt x="701" y="7"/>
                </a:lnTo>
                <a:moveTo>
                  <a:pt x="0" y="10"/>
                </a:moveTo>
                <a:lnTo>
                  <a:pt x="701" y="10"/>
                </a:lnTo>
                <a:moveTo>
                  <a:pt x="0" y="12"/>
                </a:moveTo>
                <a:lnTo>
                  <a:pt x="701" y="12"/>
                </a:lnTo>
              </a:path>
            </a:pathLst>
          </a:cu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29" name="AutoShape 5">
            <a:extLst>
              <a:ext uri="{FF2B5EF4-FFF2-40B4-BE49-F238E27FC236}">
                <a16:creationId xmlns:a16="http://schemas.microsoft.com/office/drawing/2014/main" id="{9FD90CBC-3C5C-4978-8EEA-6124A6AA7D76}"/>
              </a:ext>
            </a:extLst>
          </xdr:cNvPr>
          <xdr:cNvSpPr>
            <a:spLocks/>
          </xdr:cNvSpPr>
        </xdr:nvSpPr>
        <xdr:spPr bwMode="auto">
          <a:xfrm>
            <a:off x="5865" y="568"/>
            <a:ext cx="1359" cy="12"/>
          </a:xfrm>
          <a:custGeom>
            <a:avLst/>
            <a:gdLst>
              <a:gd name="T0" fmla="+- 0 5866 5866"/>
              <a:gd name="T1" fmla="*/ T0 w 1359"/>
              <a:gd name="T2" fmla="+- 0 568 568"/>
              <a:gd name="T3" fmla="*/ 568 h 12"/>
              <a:gd name="T4" fmla="+- 0 7224 5866"/>
              <a:gd name="T5" fmla="*/ T4 w 1359"/>
              <a:gd name="T6" fmla="+- 0 568 568"/>
              <a:gd name="T7" fmla="*/ 568 h 12"/>
              <a:gd name="T8" fmla="+- 0 5866 5866"/>
              <a:gd name="T9" fmla="*/ T8 w 1359"/>
              <a:gd name="T10" fmla="+- 0 571 568"/>
              <a:gd name="T11" fmla="*/ 571 h 12"/>
              <a:gd name="T12" fmla="+- 0 7224 5866"/>
              <a:gd name="T13" fmla="*/ T12 w 1359"/>
              <a:gd name="T14" fmla="+- 0 571 568"/>
              <a:gd name="T15" fmla="*/ 571 h 12"/>
              <a:gd name="T16" fmla="+- 0 5866 5866"/>
              <a:gd name="T17" fmla="*/ T16 w 1359"/>
              <a:gd name="T18" fmla="+- 0 573 568"/>
              <a:gd name="T19" fmla="*/ 573 h 12"/>
              <a:gd name="T20" fmla="+- 0 7224 5866"/>
              <a:gd name="T21" fmla="*/ T20 w 1359"/>
              <a:gd name="T22" fmla="+- 0 573 568"/>
              <a:gd name="T23" fmla="*/ 573 h 12"/>
              <a:gd name="T24" fmla="+- 0 5866 5866"/>
              <a:gd name="T25" fmla="*/ T24 w 1359"/>
              <a:gd name="T26" fmla="+- 0 575 568"/>
              <a:gd name="T27" fmla="*/ 575 h 12"/>
              <a:gd name="T28" fmla="+- 0 7224 5866"/>
              <a:gd name="T29" fmla="*/ T28 w 1359"/>
              <a:gd name="T30" fmla="+- 0 575 568"/>
              <a:gd name="T31" fmla="*/ 575 h 12"/>
              <a:gd name="T32" fmla="+- 0 5866 5866"/>
              <a:gd name="T33" fmla="*/ T32 w 1359"/>
              <a:gd name="T34" fmla="+- 0 578 568"/>
              <a:gd name="T35" fmla="*/ 578 h 12"/>
              <a:gd name="T36" fmla="+- 0 7224 5866"/>
              <a:gd name="T37" fmla="*/ T36 w 1359"/>
              <a:gd name="T38" fmla="+- 0 578 568"/>
              <a:gd name="T39" fmla="*/ 578 h 12"/>
              <a:gd name="T40" fmla="+- 0 5866 5866"/>
              <a:gd name="T41" fmla="*/ T40 w 1359"/>
              <a:gd name="T42" fmla="+- 0 580 568"/>
              <a:gd name="T43" fmla="*/ 580 h 12"/>
              <a:gd name="T44" fmla="+- 0 7224 5866"/>
              <a:gd name="T45" fmla="*/ T44 w 1359"/>
              <a:gd name="T46" fmla="+- 0 580 568"/>
              <a:gd name="T47" fmla="*/ 580 h 12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</a:cxnLst>
            <a:rect l="0" t="0" r="r" b="b"/>
            <a:pathLst>
              <a:path w="1359" h="12">
                <a:moveTo>
                  <a:pt x="0" y="0"/>
                </a:moveTo>
                <a:lnTo>
                  <a:pt x="1358" y="0"/>
                </a:lnTo>
                <a:moveTo>
                  <a:pt x="0" y="3"/>
                </a:moveTo>
                <a:lnTo>
                  <a:pt x="1358" y="3"/>
                </a:lnTo>
                <a:moveTo>
                  <a:pt x="0" y="5"/>
                </a:moveTo>
                <a:lnTo>
                  <a:pt x="1358" y="5"/>
                </a:lnTo>
                <a:moveTo>
                  <a:pt x="0" y="7"/>
                </a:moveTo>
                <a:lnTo>
                  <a:pt x="1358" y="7"/>
                </a:lnTo>
                <a:moveTo>
                  <a:pt x="0" y="10"/>
                </a:moveTo>
                <a:lnTo>
                  <a:pt x="1358" y="10"/>
                </a:lnTo>
                <a:moveTo>
                  <a:pt x="0" y="12"/>
                </a:moveTo>
                <a:lnTo>
                  <a:pt x="1358" y="12"/>
                </a:lnTo>
              </a:path>
            </a:pathLst>
          </a:cu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28" name="AutoShape 4">
            <a:extLst>
              <a:ext uri="{FF2B5EF4-FFF2-40B4-BE49-F238E27FC236}">
                <a16:creationId xmlns:a16="http://schemas.microsoft.com/office/drawing/2014/main" id="{25FDD2CF-6DA5-4951-A69C-ACF3B6C3E06F}"/>
              </a:ext>
            </a:extLst>
          </xdr:cNvPr>
          <xdr:cNvSpPr>
            <a:spLocks/>
          </xdr:cNvSpPr>
        </xdr:nvSpPr>
        <xdr:spPr bwMode="auto">
          <a:xfrm>
            <a:off x="7226" y="568"/>
            <a:ext cx="1342" cy="12"/>
          </a:xfrm>
          <a:custGeom>
            <a:avLst/>
            <a:gdLst>
              <a:gd name="T0" fmla="+- 0 7226 7226"/>
              <a:gd name="T1" fmla="*/ T0 w 1342"/>
              <a:gd name="T2" fmla="+- 0 568 568"/>
              <a:gd name="T3" fmla="*/ 568 h 12"/>
              <a:gd name="T4" fmla="+- 0 8568 7226"/>
              <a:gd name="T5" fmla="*/ T4 w 1342"/>
              <a:gd name="T6" fmla="+- 0 568 568"/>
              <a:gd name="T7" fmla="*/ 568 h 12"/>
              <a:gd name="T8" fmla="+- 0 7226 7226"/>
              <a:gd name="T9" fmla="*/ T8 w 1342"/>
              <a:gd name="T10" fmla="+- 0 571 568"/>
              <a:gd name="T11" fmla="*/ 571 h 12"/>
              <a:gd name="T12" fmla="+- 0 8568 7226"/>
              <a:gd name="T13" fmla="*/ T12 w 1342"/>
              <a:gd name="T14" fmla="+- 0 571 568"/>
              <a:gd name="T15" fmla="*/ 571 h 12"/>
              <a:gd name="T16" fmla="+- 0 7226 7226"/>
              <a:gd name="T17" fmla="*/ T16 w 1342"/>
              <a:gd name="T18" fmla="+- 0 573 568"/>
              <a:gd name="T19" fmla="*/ 573 h 12"/>
              <a:gd name="T20" fmla="+- 0 8568 7226"/>
              <a:gd name="T21" fmla="*/ T20 w 1342"/>
              <a:gd name="T22" fmla="+- 0 573 568"/>
              <a:gd name="T23" fmla="*/ 573 h 12"/>
              <a:gd name="T24" fmla="+- 0 7226 7226"/>
              <a:gd name="T25" fmla="*/ T24 w 1342"/>
              <a:gd name="T26" fmla="+- 0 575 568"/>
              <a:gd name="T27" fmla="*/ 575 h 12"/>
              <a:gd name="T28" fmla="+- 0 8568 7226"/>
              <a:gd name="T29" fmla="*/ T28 w 1342"/>
              <a:gd name="T30" fmla="+- 0 575 568"/>
              <a:gd name="T31" fmla="*/ 575 h 12"/>
              <a:gd name="T32" fmla="+- 0 7226 7226"/>
              <a:gd name="T33" fmla="*/ T32 w 1342"/>
              <a:gd name="T34" fmla="+- 0 578 568"/>
              <a:gd name="T35" fmla="*/ 578 h 12"/>
              <a:gd name="T36" fmla="+- 0 8568 7226"/>
              <a:gd name="T37" fmla="*/ T36 w 1342"/>
              <a:gd name="T38" fmla="+- 0 578 568"/>
              <a:gd name="T39" fmla="*/ 578 h 12"/>
              <a:gd name="T40" fmla="+- 0 7226 7226"/>
              <a:gd name="T41" fmla="*/ T40 w 1342"/>
              <a:gd name="T42" fmla="+- 0 580 568"/>
              <a:gd name="T43" fmla="*/ 580 h 12"/>
              <a:gd name="T44" fmla="+- 0 8568 7226"/>
              <a:gd name="T45" fmla="*/ T44 w 1342"/>
              <a:gd name="T46" fmla="+- 0 580 568"/>
              <a:gd name="T47" fmla="*/ 580 h 12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</a:cxnLst>
            <a:rect l="0" t="0" r="r" b="b"/>
            <a:pathLst>
              <a:path w="1342" h="12">
                <a:moveTo>
                  <a:pt x="0" y="0"/>
                </a:moveTo>
                <a:lnTo>
                  <a:pt x="1342" y="0"/>
                </a:lnTo>
                <a:moveTo>
                  <a:pt x="0" y="3"/>
                </a:moveTo>
                <a:lnTo>
                  <a:pt x="1342" y="3"/>
                </a:lnTo>
                <a:moveTo>
                  <a:pt x="0" y="5"/>
                </a:moveTo>
                <a:lnTo>
                  <a:pt x="1342" y="5"/>
                </a:lnTo>
                <a:moveTo>
                  <a:pt x="0" y="7"/>
                </a:moveTo>
                <a:lnTo>
                  <a:pt x="1342" y="7"/>
                </a:lnTo>
                <a:moveTo>
                  <a:pt x="0" y="10"/>
                </a:moveTo>
                <a:lnTo>
                  <a:pt x="1342" y="10"/>
                </a:lnTo>
                <a:moveTo>
                  <a:pt x="0" y="12"/>
                </a:moveTo>
                <a:lnTo>
                  <a:pt x="1342" y="12"/>
                </a:lnTo>
              </a:path>
            </a:pathLst>
          </a:cu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27" name="AutoShape 3">
            <a:extLst>
              <a:ext uri="{FF2B5EF4-FFF2-40B4-BE49-F238E27FC236}">
                <a16:creationId xmlns:a16="http://schemas.microsoft.com/office/drawing/2014/main" id="{22617285-E545-460F-BC2E-DEC27630DB88}"/>
              </a:ext>
            </a:extLst>
          </xdr:cNvPr>
          <xdr:cNvSpPr>
            <a:spLocks/>
          </xdr:cNvSpPr>
        </xdr:nvSpPr>
        <xdr:spPr bwMode="auto">
          <a:xfrm>
            <a:off x="8570" y="568"/>
            <a:ext cx="1404" cy="12"/>
          </a:xfrm>
          <a:custGeom>
            <a:avLst/>
            <a:gdLst>
              <a:gd name="T0" fmla="+- 0 8570 8570"/>
              <a:gd name="T1" fmla="*/ T0 w 1404"/>
              <a:gd name="T2" fmla="+- 0 568 568"/>
              <a:gd name="T3" fmla="*/ 568 h 12"/>
              <a:gd name="T4" fmla="+- 0 9974 8570"/>
              <a:gd name="T5" fmla="*/ T4 w 1404"/>
              <a:gd name="T6" fmla="+- 0 568 568"/>
              <a:gd name="T7" fmla="*/ 568 h 12"/>
              <a:gd name="T8" fmla="+- 0 8570 8570"/>
              <a:gd name="T9" fmla="*/ T8 w 1404"/>
              <a:gd name="T10" fmla="+- 0 571 568"/>
              <a:gd name="T11" fmla="*/ 571 h 12"/>
              <a:gd name="T12" fmla="+- 0 9974 8570"/>
              <a:gd name="T13" fmla="*/ T12 w 1404"/>
              <a:gd name="T14" fmla="+- 0 571 568"/>
              <a:gd name="T15" fmla="*/ 571 h 12"/>
              <a:gd name="T16" fmla="+- 0 8570 8570"/>
              <a:gd name="T17" fmla="*/ T16 w 1404"/>
              <a:gd name="T18" fmla="+- 0 573 568"/>
              <a:gd name="T19" fmla="*/ 573 h 12"/>
              <a:gd name="T20" fmla="+- 0 9974 8570"/>
              <a:gd name="T21" fmla="*/ T20 w 1404"/>
              <a:gd name="T22" fmla="+- 0 573 568"/>
              <a:gd name="T23" fmla="*/ 573 h 12"/>
              <a:gd name="T24" fmla="+- 0 8570 8570"/>
              <a:gd name="T25" fmla="*/ T24 w 1404"/>
              <a:gd name="T26" fmla="+- 0 575 568"/>
              <a:gd name="T27" fmla="*/ 575 h 12"/>
              <a:gd name="T28" fmla="+- 0 9974 8570"/>
              <a:gd name="T29" fmla="*/ T28 w 1404"/>
              <a:gd name="T30" fmla="+- 0 575 568"/>
              <a:gd name="T31" fmla="*/ 575 h 12"/>
              <a:gd name="T32" fmla="+- 0 8570 8570"/>
              <a:gd name="T33" fmla="*/ T32 w 1404"/>
              <a:gd name="T34" fmla="+- 0 578 568"/>
              <a:gd name="T35" fmla="*/ 578 h 12"/>
              <a:gd name="T36" fmla="+- 0 9974 8570"/>
              <a:gd name="T37" fmla="*/ T36 w 1404"/>
              <a:gd name="T38" fmla="+- 0 578 568"/>
              <a:gd name="T39" fmla="*/ 578 h 12"/>
              <a:gd name="T40" fmla="+- 0 8570 8570"/>
              <a:gd name="T41" fmla="*/ T40 w 1404"/>
              <a:gd name="T42" fmla="+- 0 580 568"/>
              <a:gd name="T43" fmla="*/ 580 h 12"/>
              <a:gd name="T44" fmla="+- 0 9974 8570"/>
              <a:gd name="T45" fmla="*/ T44 w 1404"/>
              <a:gd name="T46" fmla="+- 0 580 568"/>
              <a:gd name="T47" fmla="*/ 580 h 12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</a:cxnLst>
            <a:rect l="0" t="0" r="r" b="b"/>
            <a:pathLst>
              <a:path w="1404" h="12">
                <a:moveTo>
                  <a:pt x="0" y="0"/>
                </a:moveTo>
                <a:lnTo>
                  <a:pt x="1404" y="0"/>
                </a:lnTo>
                <a:moveTo>
                  <a:pt x="0" y="3"/>
                </a:moveTo>
                <a:lnTo>
                  <a:pt x="1404" y="3"/>
                </a:lnTo>
                <a:moveTo>
                  <a:pt x="0" y="5"/>
                </a:moveTo>
                <a:lnTo>
                  <a:pt x="1404" y="5"/>
                </a:lnTo>
                <a:moveTo>
                  <a:pt x="0" y="7"/>
                </a:moveTo>
                <a:lnTo>
                  <a:pt x="1404" y="7"/>
                </a:lnTo>
                <a:moveTo>
                  <a:pt x="0" y="10"/>
                </a:moveTo>
                <a:lnTo>
                  <a:pt x="1404" y="10"/>
                </a:lnTo>
                <a:moveTo>
                  <a:pt x="0" y="12"/>
                </a:moveTo>
                <a:lnTo>
                  <a:pt x="1404" y="12"/>
                </a:lnTo>
              </a:path>
            </a:pathLst>
          </a:cu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026" name="AutoShape 2">
            <a:extLst>
              <a:ext uri="{FF2B5EF4-FFF2-40B4-BE49-F238E27FC236}">
                <a16:creationId xmlns:a16="http://schemas.microsoft.com/office/drawing/2014/main" id="{087C726B-47BA-421A-8D90-BB4D206B76E8}"/>
              </a:ext>
            </a:extLst>
          </xdr:cNvPr>
          <xdr:cNvSpPr>
            <a:spLocks/>
          </xdr:cNvSpPr>
        </xdr:nvSpPr>
        <xdr:spPr bwMode="auto">
          <a:xfrm>
            <a:off x="9976" y="568"/>
            <a:ext cx="1359" cy="12"/>
          </a:xfrm>
          <a:custGeom>
            <a:avLst/>
            <a:gdLst>
              <a:gd name="T0" fmla="+- 0 9977 9977"/>
              <a:gd name="T1" fmla="*/ T0 w 1359"/>
              <a:gd name="T2" fmla="+- 0 568 568"/>
              <a:gd name="T3" fmla="*/ 568 h 12"/>
              <a:gd name="T4" fmla="+- 0 11335 9977"/>
              <a:gd name="T5" fmla="*/ T4 w 1359"/>
              <a:gd name="T6" fmla="+- 0 568 568"/>
              <a:gd name="T7" fmla="*/ 568 h 12"/>
              <a:gd name="T8" fmla="+- 0 9977 9977"/>
              <a:gd name="T9" fmla="*/ T8 w 1359"/>
              <a:gd name="T10" fmla="+- 0 571 568"/>
              <a:gd name="T11" fmla="*/ 571 h 12"/>
              <a:gd name="T12" fmla="+- 0 11335 9977"/>
              <a:gd name="T13" fmla="*/ T12 w 1359"/>
              <a:gd name="T14" fmla="+- 0 571 568"/>
              <a:gd name="T15" fmla="*/ 571 h 12"/>
              <a:gd name="T16" fmla="+- 0 9977 9977"/>
              <a:gd name="T17" fmla="*/ T16 w 1359"/>
              <a:gd name="T18" fmla="+- 0 573 568"/>
              <a:gd name="T19" fmla="*/ 573 h 12"/>
              <a:gd name="T20" fmla="+- 0 11335 9977"/>
              <a:gd name="T21" fmla="*/ T20 w 1359"/>
              <a:gd name="T22" fmla="+- 0 573 568"/>
              <a:gd name="T23" fmla="*/ 573 h 12"/>
              <a:gd name="T24" fmla="+- 0 9977 9977"/>
              <a:gd name="T25" fmla="*/ T24 w 1359"/>
              <a:gd name="T26" fmla="+- 0 575 568"/>
              <a:gd name="T27" fmla="*/ 575 h 12"/>
              <a:gd name="T28" fmla="+- 0 11335 9977"/>
              <a:gd name="T29" fmla="*/ T28 w 1359"/>
              <a:gd name="T30" fmla="+- 0 575 568"/>
              <a:gd name="T31" fmla="*/ 575 h 12"/>
              <a:gd name="T32" fmla="+- 0 9977 9977"/>
              <a:gd name="T33" fmla="*/ T32 w 1359"/>
              <a:gd name="T34" fmla="+- 0 578 568"/>
              <a:gd name="T35" fmla="*/ 578 h 12"/>
              <a:gd name="T36" fmla="+- 0 11335 9977"/>
              <a:gd name="T37" fmla="*/ T36 w 1359"/>
              <a:gd name="T38" fmla="+- 0 578 568"/>
              <a:gd name="T39" fmla="*/ 578 h 12"/>
              <a:gd name="T40" fmla="+- 0 9977 9977"/>
              <a:gd name="T41" fmla="*/ T40 w 1359"/>
              <a:gd name="T42" fmla="+- 0 580 568"/>
              <a:gd name="T43" fmla="*/ 580 h 12"/>
              <a:gd name="T44" fmla="+- 0 11335 9977"/>
              <a:gd name="T45" fmla="*/ T44 w 1359"/>
              <a:gd name="T46" fmla="+- 0 580 568"/>
              <a:gd name="T47" fmla="*/ 580 h 12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  <a:cxn ang="0">
                <a:pos x="T17" y="T19"/>
              </a:cxn>
              <a:cxn ang="0">
                <a:pos x="T21" y="T23"/>
              </a:cxn>
              <a:cxn ang="0">
                <a:pos x="T25" y="T27"/>
              </a:cxn>
              <a:cxn ang="0">
                <a:pos x="T29" y="T31"/>
              </a:cxn>
              <a:cxn ang="0">
                <a:pos x="T33" y="T35"/>
              </a:cxn>
              <a:cxn ang="0">
                <a:pos x="T37" y="T39"/>
              </a:cxn>
              <a:cxn ang="0">
                <a:pos x="T41" y="T43"/>
              </a:cxn>
              <a:cxn ang="0">
                <a:pos x="T45" y="T47"/>
              </a:cxn>
            </a:cxnLst>
            <a:rect l="0" t="0" r="r" b="b"/>
            <a:pathLst>
              <a:path w="1359" h="12">
                <a:moveTo>
                  <a:pt x="0" y="0"/>
                </a:moveTo>
                <a:lnTo>
                  <a:pt x="1358" y="0"/>
                </a:lnTo>
                <a:moveTo>
                  <a:pt x="0" y="3"/>
                </a:moveTo>
                <a:lnTo>
                  <a:pt x="1358" y="3"/>
                </a:lnTo>
                <a:moveTo>
                  <a:pt x="0" y="5"/>
                </a:moveTo>
                <a:lnTo>
                  <a:pt x="1358" y="5"/>
                </a:lnTo>
                <a:moveTo>
                  <a:pt x="0" y="7"/>
                </a:moveTo>
                <a:lnTo>
                  <a:pt x="1358" y="7"/>
                </a:lnTo>
                <a:moveTo>
                  <a:pt x="0" y="10"/>
                </a:moveTo>
                <a:lnTo>
                  <a:pt x="1358" y="10"/>
                </a:lnTo>
                <a:moveTo>
                  <a:pt x="0" y="12"/>
                </a:moveTo>
                <a:lnTo>
                  <a:pt x="1358" y="12"/>
                </a:lnTo>
              </a:path>
            </a:pathLst>
          </a:custGeom>
          <a:noFill/>
          <a:ln w="4763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787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B70369-F263-4776-885A-4EB803282DD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dacity.Scholar/practice-quiz-financial-model-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C2" t="str">
            <v>Year 1</v>
          </cell>
          <cell r="E2">
            <v>5015000000</v>
          </cell>
          <cell r="F2">
            <v>1844000000</v>
          </cell>
          <cell r="G2">
            <v>446000000</v>
          </cell>
          <cell r="H2">
            <v>104000000</v>
          </cell>
          <cell r="K2">
            <v>0.63230309072781654</v>
          </cell>
          <cell r="L2">
            <v>0.5226321036889332</v>
          </cell>
        </row>
        <row r="3">
          <cell r="B3" t="str">
            <v>NAVI</v>
          </cell>
          <cell r="C3" t="str">
            <v>Year 2</v>
          </cell>
          <cell r="E3">
            <v>5115000000</v>
          </cell>
          <cell r="F3">
            <v>1945000000</v>
          </cell>
          <cell r="G3">
            <v>495000000</v>
          </cell>
          <cell r="H3">
            <v>122000000</v>
          </cell>
          <cell r="K3">
            <v>0.61974584555229717</v>
          </cell>
          <cell r="L3">
            <v>0.49912023460410559</v>
          </cell>
        </row>
        <row r="4">
          <cell r="B4" t="str">
            <v>NAVI</v>
          </cell>
          <cell r="C4" t="str">
            <v>Year 3</v>
          </cell>
          <cell r="E4">
            <v>4183000000</v>
          </cell>
          <cell r="F4">
            <v>1479000000</v>
          </cell>
          <cell r="G4">
            <v>545000000</v>
          </cell>
          <cell r="H4">
            <v>137000000</v>
          </cell>
          <cell r="K4">
            <v>0.64642601004064071</v>
          </cell>
          <cell r="L4">
            <v>0.48338513028926605</v>
          </cell>
        </row>
        <row r="5">
          <cell r="B5" t="str">
            <v>PYPL</v>
          </cell>
          <cell r="C5" t="str">
            <v>Year 1</v>
          </cell>
          <cell r="E5">
            <v>8025000000</v>
          </cell>
          <cell r="F5">
            <v>747000000</v>
          </cell>
          <cell r="G5">
            <v>5494000000</v>
          </cell>
          <cell r="H5">
            <v>516000000</v>
          </cell>
          <cell r="K5">
            <v>0.90691588785046728</v>
          </cell>
          <cell r="L5">
            <v>0.158006230529595</v>
          </cell>
        </row>
        <row r="6">
          <cell r="B6" t="str">
            <v>PYPL</v>
          </cell>
          <cell r="C6" t="str">
            <v>Year 2</v>
          </cell>
          <cell r="E6">
            <v>9248000000</v>
          </cell>
          <cell r="F6">
            <v>792000000</v>
          </cell>
          <cell r="G6">
            <v>6339000000</v>
          </cell>
          <cell r="H6">
            <v>608000000</v>
          </cell>
          <cell r="K6">
            <v>0.91435986159169547</v>
          </cell>
          <cell r="L6">
            <v>0.16317041522491349</v>
          </cell>
        </row>
        <row r="7">
          <cell r="B7" t="str">
            <v>PYPL</v>
          </cell>
          <cell r="C7" t="str">
            <v>Year 3</v>
          </cell>
          <cell r="E7">
            <v>10842000000</v>
          </cell>
          <cell r="F7">
            <v>834000000</v>
          </cell>
          <cell r="G7">
            <v>7698000000</v>
          </cell>
          <cell r="H7">
            <v>724000000</v>
          </cell>
          <cell r="K7">
            <v>0.92307692307692313</v>
          </cell>
          <cell r="L7">
            <v>0.14628297362110312</v>
          </cell>
        </row>
        <row r="8">
          <cell r="B8" t="str">
            <v>QRVO</v>
          </cell>
          <cell r="C8" t="str">
            <v>Year 1</v>
          </cell>
          <cell r="E8">
            <v>1148231000</v>
          </cell>
          <cell r="F8">
            <v>940573000</v>
          </cell>
          <cell r="G8">
            <v>180317000</v>
          </cell>
          <cell r="H8">
            <v>0</v>
          </cell>
          <cell r="K8">
            <v>0.18085036895885931</v>
          </cell>
          <cell r="L8">
            <v>2.3811410770132491E-2</v>
          </cell>
        </row>
        <row r="9">
          <cell r="B9" t="str">
            <v>QRVO</v>
          </cell>
          <cell r="C9" t="str">
            <v>Year 2</v>
          </cell>
          <cell r="E9">
            <v>1710966000</v>
          </cell>
          <cell r="F9">
            <v>1279152000</v>
          </cell>
          <cell r="G9">
            <v>309348000</v>
          </cell>
          <cell r="H9">
            <v>0</v>
          </cell>
          <cell r="K9">
            <v>0.25238023432376799</v>
          </cell>
          <cell r="L9">
            <v>7.1577109071717382E-2</v>
          </cell>
        </row>
        <row r="10">
          <cell r="B10" t="str">
            <v>QRVO</v>
          </cell>
          <cell r="C10" t="str">
            <v>Year 3</v>
          </cell>
          <cell r="E10">
            <v>2610726000</v>
          </cell>
          <cell r="F10">
            <v>2009936000</v>
          </cell>
          <cell r="G10">
            <v>588822000</v>
          </cell>
          <cell r="H10">
            <v>0</v>
          </cell>
          <cell r="K10">
            <v>0.23012372803580305</v>
          </cell>
          <cell r="L10">
            <v>4.5841654773423179E-3</v>
          </cell>
        </row>
        <row r="11">
          <cell r="B11" t="str">
            <v>WRK</v>
          </cell>
          <cell r="C11" t="str">
            <v>Year 1</v>
          </cell>
          <cell r="E11">
            <v>9895100000</v>
          </cell>
          <cell r="F11">
            <v>7961500000</v>
          </cell>
          <cell r="G11">
            <v>937600000</v>
          </cell>
          <cell r="H11">
            <v>86000000</v>
          </cell>
          <cell r="K11">
            <v>0.19540984931936012</v>
          </cell>
          <cell r="L11">
            <v>9.1964709805863507E-2</v>
          </cell>
        </row>
        <row r="12">
          <cell r="B12" t="str">
            <v>WRK</v>
          </cell>
          <cell r="C12" t="str">
            <v>Year 2</v>
          </cell>
          <cell r="E12">
            <v>11124800000</v>
          </cell>
          <cell r="F12">
            <v>8986500000</v>
          </cell>
          <cell r="G12">
            <v>1026100000</v>
          </cell>
          <cell r="H12">
            <v>118900000</v>
          </cell>
          <cell r="K12">
            <v>0.19221019703725006</v>
          </cell>
          <cell r="L12">
            <v>8.9286998417949084E-2</v>
          </cell>
        </row>
        <row r="13">
          <cell r="B13" t="str">
            <v>WRK</v>
          </cell>
          <cell r="C13" t="str">
            <v>Year 3</v>
          </cell>
          <cell r="E13">
            <v>14171800000</v>
          </cell>
          <cell r="F13">
            <v>11413200000</v>
          </cell>
          <cell r="G13">
            <v>1750100000</v>
          </cell>
          <cell r="H13">
            <v>211800000</v>
          </cell>
          <cell r="K13">
            <v>0.19465417237048221</v>
          </cell>
          <cell r="L13">
            <v>5.6217276563315884E-2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ibrahimolatayoshittu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03A2-E9C0-41D2-9D84-C57C5FFC9A12}">
  <dimension ref="B3:O28"/>
  <sheetViews>
    <sheetView tabSelected="1" workbookViewId="0">
      <selection activeCell="E6" sqref="E6"/>
    </sheetView>
  </sheetViews>
  <sheetFormatPr defaultRowHeight="15" x14ac:dyDescent="0.25"/>
  <cols>
    <col min="1" max="2" width="9.140625" style="203"/>
    <col min="3" max="3" width="51.7109375" style="203" customWidth="1"/>
    <col min="4" max="16384" width="9.140625" style="203"/>
  </cols>
  <sheetData>
    <row r="3" spans="2:15" x14ac:dyDescent="0.25">
      <c r="B3" s="194"/>
      <c r="C3" s="194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</row>
    <row r="4" spans="2:15" x14ac:dyDescent="0.25">
      <c r="B4" s="194"/>
      <c r="C4" s="194"/>
      <c r="D4" s="194"/>
      <c r="E4" s="194"/>
      <c r="F4" s="194"/>
      <c r="G4" s="194"/>
      <c r="H4" s="194"/>
      <c r="I4" s="194"/>
      <c r="J4" s="194"/>
      <c r="K4" s="194"/>
      <c r="L4" s="194"/>
      <c r="M4" s="194"/>
      <c r="N4" s="194"/>
      <c r="O4" s="194"/>
    </row>
    <row r="5" spans="2:15" x14ac:dyDescent="0.25">
      <c r="B5" s="194"/>
      <c r="C5" s="194"/>
      <c r="D5" s="194"/>
      <c r="E5" s="194"/>
      <c r="F5" s="194"/>
      <c r="G5" s="194"/>
      <c r="H5" s="194"/>
      <c r="I5" s="194"/>
      <c r="J5" s="194"/>
      <c r="K5" s="194"/>
      <c r="L5" s="194"/>
      <c r="M5" s="194"/>
      <c r="N5" s="194"/>
      <c r="O5" s="194"/>
    </row>
    <row r="6" spans="2:15" ht="20.25" x14ac:dyDescent="0.3">
      <c r="B6" s="194"/>
      <c r="C6" s="194"/>
      <c r="D6" s="205"/>
      <c r="E6" s="235" t="s">
        <v>177</v>
      </c>
      <c r="F6" s="194"/>
      <c r="G6" s="194"/>
      <c r="H6" s="194"/>
      <c r="I6" s="194"/>
      <c r="J6" s="194"/>
      <c r="K6" s="194"/>
      <c r="L6" s="194"/>
      <c r="M6" s="194"/>
      <c r="N6" s="194"/>
      <c r="O6" s="194"/>
    </row>
    <row r="7" spans="2:15" x14ac:dyDescent="0.25">
      <c r="B7" s="194"/>
      <c r="C7" s="194"/>
      <c r="D7" s="194"/>
      <c r="E7" s="194"/>
      <c r="F7" s="194"/>
      <c r="G7" s="194"/>
      <c r="H7" s="194"/>
      <c r="I7" s="194"/>
      <c r="J7" s="194"/>
      <c r="K7" s="194"/>
      <c r="L7" s="194"/>
      <c r="M7" s="194"/>
      <c r="N7" s="194"/>
      <c r="O7" s="194"/>
    </row>
    <row r="8" spans="2:15" x14ac:dyDescent="0.25">
      <c r="B8" s="194"/>
      <c r="C8" s="196"/>
      <c r="D8" s="194"/>
      <c r="E8" s="194"/>
      <c r="F8" s="194"/>
      <c r="G8" s="194"/>
      <c r="H8" s="194"/>
      <c r="I8" s="194"/>
      <c r="J8" s="194"/>
      <c r="K8" s="194"/>
      <c r="L8" s="194"/>
      <c r="M8" s="194"/>
      <c r="N8" s="194"/>
      <c r="O8" s="194"/>
    </row>
    <row r="9" spans="2:15" x14ac:dyDescent="0.25">
      <c r="B9" s="194"/>
      <c r="C9" s="196"/>
      <c r="D9" s="194"/>
      <c r="E9" s="194"/>
      <c r="F9" s="194"/>
      <c r="G9" s="194"/>
      <c r="H9" s="194"/>
      <c r="I9" s="194"/>
      <c r="J9" s="194"/>
      <c r="K9" s="194"/>
      <c r="L9" s="194"/>
      <c r="M9" s="194"/>
      <c r="N9" s="194"/>
      <c r="O9" s="194"/>
    </row>
    <row r="10" spans="2:15" ht="27" x14ac:dyDescent="0.35">
      <c r="B10" s="194"/>
      <c r="C10" s="195" t="s">
        <v>180</v>
      </c>
      <c r="D10" s="194"/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</row>
    <row r="11" spans="2:15" x14ac:dyDescent="0.25">
      <c r="B11" s="194"/>
      <c r="C11" s="196"/>
      <c r="D11" s="194"/>
      <c r="E11" s="194"/>
      <c r="F11" s="194"/>
      <c r="G11" s="194"/>
      <c r="H11" s="194"/>
      <c r="I11" s="194"/>
      <c r="J11" s="194"/>
      <c r="K11" s="194"/>
      <c r="L11" s="194"/>
      <c r="M11" s="194"/>
      <c r="N11" s="194"/>
      <c r="O11" s="194"/>
    </row>
    <row r="12" spans="2:15" ht="17.25" thickBot="1" x14ac:dyDescent="0.35">
      <c r="B12" s="194"/>
      <c r="C12" s="197" t="s">
        <v>169</v>
      </c>
      <c r="D12" s="194"/>
      <c r="E12" s="194"/>
      <c r="F12" s="194"/>
      <c r="G12" s="194"/>
      <c r="H12" s="194"/>
      <c r="I12" s="194"/>
      <c r="J12" s="194"/>
      <c r="K12" s="194"/>
      <c r="L12" s="194"/>
      <c r="M12" s="194"/>
      <c r="N12" s="194"/>
      <c r="O12" s="194"/>
    </row>
    <row r="13" spans="2:15" ht="16.5" x14ac:dyDescent="0.3">
      <c r="B13" s="194"/>
      <c r="C13" s="201" t="s">
        <v>175</v>
      </c>
      <c r="D13" s="194"/>
      <c r="E13" s="194"/>
      <c r="F13" s="194"/>
      <c r="G13" s="194"/>
      <c r="H13" s="194"/>
      <c r="I13" s="194"/>
      <c r="J13" s="194"/>
      <c r="K13" s="194"/>
      <c r="L13" s="194"/>
      <c r="M13" s="194"/>
      <c r="N13" s="194"/>
      <c r="O13" s="194"/>
    </row>
    <row r="14" spans="2:15" ht="16.5" x14ac:dyDescent="0.3">
      <c r="B14" s="194"/>
      <c r="C14" s="199" t="s">
        <v>143</v>
      </c>
      <c r="D14" s="194"/>
      <c r="E14" s="194"/>
      <c r="F14" s="194"/>
      <c r="G14" s="194"/>
      <c r="H14" s="194"/>
      <c r="I14" s="194"/>
      <c r="J14" s="194"/>
      <c r="K14" s="194"/>
      <c r="L14" s="194"/>
      <c r="M14" s="194"/>
      <c r="N14" s="194"/>
      <c r="O14" s="194"/>
    </row>
    <row r="15" spans="2:15" ht="16.5" x14ac:dyDescent="0.3">
      <c r="B15" s="194"/>
      <c r="C15" s="199" t="s">
        <v>36</v>
      </c>
      <c r="D15" s="194"/>
      <c r="E15" s="194"/>
      <c r="F15" s="194"/>
      <c r="G15" s="194"/>
      <c r="H15" s="194"/>
      <c r="I15" s="194"/>
      <c r="J15" s="194"/>
      <c r="K15" s="194"/>
      <c r="L15" s="194"/>
      <c r="M15" s="194"/>
      <c r="N15" s="194"/>
      <c r="O15" s="194"/>
    </row>
    <row r="16" spans="2:15" ht="16.5" x14ac:dyDescent="0.3">
      <c r="B16" s="194"/>
      <c r="C16" s="199" t="s">
        <v>172</v>
      </c>
      <c r="D16" s="194"/>
      <c r="E16" s="194"/>
      <c r="F16" s="194"/>
      <c r="G16" s="194"/>
      <c r="H16" s="194"/>
      <c r="I16" s="194"/>
      <c r="J16" s="194"/>
      <c r="K16" s="194"/>
      <c r="L16" s="194"/>
      <c r="M16" s="194"/>
      <c r="N16" s="194"/>
      <c r="O16" s="194"/>
    </row>
    <row r="17" spans="2:15" ht="16.5" x14ac:dyDescent="0.3">
      <c r="B17" s="194"/>
      <c r="C17" s="198"/>
      <c r="D17" s="194"/>
      <c r="E17" s="194"/>
      <c r="F17" s="194"/>
      <c r="G17" s="194"/>
      <c r="H17" s="194"/>
      <c r="I17" s="194"/>
      <c r="J17" s="194"/>
      <c r="K17" s="194"/>
      <c r="L17" s="194"/>
      <c r="M17" s="194"/>
      <c r="N17" s="194"/>
      <c r="O17" s="194"/>
    </row>
    <row r="18" spans="2:15" ht="16.5" x14ac:dyDescent="0.3">
      <c r="B18" s="194"/>
      <c r="C18" s="202" t="s">
        <v>176</v>
      </c>
      <c r="D18" s="194"/>
      <c r="E18" s="194"/>
      <c r="F18" s="194"/>
      <c r="G18" s="194"/>
      <c r="H18" s="194"/>
      <c r="I18" s="194"/>
      <c r="J18" s="194"/>
      <c r="K18" s="194"/>
      <c r="L18" s="194"/>
      <c r="M18" s="194"/>
      <c r="N18" s="194"/>
      <c r="O18" s="194"/>
    </row>
    <row r="19" spans="2:15" ht="16.5" x14ac:dyDescent="0.3">
      <c r="B19" s="194"/>
      <c r="C19" s="200" t="s">
        <v>173</v>
      </c>
      <c r="D19" s="194"/>
      <c r="E19" s="194"/>
      <c r="F19" s="194"/>
      <c r="G19" s="194"/>
      <c r="H19" s="194"/>
      <c r="I19" s="194"/>
      <c r="J19" s="194"/>
      <c r="K19" s="194"/>
      <c r="L19" s="194"/>
      <c r="M19" s="194"/>
      <c r="N19" s="194"/>
      <c r="O19" s="194"/>
    </row>
    <row r="20" spans="2:15" ht="16.5" x14ac:dyDescent="0.3">
      <c r="B20" s="194"/>
      <c r="C20" s="200" t="s">
        <v>174</v>
      </c>
      <c r="D20" s="194"/>
      <c r="E20" s="194"/>
      <c r="F20" s="194"/>
      <c r="G20" s="194"/>
      <c r="H20" s="194"/>
      <c r="I20" s="194"/>
      <c r="J20" s="194"/>
      <c r="K20" s="194"/>
      <c r="L20" s="194"/>
      <c r="M20" s="194"/>
      <c r="N20" s="194"/>
      <c r="O20" s="194"/>
    </row>
    <row r="21" spans="2:15" x14ac:dyDescent="0.25"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</row>
    <row r="22" spans="2:15" x14ac:dyDescent="0.25">
      <c r="B22" s="194"/>
      <c r="C22" s="194"/>
      <c r="D22" s="194"/>
      <c r="E22" s="194"/>
      <c r="F22" s="194"/>
      <c r="G22" s="194"/>
      <c r="H22" s="194"/>
      <c r="I22" s="194"/>
      <c r="J22" s="194"/>
      <c r="K22" s="194"/>
      <c r="L22" s="194"/>
      <c r="M22" s="194"/>
      <c r="N22" s="194"/>
      <c r="O22" s="194"/>
    </row>
    <row r="23" spans="2:15" x14ac:dyDescent="0.25">
      <c r="B23" s="194"/>
      <c r="C23" s="194"/>
      <c r="D23" s="194"/>
      <c r="E23" s="194"/>
      <c r="F23" s="194"/>
      <c r="G23" s="194"/>
      <c r="H23" s="194"/>
      <c r="I23" s="194"/>
      <c r="J23" s="194"/>
      <c r="K23" s="194"/>
      <c r="L23" s="194"/>
      <c r="M23" s="194"/>
      <c r="N23" s="194"/>
      <c r="O23" s="194"/>
    </row>
    <row r="24" spans="2:15" x14ac:dyDescent="0.25">
      <c r="B24" s="194"/>
      <c r="C24" s="194"/>
      <c r="D24" s="194"/>
      <c r="E24" s="194"/>
      <c r="F24" s="194"/>
      <c r="G24" s="194"/>
      <c r="H24" s="194"/>
      <c r="I24" s="194"/>
      <c r="J24" s="194"/>
      <c r="K24" s="194"/>
      <c r="L24" s="194"/>
      <c r="M24" s="194"/>
      <c r="N24" s="194"/>
      <c r="O24" s="194"/>
    </row>
    <row r="25" spans="2:15" x14ac:dyDescent="0.25">
      <c r="B25" s="194"/>
      <c r="C25" s="194"/>
      <c r="D25" s="194"/>
      <c r="E25" s="194"/>
      <c r="F25" s="194"/>
      <c r="G25" s="194"/>
      <c r="H25" s="194"/>
      <c r="I25" s="194"/>
      <c r="J25" s="194"/>
      <c r="K25" s="194"/>
      <c r="L25" s="194"/>
      <c r="M25" s="194"/>
      <c r="N25" s="194"/>
      <c r="O25" s="194"/>
    </row>
    <row r="26" spans="2:15" x14ac:dyDescent="0.25">
      <c r="B26" s="194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</row>
    <row r="27" spans="2:15" x14ac:dyDescent="0.25">
      <c r="B27" s="194"/>
      <c r="C27" s="194"/>
      <c r="D27" s="194"/>
      <c r="E27" s="194"/>
      <c r="F27" s="194"/>
      <c r="G27" s="194"/>
      <c r="H27" s="194"/>
      <c r="I27" s="194"/>
      <c r="J27" s="194"/>
      <c r="K27" s="194"/>
      <c r="L27" s="194"/>
      <c r="M27" s="194"/>
      <c r="N27" s="194"/>
      <c r="O27" s="194"/>
    </row>
    <row r="28" spans="2:15" x14ac:dyDescent="0.25">
      <c r="B28" s="194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</row>
  </sheetData>
  <hyperlinks>
    <hyperlink ref="C14" location="Income_Statement" display="Income Statement" xr:uid="{3675B923-7387-4516-A55A-DFA44BFF51CA}"/>
    <hyperlink ref="C15" location="Balance_Sheet" display="Balance Sheet" xr:uid="{B4B8FC18-D381-44EF-9C9A-8D9703D3C3D3}"/>
    <hyperlink ref="C16" location="CashFlow_Statement" display="Statement of Cash Flow" xr:uid="{F971E9F8-00C8-4182-B5EE-62178B620766}"/>
    <hyperlink ref="C19" location="Financial_Analysis" display="Financial Analysis" xr:uid="{99FFEC04-0814-422D-92E2-F03C61AA8632}"/>
    <hyperlink ref="C20" location="Scenario_Forecast" display="Income Statement Scenario Forecast" xr:uid="{6CEA9D62-90B1-447B-835E-3718EA424F1E}"/>
    <hyperlink ref="E6" r:id="rId1" xr:uid="{BCD65490-6BF2-404F-A026-3DEC4B716B9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3B3A1-17D7-4B5B-8627-CA598D257434}">
  <dimension ref="A1:Q133"/>
  <sheetViews>
    <sheetView topLeftCell="A7" workbookViewId="0">
      <selection activeCell="D52" sqref="D52"/>
    </sheetView>
  </sheetViews>
  <sheetFormatPr defaultRowHeight="15" x14ac:dyDescent="0.25"/>
  <cols>
    <col min="1" max="1" width="34.5703125" bestFit="1" customWidth="1"/>
    <col min="2" max="2" width="9.85546875" bestFit="1" customWidth="1"/>
    <col min="3" max="3" width="13.5703125" bestFit="1" customWidth="1"/>
    <col min="4" max="4" width="12.42578125" bestFit="1" customWidth="1"/>
    <col min="5" max="5" width="12.28515625" bestFit="1" customWidth="1"/>
    <col min="6" max="6" width="13.7109375" bestFit="1" customWidth="1"/>
    <col min="8" max="8" width="14" bestFit="1" customWidth="1"/>
    <col min="9" max="9" width="12.28515625" bestFit="1" customWidth="1"/>
    <col min="10" max="10" width="13.42578125" customWidth="1"/>
    <col min="11" max="11" width="12.28515625" bestFit="1" customWidth="1"/>
    <col min="12" max="12" width="11.42578125" customWidth="1"/>
    <col min="13" max="13" width="11.7109375" customWidth="1"/>
    <col min="15" max="15" width="11.7109375" bestFit="1" customWidth="1"/>
  </cols>
  <sheetData>
    <row r="1" spans="1:11" ht="18" x14ac:dyDescent="0.25">
      <c r="A1" s="1" t="s">
        <v>0</v>
      </c>
    </row>
    <row r="3" spans="1:11" ht="20.25" x14ac:dyDescent="0.25">
      <c r="A3" s="2"/>
    </row>
    <row r="4" spans="1:11" x14ac:dyDescent="0.25">
      <c r="A4" s="3"/>
      <c r="B4" s="3" t="s">
        <v>1</v>
      </c>
      <c r="H4" s="3" t="s">
        <v>2</v>
      </c>
    </row>
    <row r="5" spans="1:11" ht="15.75" thickBot="1" x14ac:dyDescent="0.3"/>
    <row r="6" spans="1:11" x14ac:dyDescent="0.25">
      <c r="A6" s="231"/>
      <c r="B6" s="7"/>
      <c r="C6" s="7">
        <v>2018</v>
      </c>
      <c r="D6" s="7">
        <v>2019</v>
      </c>
      <c r="E6" s="7">
        <v>2020</v>
      </c>
      <c r="F6" s="7">
        <v>2021</v>
      </c>
      <c r="H6" s="7">
        <v>2021</v>
      </c>
      <c r="I6" s="7">
        <v>2020</v>
      </c>
      <c r="J6" s="7">
        <v>2019</v>
      </c>
      <c r="K6" s="7">
        <v>2018</v>
      </c>
    </row>
    <row r="7" spans="1:11" ht="24.75" thickBot="1" x14ac:dyDescent="0.3">
      <c r="A7" s="232"/>
      <c r="B7" s="21" t="s">
        <v>3</v>
      </c>
      <c r="C7" s="8" t="s">
        <v>4</v>
      </c>
      <c r="D7" s="8" t="s">
        <v>31</v>
      </c>
      <c r="E7" s="23" t="s">
        <v>26</v>
      </c>
      <c r="F7" s="23" t="s">
        <v>26</v>
      </c>
      <c r="H7" s="23" t="s">
        <v>26</v>
      </c>
      <c r="I7" s="23" t="s">
        <v>26</v>
      </c>
      <c r="J7" s="8" t="s">
        <v>31</v>
      </c>
      <c r="K7" s="8" t="s">
        <v>4</v>
      </c>
    </row>
    <row r="8" spans="1:11" ht="15.75" thickTop="1" x14ac:dyDescent="0.25">
      <c r="A8" s="9"/>
      <c r="B8" s="9"/>
      <c r="C8" s="9"/>
      <c r="D8" s="9"/>
      <c r="E8" s="9"/>
      <c r="F8" s="9"/>
      <c r="H8" s="9"/>
      <c r="I8" s="9"/>
      <c r="J8" s="9"/>
      <c r="K8" s="9"/>
    </row>
    <row r="9" spans="1:11" x14ac:dyDescent="0.25">
      <c r="A9" s="24" t="s">
        <v>5</v>
      </c>
      <c r="B9" s="25">
        <v>8</v>
      </c>
      <c r="C9" s="11">
        <v>1039117810</v>
      </c>
      <c r="D9" s="10">
        <v>1169831</v>
      </c>
      <c r="E9" s="27">
        <v>1346390</v>
      </c>
      <c r="F9" s="26">
        <v>1654299</v>
      </c>
      <c r="H9" s="28">
        <v>1652925</v>
      </c>
      <c r="I9" s="27">
        <v>1346288</v>
      </c>
      <c r="J9" s="10">
        <v>1167515</v>
      </c>
      <c r="K9" s="10">
        <v>1037067731</v>
      </c>
    </row>
    <row r="10" spans="1:11" ht="24" customHeight="1" x14ac:dyDescent="0.25">
      <c r="A10" s="24" t="s">
        <v>6</v>
      </c>
      <c r="B10" s="25">
        <v>9</v>
      </c>
      <c r="C10" s="11">
        <v>2225066</v>
      </c>
      <c r="D10" s="11">
        <v>0</v>
      </c>
      <c r="E10" s="22">
        <v>104</v>
      </c>
      <c r="F10" s="22">
        <v>0</v>
      </c>
      <c r="H10" s="25">
        <v>0</v>
      </c>
      <c r="I10" s="22">
        <v>104</v>
      </c>
      <c r="J10" s="12">
        <v>0</v>
      </c>
      <c r="K10" s="11">
        <v>2225066</v>
      </c>
    </row>
    <row r="11" spans="1:11" x14ac:dyDescent="0.25">
      <c r="A11" s="24" t="s">
        <v>7</v>
      </c>
      <c r="B11" s="25">
        <v>14</v>
      </c>
      <c r="C11" s="11">
        <v>305519088</v>
      </c>
      <c r="D11" s="11">
        <v>246604</v>
      </c>
      <c r="E11" s="27">
        <v>310248</v>
      </c>
      <c r="F11" s="29">
        <v>390471</v>
      </c>
      <c r="H11" s="28">
        <v>390471</v>
      </c>
      <c r="I11" s="27">
        <v>310248</v>
      </c>
      <c r="J11" s="11">
        <v>246550</v>
      </c>
      <c r="K11" s="11">
        <v>305244580</v>
      </c>
    </row>
    <row r="12" spans="1:11" x14ac:dyDescent="0.25">
      <c r="A12" s="24" t="s">
        <v>8</v>
      </c>
      <c r="B12" s="18"/>
      <c r="C12" s="11">
        <v>16643563</v>
      </c>
      <c r="D12" s="11">
        <v>12459</v>
      </c>
      <c r="E12" s="27">
        <v>12820</v>
      </c>
      <c r="F12" s="29">
        <v>19395</v>
      </c>
      <c r="H12" s="30">
        <v>19395</v>
      </c>
      <c r="I12" s="27">
        <v>12820</v>
      </c>
      <c r="J12" s="11">
        <v>12462</v>
      </c>
      <c r="K12" s="11">
        <v>16627876</v>
      </c>
    </row>
    <row r="13" spans="1:11" ht="22.5" x14ac:dyDescent="0.25">
      <c r="A13" s="24" t="s">
        <v>27</v>
      </c>
      <c r="B13" s="18"/>
      <c r="C13" s="11">
        <v>6191729</v>
      </c>
      <c r="D13" s="11">
        <v>12766</v>
      </c>
      <c r="E13" s="27">
        <v>20566</v>
      </c>
      <c r="F13" s="31">
        <v>4233</v>
      </c>
      <c r="H13" s="26">
        <v>4233</v>
      </c>
      <c r="I13" s="27">
        <v>20566</v>
      </c>
      <c r="J13" s="11">
        <v>12766</v>
      </c>
      <c r="K13" s="11">
        <v>6176000</v>
      </c>
    </row>
    <row r="14" spans="1:11" ht="24" customHeight="1" x14ac:dyDescent="0.25">
      <c r="A14" s="24" t="s">
        <v>9</v>
      </c>
      <c r="B14" s="18"/>
      <c r="C14" s="11">
        <v>95630222</v>
      </c>
      <c r="D14" s="11">
        <v>105250</v>
      </c>
      <c r="E14" s="27">
        <v>112470</v>
      </c>
      <c r="F14" s="29">
        <v>127570</v>
      </c>
      <c r="H14" s="28">
        <v>127570</v>
      </c>
      <c r="I14" s="27">
        <v>112470</v>
      </c>
      <c r="J14" s="11">
        <v>105250</v>
      </c>
      <c r="K14" s="11">
        <v>95617279</v>
      </c>
    </row>
    <row r="15" spans="1:11" ht="24" customHeight="1" x14ac:dyDescent="0.25">
      <c r="A15" s="24" t="s">
        <v>10</v>
      </c>
      <c r="B15" s="18"/>
      <c r="C15" s="11">
        <v>4173205</v>
      </c>
      <c r="D15" s="11">
        <v>4038</v>
      </c>
      <c r="E15" s="27">
        <v>2956</v>
      </c>
      <c r="F15" s="31">
        <v>4144</v>
      </c>
      <c r="H15" s="26">
        <v>4144</v>
      </c>
      <c r="I15" s="27">
        <v>2956</v>
      </c>
      <c r="J15" s="11">
        <v>4021</v>
      </c>
      <c r="K15" s="11">
        <v>4182265</v>
      </c>
    </row>
    <row r="16" spans="1:11" x14ac:dyDescent="0.25">
      <c r="A16" s="24" t="s">
        <v>11</v>
      </c>
      <c r="B16" s="18"/>
      <c r="C16" s="11">
        <v>5508549</v>
      </c>
      <c r="D16" s="11">
        <v>5553</v>
      </c>
      <c r="E16" s="27">
        <v>6106</v>
      </c>
      <c r="F16" s="31">
        <v>8651</v>
      </c>
      <c r="H16" s="26">
        <v>8651</v>
      </c>
      <c r="I16" s="27">
        <v>6106</v>
      </c>
      <c r="J16" s="11">
        <v>5688</v>
      </c>
      <c r="K16" s="11">
        <v>5508549</v>
      </c>
    </row>
    <row r="17" spans="1:11" x14ac:dyDescent="0.25">
      <c r="A17" s="24" t="s">
        <v>28</v>
      </c>
      <c r="B17" s="18"/>
      <c r="C17" s="11">
        <v>51287375</v>
      </c>
      <c r="D17" s="11">
        <v>56586</v>
      </c>
      <c r="E17" s="27">
        <v>68528</v>
      </c>
      <c r="F17" s="29">
        <v>78199</v>
      </c>
      <c r="H17" s="30">
        <v>76555</v>
      </c>
      <c r="I17" s="27">
        <v>68148</v>
      </c>
      <c r="J17" s="11">
        <v>56569</v>
      </c>
      <c r="K17" s="11">
        <v>51287375</v>
      </c>
    </row>
    <row r="18" spans="1:11" ht="22.5" x14ac:dyDescent="0.25">
      <c r="A18" s="24" t="s">
        <v>12</v>
      </c>
      <c r="B18" s="18"/>
      <c r="C18" s="11">
        <v>16274390</v>
      </c>
      <c r="D18" s="11">
        <v>19848</v>
      </c>
      <c r="E18" s="27">
        <v>15144</v>
      </c>
      <c r="F18" s="29">
        <v>21453</v>
      </c>
      <c r="H18" s="30">
        <v>19338</v>
      </c>
      <c r="I18" s="27">
        <v>13144</v>
      </c>
      <c r="J18" s="11">
        <v>18830</v>
      </c>
      <c r="K18" s="11">
        <v>16274390</v>
      </c>
    </row>
    <row r="19" spans="1:11" ht="24" customHeight="1" x14ac:dyDescent="0.25">
      <c r="A19" s="24" t="s">
        <v>13</v>
      </c>
      <c r="B19" s="25">
        <v>12</v>
      </c>
      <c r="C19" s="11">
        <v>27152445</v>
      </c>
      <c r="D19" s="11">
        <v>30707</v>
      </c>
      <c r="E19" s="27">
        <v>45325</v>
      </c>
      <c r="F19" s="29">
        <v>48381</v>
      </c>
      <c r="H19" s="30">
        <v>47486</v>
      </c>
      <c r="I19" s="27">
        <v>44598</v>
      </c>
      <c r="J19" s="11">
        <v>30707</v>
      </c>
      <c r="K19" s="11">
        <v>27152445</v>
      </c>
    </row>
    <row r="20" spans="1:11" x14ac:dyDescent="0.25">
      <c r="A20" s="24" t="s">
        <v>29</v>
      </c>
      <c r="B20" s="25">
        <v>16</v>
      </c>
      <c r="C20" s="11">
        <v>141162479</v>
      </c>
      <c r="D20" s="11">
        <v>147807</v>
      </c>
      <c r="E20" s="27">
        <v>150203</v>
      </c>
      <c r="F20" s="29">
        <v>162544</v>
      </c>
      <c r="H20" s="28">
        <v>162544</v>
      </c>
      <c r="I20" s="27">
        <v>150203</v>
      </c>
      <c r="J20" s="11">
        <v>147807</v>
      </c>
      <c r="K20" s="11">
        <v>141162479</v>
      </c>
    </row>
    <row r="21" spans="1:11" x14ac:dyDescent="0.25">
      <c r="A21" s="24" t="s">
        <v>15</v>
      </c>
      <c r="B21" s="25">
        <v>18</v>
      </c>
      <c r="C21" s="11">
        <v>26700181</v>
      </c>
      <c r="D21" s="11">
        <v>29997</v>
      </c>
      <c r="E21" s="27">
        <v>36699</v>
      </c>
      <c r="F21" s="29">
        <v>43945</v>
      </c>
      <c r="H21" s="30">
        <v>38627</v>
      </c>
      <c r="I21" s="27">
        <v>31381</v>
      </c>
      <c r="J21" s="11">
        <v>24643</v>
      </c>
      <c r="K21" s="11">
        <v>21346862</v>
      </c>
    </row>
    <row r="22" spans="1:11" x14ac:dyDescent="0.25">
      <c r="A22" s="24" t="s">
        <v>16</v>
      </c>
      <c r="B22" s="25">
        <v>17</v>
      </c>
      <c r="C22" s="6">
        <v>0</v>
      </c>
      <c r="D22" s="11">
        <v>54002</v>
      </c>
      <c r="E22" s="27">
        <v>72125</v>
      </c>
      <c r="F22" s="29">
        <v>85835</v>
      </c>
      <c r="H22" s="30">
        <v>85835</v>
      </c>
      <c r="I22" s="27">
        <v>72125</v>
      </c>
      <c r="J22" s="11">
        <v>54002</v>
      </c>
      <c r="K22" s="6"/>
    </row>
    <row r="23" spans="1:11" ht="24" x14ac:dyDescent="0.25">
      <c r="A23" s="9" t="s">
        <v>18</v>
      </c>
      <c r="B23" s="5">
        <v>46</v>
      </c>
      <c r="C23" s="11">
        <v>19192309</v>
      </c>
      <c r="D23" s="6">
        <v>0</v>
      </c>
      <c r="E23" s="27">
        <v>0</v>
      </c>
      <c r="F23" s="29">
        <v>0</v>
      </c>
      <c r="H23" s="30">
        <v>0</v>
      </c>
      <c r="I23" s="27">
        <v>0</v>
      </c>
      <c r="J23" s="6">
        <v>0</v>
      </c>
      <c r="K23" s="11">
        <v>19192309</v>
      </c>
    </row>
    <row r="24" spans="1:11" ht="15.75" thickBot="1" x14ac:dyDescent="0.3">
      <c r="A24" s="24" t="s">
        <v>19</v>
      </c>
      <c r="B24" s="25">
        <v>13</v>
      </c>
      <c r="C24" s="13">
        <v>59793564</v>
      </c>
      <c r="D24" s="13">
        <v>50989</v>
      </c>
      <c r="E24" s="33">
        <v>66591</v>
      </c>
      <c r="F24" s="32">
        <v>74731</v>
      </c>
      <c r="H24" s="34">
        <v>71658</v>
      </c>
      <c r="I24" s="33">
        <v>64530</v>
      </c>
      <c r="J24" s="13">
        <v>50477</v>
      </c>
      <c r="K24" s="13">
        <v>58566309</v>
      </c>
    </row>
    <row r="25" spans="1:11" x14ac:dyDescent="0.25">
      <c r="A25" s="24" t="s">
        <v>20</v>
      </c>
      <c r="B25" s="18"/>
      <c r="C25" s="11">
        <v>266113777</v>
      </c>
      <c r="D25" s="11">
        <v>393225</v>
      </c>
      <c r="E25" s="27">
        <v>426713</v>
      </c>
      <c r="F25" s="29">
        <v>584747</v>
      </c>
      <c r="H25" s="30">
        <v>596418</v>
      </c>
      <c r="I25" s="27">
        <v>437097</v>
      </c>
      <c r="J25" s="11">
        <v>397743</v>
      </c>
      <c r="K25" s="14">
        <v>270954079</v>
      </c>
    </row>
    <row r="26" spans="1:11" x14ac:dyDescent="0.25">
      <c r="A26" s="24" t="s">
        <v>21</v>
      </c>
      <c r="B26" s="25">
        <v>10</v>
      </c>
      <c r="C26" s="11">
        <v>22568339</v>
      </c>
      <c r="D26" s="11">
        <v>20132</v>
      </c>
      <c r="E26" s="27">
        <v>15848</v>
      </c>
      <c r="F26" s="31">
        <v>11938</v>
      </c>
      <c r="H26" s="26">
        <v>11938</v>
      </c>
      <c r="I26" s="27">
        <v>15835</v>
      </c>
      <c r="J26" s="11">
        <v>20205</v>
      </c>
      <c r="K26" s="11">
        <v>21910265</v>
      </c>
    </row>
    <row r="27" spans="1:11" ht="15.75" thickBot="1" x14ac:dyDescent="0.3">
      <c r="A27" s="24" t="s">
        <v>22</v>
      </c>
      <c r="B27" s="25">
        <v>11</v>
      </c>
      <c r="C27" s="13">
        <v>67339468</v>
      </c>
      <c r="D27" s="13">
        <v>122080</v>
      </c>
      <c r="E27" s="33">
        <v>143687</v>
      </c>
      <c r="F27" s="32">
        <v>159998</v>
      </c>
      <c r="H27" s="35">
        <v>159998</v>
      </c>
      <c r="I27" s="33">
        <v>143687</v>
      </c>
      <c r="J27" s="13">
        <v>122080</v>
      </c>
      <c r="K27" s="13">
        <v>67339468</v>
      </c>
    </row>
    <row r="28" spans="1:11" x14ac:dyDescent="0.25">
      <c r="A28" s="24" t="s">
        <v>23</v>
      </c>
      <c r="B28" s="18"/>
      <c r="C28" s="11">
        <v>221342648</v>
      </c>
      <c r="D28" s="11">
        <v>291277</v>
      </c>
      <c r="E28" s="27">
        <v>298874</v>
      </c>
      <c r="F28" s="29">
        <v>436687</v>
      </c>
      <c r="H28" s="30">
        <v>448358</v>
      </c>
      <c r="I28" s="27">
        <v>309245</v>
      </c>
      <c r="J28" s="10">
        <v>295868</v>
      </c>
      <c r="K28" s="10">
        <v>225524876</v>
      </c>
    </row>
    <row r="29" spans="1:11" ht="15.75" thickBot="1" x14ac:dyDescent="0.3">
      <c r="A29" s="24" t="s">
        <v>24</v>
      </c>
      <c r="B29" s="25">
        <v>15</v>
      </c>
      <c r="C29" s="13">
        <v>75656747</v>
      </c>
      <c r="D29" s="13">
        <v>87994</v>
      </c>
      <c r="E29" s="33">
        <v>93660</v>
      </c>
      <c r="F29" s="32">
        <v>138033</v>
      </c>
      <c r="H29" s="35">
        <v>141534</v>
      </c>
      <c r="I29" s="33">
        <v>96763</v>
      </c>
      <c r="J29" s="13">
        <v>89386</v>
      </c>
      <c r="K29" s="13">
        <v>76894322</v>
      </c>
    </row>
    <row r="30" spans="1:11" ht="15.75" thickBot="1" x14ac:dyDescent="0.3">
      <c r="A30" s="24" t="s">
        <v>25</v>
      </c>
      <c r="B30" s="18"/>
      <c r="C30" s="15">
        <v>145685901</v>
      </c>
      <c r="D30" s="15">
        <v>203283</v>
      </c>
      <c r="E30" s="37">
        <v>205214</v>
      </c>
      <c r="F30" s="36">
        <v>298654</v>
      </c>
      <c r="H30" s="38">
        <v>306824</v>
      </c>
      <c r="I30" s="37">
        <v>212482</v>
      </c>
      <c r="J30" s="16">
        <v>206482</v>
      </c>
      <c r="K30" s="16">
        <v>148630554</v>
      </c>
    </row>
    <row r="31" spans="1:11" ht="15.75" thickTop="1" x14ac:dyDescent="0.25">
      <c r="A31" s="9"/>
      <c r="B31" s="9"/>
      <c r="C31" s="4"/>
      <c r="D31" s="4"/>
      <c r="E31" s="9"/>
      <c r="F31" s="9"/>
      <c r="H31" s="9"/>
      <c r="I31" s="9"/>
      <c r="J31" s="4"/>
      <c r="K31" s="4"/>
    </row>
    <row r="32" spans="1:11" ht="15.75" thickBot="1" x14ac:dyDescent="0.3">
      <c r="A32" s="24" t="s">
        <v>37</v>
      </c>
      <c r="B32" s="20">
        <v>42.1</v>
      </c>
      <c r="C32" s="8">
        <v>7.16</v>
      </c>
      <c r="D32" s="23">
        <v>9.99</v>
      </c>
      <c r="E32" s="39">
        <v>10.08</v>
      </c>
      <c r="F32" s="39">
        <v>14.67</v>
      </c>
      <c r="H32" s="40">
        <v>15.07</v>
      </c>
      <c r="I32" s="23">
        <v>10.44</v>
      </c>
      <c r="J32" s="17">
        <v>10.14</v>
      </c>
      <c r="K32" s="8">
        <v>7.3</v>
      </c>
    </row>
    <row r="33" spans="1:11" ht="15.75" thickTop="1" x14ac:dyDescent="0.25"/>
    <row r="34" spans="1:11" ht="15.75" thickBot="1" x14ac:dyDescent="0.3">
      <c r="A34" s="58" t="s">
        <v>71</v>
      </c>
    </row>
    <row r="35" spans="1:11" ht="15.75" thickBot="1" x14ac:dyDescent="0.3">
      <c r="A35" s="230"/>
      <c r="B35" s="230"/>
      <c r="C35" s="67" t="s">
        <v>1</v>
      </c>
      <c r="D35" s="49"/>
      <c r="E35" s="49"/>
      <c r="F35" s="49"/>
      <c r="H35" s="68" t="s">
        <v>2</v>
      </c>
      <c r="I35" s="49"/>
      <c r="J35" s="49"/>
      <c r="K35" s="49"/>
    </row>
    <row r="36" spans="1:11" x14ac:dyDescent="0.25">
      <c r="A36" s="231"/>
      <c r="B36" s="19"/>
      <c r="C36" s="22">
        <v>2018</v>
      </c>
      <c r="D36" s="7">
        <v>2019</v>
      </c>
      <c r="E36" s="22">
        <v>2020</v>
      </c>
      <c r="F36" s="22">
        <v>2021</v>
      </c>
      <c r="H36" s="22">
        <v>2021</v>
      </c>
      <c r="I36" s="22">
        <v>2020</v>
      </c>
      <c r="J36" s="7">
        <v>2019</v>
      </c>
      <c r="K36" s="22">
        <v>2018</v>
      </c>
    </row>
    <row r="37" spans="1:11" ht="24.75" thickBot="1" x14ac:dyDescent="0.3">
      <c r="A37" s="232"/>
      <c r="B37" s="23" t="s">
        <v>3</v>
      </c>
      <c r="C37" s="23" t="s">
        <v>4</v>
      </c>
      <c r="D37" s="8" t="s">
        <v>31</v>
      </c>
      <c r="E37" s="23" t="s">
        <v>26</v>
      </c>
      <c r="F37" s="23" t="s">
        <v>26</v>
      </c>
      <c r="H37" s="23" t="s">
        <v>26</v>
      </c>
      <c r="I37" s="23" t="s">
        <v>26</v>
      </c>
      <c r="J37" s="8" t="s">
        <v>31</v>
      </c>
      <c r="K37" s="23" t="s">
        <v>4</v>
      </c>
    </row>
    <row r="38" spans="1:11" ht="15.75" thickTop="1" x14ac:dyDescent="0.25">
      <c r="A38" s="72" t="s">
        <v>38</v>
      </c>
      <c r="B38" s="57"/>
      <c r="C38" s="57"/>
      <c r="D38" s="73"/>
      <c r="E38" s="57"/>
      <c r="F38" s="57"/>
      <c r="H38" s="57"/>
      <c r="I38" s="57"/>
      <c r="J38" s="73"/>
      <c r="K38" s="57"/>
    </row>
    <row r="39" spans="1:11" x14ac:dyDescent="0.25">
      <c r="A39" s="72" t="s">
        <v>114</v>
      </c>
      <c r="B39" s="18"/>
      <c r="C39" s="18"/>
      <c r="D39" s="53"/>
      <c r="E39" s="18"/>
      <c r="F39" s="18"/>
      <c r="H39" s="18"/>
      <c r="I39" s="18"/>
      <c r="J39" s="53"/>
      <c r="K39" s="18"/>
    </row>
    <row r="40" spans="1:11" x14ac:dyDescent="0.25">
      <c r="A40" s="24" t="s">
        <v>72</v>
      </c>
      <c r="B40" s="22">
        <v>16</v>
      </c>
      <c r="C40" s="27">
        <v>607023544</v>
      </c>
      <c r="D40" s="27">
        <v>625095</v>
      </c>
      <c r="E40" s="27">
        <v>686157</v>
      </c>
      <c r="F40" s="29">
        <v>774113</v>
      </c>
      <c r="H40" s="30">
        <v>774113</v>
      </c>
      <c r="I40" s="27">
        <v>686157</v>
      </c>
      <c r="J40" s="27">
        <v>625095</v>
      </c>
      <c r="K40" s="27">
        <v>606962868</v>
      </c>
    </row>
    <row r="41" spans="1:11" x14ac:dyDescent="0.25">
      <c r="A41" s="24" t="s">
        <v>40</v>
      </c>
      <c r="B41" s="22">
        <v>17</v>
      </c>
      <c r="C41" s="27">
        <v>0</v>
      </c>
      <c r="D41" s="27">
        <v>476357</v>
      </c>
      <c r="E41" s="27">
        <v>595745</v>
      </c>
      <c r="F41" s="29">
        <v>613812</v>
      </c>
      <c r="H41" s="30">
        <v>613812</v>
      </c>
      <c r="I41" s="27">
        <v>595745</v>
      </c>
      <c r="J41" s="27">
        <v>476357</v>
      </c>
      <c r="K41" s="22"/>
    </row>
    <row r="42" spans="1:11" x14ac:dyDescent="0.25">
      <c r="A42" s="24" t="s">
        <v>41</v>
      </c>
      <c r="B42" s="22">
        <v>18</v>
      </c>
      <c r="C42" s="27">
        <v>119368123</v>
      </c>
      <c r="D42" s="27">
        <v>120946</v>
      </c>
      <c r="E42" s="27">
        <v>111080</v>
      </c>
      <c r="F42" s="29">
        <v>245558</v>
      </c>
      <c r="H42" s="30">
        <v>219324</v>
      </c>
      <c r="I42" s="27">
        <v>79525</v>
      </c>
      <c r="J42" s="27">
        <v>84072</v>
      </c>
      <c r="K42" s="27">
        <v>77107651</v>
      </c>
    </row>
    <row r="43" spans="1:11" ht="15.75" customHeight="1" x14ac:dyDescent="0.25">
      <c r="A43" s="24" t="s">
        <v>42</v>
      </c>
      <c r="B43" s="22">
        <v>19</v>
      </c>
      <c r="C43" s="27">
        <v>0</v>
      </c>
      <c r="D43" s="27">
        <v>0</v>
      </c>
      <c r="E43" s="27">
        <v>0</v>
      </c>
      <c r="F43" s="27">
        <v>0</v>
      </c>
      <c r="H43" s="26">
        <v>57928</v>
      </c>
      <c r="I43" s="27">
        <v>49328</v>
      </c>
      <c r="J43" s="27">
        <v>45578</v>
      </c>
      <c r="K43" s="27">
        <v>43828000</v>
      </c>
    </row>
    <row r="44" spans="1:11" x14ac:dyDescent="0.25">
      <c r="A44" s="24" t="s">
        <v>43</v>
      </c>
      <c r="B44" s="22">
        <v>31</v>
      </c>
      <c r="C44" s="27">
        <v>3766048</v>
      </c>
      <c r="D44" s="27">
        <v>4852</v>
      </c>
      <c r="E44" s="27">
        <v>7990</v>
      </c>
      <c r="F44" s="31">
        <v>5602</v>
      </c>
      <c r="H44" s="26">
        <v>5602</v>
      </c>
      <c r="I44" s="27">
        <v>7990</v>
      </c>
      <c r="J44" s="27">
        <v>4852</v>
      </c>
      <c r="K44" s="27">
        <v>3766048</v>
      </c>
    </row>
    <row r="45" spans="1:11" ht="12.75" customHeight="1" x14ac:dyDescent="0.25">
      <c r="A45" s="24" t="s">
        <v>73</v>
      </c>
      <c r="B45" s="22">
        <v>23</v>
      </c>
      <c r="C45" s="27">
        <v>0</v>
      </c>
      <c r="D45" s="27">
        <v>12145</v>
      </c>
      <c r="E45" s="27">
        <v>25847</v>
      </c>
      <c r="F45" s="31">
        <v>10845</v>
      </c>
      <c r="H45" s="26">
        <v>10845</v>
      </c>
      <c r="I45" s="27">
        <v>25847</v>
      </c>
      <c r="J45" s="27">
        <v>12145</v>
      </c>
      <c r="K45" s="27">
        <v>0</v>
      </c>
    </row>
    <row r="46" spans="1:11" ht="15.75" thickBot="1" x14ac:dyDescent="0.3">
      <c r="A46" s="24" t="s">
        <v>44</v>
      </c>
      <c r="B46" s="22">
        <v>22</v>
      </c>
      <c r="C46" s="33">
        <v>15726985</v>
      </c>
      <c r="D46" s="33">
        <v>0</v>
      </c>
      <c r="E46" s="33">
        <v>13906</v>
      </c>
      <c r="F46" s="59">
        <v>12340</v>
      </c>
      <c r="H46" s="52">
        <v>12340</v>
      </c>
      <c r="I46" s="33">
        <v>13906</v>
      </c>
      <c r="J46" s="27">
        <v>0</v>
      </c>
      <c r="K46" s="33">
        <v>15726985</v>
      </c>
    </row>
    <row r="47" spans="1:11" ht="15.75" thickBot="1" x14ac:dyDescent="0.3">
      <c r="A47" s="18"/>
      <c r="B47" s="18"/>
      <c r="C47" s="33">
        <v>745884700</v>
      </c>
      <c r="D47" s="33">
        <v>1239395</v>
      </c>
      <c r="E47" s="33">
        <v>1440725</v>
      </c>
      <c r="F47" s="52">
        <v>1662270</v>
      </c>
      <c r="H47" s="50">
        <v>1693964</v>
      </c>
      <c r="I47" s="33">
        <v>1458498</v>
      </c>
      <c r="J47" s="33">
        <v>1248099</v>
      </c>
      <c r="K47" s="33">
        <v>747391552</v>
      </c>
    </row>
    <row r="48" spans="1:11" x14ac:dyDescent="0.25">
      <c r="A48" s="72" t="s">
        <v>45</v>
      </c>
      <c r="B48" s="18"/>
      <c r="C48" s="69"/>
      <c r="D48" s="74"/>
      <c r="E48" s="18"/>
      <c r="F48" s="18"/>
      <c r="H48" s="18"/>
      <c r="I48" s="18"/>
      <c r="J48" s="74"/>
      <c r="K48" s="69"/>
    </row>
    <row r="49" spans="1:11" x14ac:dyDescent="0.25">
      <c r="A49" s="24" t="s">
        <v>46</v>
      </c>
      <c r="B49" s="22">
        <v>21</v>
      </c>
      <c r="C49" s="30">
        <v>1538766</v>
      </c>
      <c r="D49" s="22">
        <v>909</v>
      </c>
      <c r="E49" s="27">
        <v>2158</v>
      </c>
      <c r="F49" s="31">
        <v>5310</v>
      </c>
      <c r="H49" s="26">
        <v>5310</v>
      </c>
      <c r="I49" s="27">
        <v>2158</v>
      </c>
      <c r="J49" s="22">
        <v>909</v>
      </c>
      <c r="K49" s="30">
        <v>1545496</v>
      </c>
    </row>
    <row r="50" spans="1:11" x14ac:dyDescent="0.25">
      <c r="A50" s="24" t="s">
        <v>47</v>
      </c>
      <c r="B50" s="22">
        <v>22</v>
      </c>
      <c r="C50" s="27">
        <v>38617124</v>
      </c>
      <c r="D50" s="27">
        <v>52824</v>
      </c>
      <c r="E50" s="27">
        <v>50766</v>
      </c>
      <c r="F50" s="29">
        <v>127232</v>
      </c>
      <c r="H50" s="30">
        <v>135958</v>
      </c>
      <c r="I50" s="27">
        <v>53110</v>
      </c>
      <c r="J50" s="27">
        <v>54019</v>
      </c>
      <c r="K50" s="27">
        <v>38485289</v>
      </c>
    </row>
    <row r="51" spans="1:11" x14ac:dyDescent="0.25">
      <c r="A51" s="24" t="s">
        <v>48</v>
      </c>
      <c r="B51" s="22">
        <v>23</v>
      </c>
      <c r="C51" s="27">
        <v>65468259</v>
      </c>
      <c r="D51" s="27">
        <v>54827</v>
      </c>
      <c r="E51" s="27">
        <v>146783</v>
      </c>
      <c r="F51" s="31">
        <v>57664</v>
      </c>
      <c r="H51" s="26">
        <v>57664</v>
      </c>
      <c r="I51" s="27">
        <v>146783</v>
      </c>
      <c r="J51" s="27">
        <v>54827</v>
      </c>
      <c r="K51" s="27">
        <v>65468259</v>
      </c>
    </row>
    <row r="52" spans="1:11" x14ac:dyDescent="0.25">
      <c r="A52" s="24" t="s">
        <v>49</v>
      </c>
      <c r="B52" s="22">
        <v>24</v>
      </c>
      <c r="C52" s="27">
        <v>37219023</v>
      </c>
      <c r="D52" s="27">
        <v>38050</v>
      </c>
      <c r="E52" s="27">
        <v>47913</v>
      </c>
      <c r="F52" s="29">
        <v>146188</v>
      </c>
      <c r="H52" s="30">
        <v>146188</v>
      </c>
      <c r="I52" s="27">
        <v>47913</v>
      </c>
      <c r="J52" s="27">
        <v>38000</v>
      </c>
      <c r="K52" s="27">
        <v>37169023</v>
      </c>
    </row>
    <row r="53" spans="1:11" ht="15.75" thickBot="1" x14ac:dyDescent="0.3">
      <c r="A53" s="24" t="s">
        <v>50</v>
      </c>
      <c r="B53" s="22">
        <v>25</v>
      </c>
      <c r="C53" s="33">
        <v>53011748</v>
      </c>
      <c r="D53" s="33">
        <v>116278</v>
      </c>
      <c r="E53" s="33">
        <v>275198</v>
      </c>
      <c r="F53" s="32">
        <v>260891</v>
      </c>
      <c r="H53" s="34">
        <v>247025</v>
      </c>
      <c r="I53" s="33">
        <v>271041</v>
      </c>
      <c r="J53" s="33">
        <v>114301</v>
      </c>
      <c r="K53" s="33">
        <v>52806185</v>
      </c>
    </row>
    <row r="54" spans="1:11" ht="15.75" thickBot="1" x14ac:dyDescent="0.3">
      <c r="A54" s="18"/>
      <c r="B54" s="18"/>
      <c r="C54" s="33">
        <v>195854920</v>
      </c>
      <c r="D54" s="33">
        <v>262888</v>
      </c>
      <c r="E54" s="33">
        <v>522818</v>
      </c>
      <c r="F54" s="32">
        <v>597285</v>
      </c>
      <c r="H54" s="34">
        <v>592145</v>
      </c>
      <c r="I54" s="33">
        <v>521005</v>
      </c>
      <c r="J54" s="33">
        <v>262056</v>
      </c>
      <c r="K54" s="33">
        <v>195474252</v>
      </c>
    </row>
    <row r="55" spans="1:11" ht="15.75" thickBot="1" x14ac:dyDescent="0.3">
      <c r="A55" s="72" t="s">
        <v>51</v>
      </c>
      <c r="B55" s="18"/>
      <c r="C55" s="37">
        <v>941739620</v>
      </c>
      <c r="D55" s="37">
        <v>1502283</v>
      </c>
      <c r="E55" s="37">
        <v>1963543</v>
      </c>
      <c r="F55" s="60">
        <v>2259555</v>
      </c>
      <c r="H55" s="51">
        <v>2286109</v>
      </c>
      <c r="I55" s="37">
        <v>1979503</v>
      </c>
      <c r="J55" s="37">
        <v>1510155</v>
      </c>
      <c r="K55" s="37">
        <v>942865804</v>
      </c>
    </row>
    <row r="56" spans="1:11" ht="15.75" thickTop="1" x14ac:dyDescent="0.25">
      <c r="A56" s="72" t="s">
        <v>52</v>
      </c>
      <c r="B56" s="18"/>
      <c r="C56" s="57"/>
      <c r="D56" s="57"/>
      <c r="E56" s="18"/>
      <c r="F56" s="18"/>
      <c r="H56" s="18"/>
      <c r="I56" s="18"/>
      <c r="J56" s="57"/>
      <c r="K56" s="57"/>
    </row>
    <row r="57" spans="1:11" x14ac:dyDescent="0.25">
      <c r="A57" s="24" t="s">
        <v>75</v>
      </c>
      <c r="B57" s="18"/>
      <c r="C57" s="18"/>
      <c r="D57" s="18"/>
      <c r="E57" s="18"/>
      <c r="F57" s="18"/>
      <c r="H57" s="18"/>
      <c r="I57" s="18"/>
      <c r="J57" s="18"/>
      <c r="K57" s="18"/>
    </row>
    <row r="58" spans="1:11" x14ac:dyDescent="0.25">
      <c r="A58" s="24" t="s">
        <v>53</v>
      </c>
      <c r="B58" s="22">
        <v>26</v>
      </c>
      <c r="C58" s="27">
        <v>646510</v>
      </c>
      <c r="D58" s="22">
        <v>407</v>
      </c>
      <c r="E58" s="22">
        <v>407</v>
      </c>
      <c r="F58" s="61">
        <v>407</v>
      </c>
      <c r="H58" s="62">
        <v>407</v>
      </c>
      <c r="I58" s="22">
        <v>407</v>
      </c>
      <c r="J58" s="22">
        <v>407</v>
      </c>
      <c r="K58" s="27">
        <v>646510</v>
      </c>
    </row>
    <row r="59" spans="1:11" x14ac:dyDescent="0.25">
      <c r="A59" s="24" t="s">
        <v>54</v>
      </c>
      <c r="B59" s="22">
        <v>27</v>
      </c>
      <c r="C59" s="27">
        <v>64498466</v>
      </c>
      <c r="D59" s="27">
        <v>17216</v>
      </c>
      <c r="E59" s="27">
        <v>17216</v>
      </c>
      <c r="F59" s="31">
        <v>17216</v>
      </c>
      <c r="H59" s="26">
        <v>17216</v>
      </c>
      <c r="I59" s="27">
        <v>17216</v>
      </c>
      <c r="J59" s="27">
        <v>17216</v>
      </c>
      <c r="K59" s="27">
        <v>64498466</v>
      </c>
    </row>
    <row r="60" spans="1:11" x14ac:dyDescent="0.25">
      <c r="A60" s="24" t="s">
        <v>55</v>
      </c>
      <c r="B60" s="22">
        <v>28</v>
      </c>
      <c r="C60" s="27">
        <v>6069</v>
      </c>
      <c r="D60" s="22">
        <v>521</v>
      </c>
      <c r="E60" s="22">
        <v>239</v>
      </c>
      <c r="F60" s="61">
        <v>885</v>
      </c>
      <c r="H60" s="62">
        <v>885</v>
      </c>
      <c r="I60" s="22">
        <v>239</v>
      </c>
      <c r="J60" s="22">
        <v>521</v>
      </c>
      <c r="K60" s="27">
        <v>6069</v>
      </c>
    </row>
    <row r="61" spans="1:11" ht="15.75" thickBot="1" x14ac:dyDescent="0.3">
      <c r="A61" s="24" t="s">
        <v>56</v>
      </c>
      <c r="B61" s="18"/>
      <c r="C61" s="33">
        <v>154201270</v>
      </c>
      <c r="D61" s="33">
        <v>127713</v>
      </c>
      <c r="E61" s="33">
        <v>160524</v>
      </c>
      <c r="F61" s="32">
        <v>246473</v>
      </c>
      <c r="H61" s="34">
        <v>278489</v>
      </c>
      <c r="I61" s="33">
        <v>184370</v>
      </c>
      <c r="J61" s="33">
        <v>144291</v>
      </c>
      <c r="K61" s="33">
        <v>167579860</v>
      </c>
    </row>
    <row r="62" spans="1:11" ht="15.75" thickBot="1" x14ac:dyDescent="0.3">
      <c r="A62" s="18"/>
      <c r="B62" s="18"/>
      <c r="C62" s="33">
        <v>219352315</v>
      </c>
      <c r="D62" s="33">
        <v>145857</v>
      </c>
      <c r="E62" s="33">
        <v>178386</v>
      </c>
      <c r="F62" s="32">
        <v>264981</v>
      </c>
      <c r="H62" s="34">
        <v>296997</v>
      </c>
      <c r="I62" s="33">
        <v>202232</v>
      </c>
      <c r="J62" s="33">
        <v>162435</v>
      </c>
      <c r="K62" s="33">
        <v>232730905</v>
      </c>
    </row>
    <row r="63" spans="1:11" x14ac:dyDescent="0.25">
      <c r="A63" s="72" t="s">
        <v>57</v>
      </c>
      <c r="B63" s="229"/>
      <c r="C63" s="41"/>
      <c r="D63" s="41"/>
      <c r="E63" s="231"/>
      <c r="F63" s="231"/>
      <c r="H63" s="231"/>
      <c r="I63" s="231"/>
      <c r="J63" s="41"/>
      <c r="K63" s="41"/>
    </row>
    <row r="64" spans="1:11" x14ac:dyDescent="0.25">
      <c r="A64" s="24" t="s">
        <v>115</v>
      </c>
      <c r="B64" s="229"/>
      <c r="C64" s="18"/>
      <c r="D64" s="18"/>
      <c r="E64" s="229"/>
      <c r="F64" s="229"/>
      <c r="H64" s="229"/>
      <c r="I64" s="229"/>
      <c r="J64" s="18"/>
      <c r="K64" s="18"/>
    </row>
    <row r="65" spans="1:11" x14ac:dyDescent="0.25">
      <c r="A65" s="24" t="s">
        <v>58</v>
      </c>
      <c r="B65" s="22">
        <v>29</v>
      </c>
      <c r="C65" s="70">
        <v>31438349</v>
      </c>
      <c r="D65" s="27">
        <v>380089</v>
      </c>
      <c r="E65" s="27">
        <v>330551</v>
      </c>
      <c r="F65" s="29">
        <v>340425</v>
      </c>
      <c r="H65" s="30">
        <v>340425</v>
      </c>
      <c r="I65" s="27">
        <v>330551</v>
      </c>
      <c r="J65" s="27">
        <v>380089</v>
      </c>
      <c r="K65" s="70">
        <v>31438349</v>
      </c>
    </row>
    <row r="66" spans="1:11" x14ac:dyDescent="0.25">
      <c r="A66" s="24" t="s">
        <v>59</v>
      </c>
      <c r="B66" s="22"/>
      <c r="C66" s="70">
        <v>14152</v>
      </c>
      <c r="D66" s="22">
        <v>265</v>
      </c>
      <c r="E66" s="29">
        <v>0</v>
      </c>
      <c r="F66" s="29">
        <v>0</v>
      </c>
      <c r="H66" s="29">
        <v>0</v>
      </c>
      <c r="I66" s="29">
        <v>0</v>
      </c>
      <c r="J66" s="22">
        <v>265</v>
      </c>
      <c r="K66" s="70">
        <v>14152</v>
      </c>
    </row>
    <row r="67" spans="1:11" x14ac:dyDescent="0.25">
      <c r="A67" s="24" t="s">
        <v>60</v>
      </c>
      <c r="B67" s="22">
        <v>34</v>
      </c>
      <c r="C67" s="29">
        <v>0</v>
      </c>
      <c r="D67" s="27">
        <v>458509</v>
      </c>
      <c r="E67" s="27">
        <v>586992</v>
      </c>
      <c r="F67" s="29">
        <v>628325</v>
      </c>
      <c r="H67" s="30">
        <v>628325</v>
      </c>
      <c r="I67" s="27">
        <v>586992</v>
      </c>
      <c r="J67" s="27">
        <v>458509</v>
      </c>
      <c r="K67" s="29">
        <v>0</v>
      </c>
    </row>
    <row r="68" spans="1:11" x14ac:dyDescent="0.25">
      <c r="A68" s="24" t="s">
        <v>61</v>
      </c>
      <c r="B68" s="22">
        <v>36</v>
      </c>
      <c r="C68" s="70">
        <v>109266019</v>
      </c>
      <c r="D68" s="27">
        <v>120587</v>
      </c>
      <c r="E68" s="27">
        <v>113130</v>
      </c>
      <c r="F68" s="29">
        <v>104683</v>
      </c>
      <c r="H68" s="30">
        <v>103747</v>
      </c>
      <c r="I68" s="27">
        <v>108693</v>
      </c>
      <c r="J68" s="27">
        <v>113040</v>
      </c>
      <c r="K68" s="70">
        <v>100191396</v>
      </c>
    </row>
    <row r="69" spans="1:11" x14ac:dyDescent="0.25">
      <c r="A69" s="24" t="s">
        <v>62</v>
      </c>
      <c r="B69" s="22">
        <v>33</v>
      </c>
      <c r="C69" s="70">
        <v>65934</v>
      </c>
      <c r="D69" s="22">
        <v>71</v>
      </c>
      <c r="E69" s="22">
        <v>38</v>
      </c>
      <c r="F69" s="63">
        <v>41</v>
      </c>
      <c r="H69" s="64">
        <v>41</v>
      </c>
      <c r="I69" s="22">
        <v>38</v>
      </c>
      <c r="J69" s="22">
        <v>71</v>
      </c>
      <c r="K69" s="70">
        <v>65934</v>
      </c>
    </row>
    <row r="70" spans="1:11" x14ac:dyDescent="0.25">
      <c r="A70" s="24" t="s">
        <v>63</v>
      </c>
      <c r="B70" s="22">
        <v>46</v>
      </c>
      <c r="C70" s="70">
        <v>654791</v>
      </c>
      <c r="D70" s="22">
        <v>745</v>
      </c>
      <c r="E70" s="27">
        <v>2273</v>
      </c>
      <c r="F70" s="31">
        <v>8547</v>
      </c>
      <c r="H70" s="26">
        <v>8547</v>
      </c>
      <c r="I70" s="27">
        <v>2273</v>
      </c>
      <c r="J70" s="22">
        <v>745</v>
      </c>
      <c r="K70" s="70">
        <v>654791</v>
      </c>
    </row>
    <row r="71" spans="1:11" ht="15.75" thickBot="1" x14ac:dyDescent="0.3">
      <c r="A71" s="24" t="s">
        <v>74</v>
      </c>
      <c r="B71" s="22">
        <v>35</v>
      </c>
      <c r="C71" s="71">
        <v>0</v>
      </c>
      <c r="D71" s="33">
        <v>1578</v>
      </c>
      <c r="E71" s="33">
        <v>8261</v>
      </c>
      <c r="F71" s="59">
        <v>6549</v>
      </c>
      <c r="H71" s="52">
        <v>6549</v>
      </c>
      <c r="I71" s="33">
        <v>8261</v>
      </c>
      <c r="J71" s="33">
        <v>1578</v>
      </c>
      <c r="K71" s="71">
        <v>0</v>
      </c>
    </row>
    <row r="72" spans="1:11" ht="15.75" thickBot="1" x14ac:dyDescent="0.3">
      <c r="A72" s="18"/>
      <c r="B72" s="18"/>
      <c r="C72" s="33">
        <v>141439245</v>
      </c>
      <c r="D72" s="33">
        <v>961844</v>
      </c>
      <c r="E72" s="33">
        <v>1041245</v>
      </c>
      <c r="F72" s="52">
        <v>1088570</v>
      </c>
      <c r="H72" s="50">
        <v>1087634</v>
      </c>
      <c r="I72" s="33">
        <v>1036808</v>
      </c>
      <c r="J72" s="33">
        <v>954297</v>
      </c>
      <c r="K72" s="33">
        <v>132364622</v>
      </c>
    </row>
    <row r="73" spans="1:11" x14ac:dyDescent="0.25">
      <c r="A73" s="72" t="s">
        <v>64</v>
      </c>
      <c r="B73" s="18"/>
      <c r="C73" s="53"/>
      <c r="D73" s="53"/>
      <c r="E73" s="18"/>
      <c r="F73" s="18"/>
      <c r="H73" s="18"/>
      <c r="I73" s="18"/>
      <c r="J73" s="53"/>
      <c r="K73" s="53"/>
    </row>
    <row r="74" spans="1:11" x14ac:dyDescent="0.25">
      <c r="A74" s="24" t="s">
        <v>65</v>
      </c>
      <c r="B74" s="22">
        <v>30</v>
      </c>
      <c r="C74" s="27">
        <v>213715209</v>
      </c>
      <c r="D74" s="27">
        <v>190444</v>
      </c>
      <c r="E74" s="27">
        <v>303977</v>
      </c>
      <c r="F74" s="29">
        <v>443895</v>
      </c>
      <c r="H74" s="30">
        <v>440023</v>
      </c>
      <c r="I74" s="27">
        <v>301182</v>
      </c>
      <c r="J74" s="27">
        <v>189646</v>
      </c>
      <c r="K74" s="27">
        <v>211055001</v>
      </c>
    </row>
    <row r="75" spans="1:11" x14ac:dyDescent="0.25">
      <c r="A75" s="24" t="s">
        <v>58</v>
      </c>
      <c r="B75" s="22">
        <v>29</v>
      </c>
      <c r="C75" s="27">
        <v>143875889</v>
      </c>
      <c r="D75" s="27">
        <v>32453</v>
      </c>
      <c r="E75" s="27">
        <v>190599</v>
      </c>
      <c r="F75" s="29">
        <v>152835</v>
      </c>
      <c r="H75" s="30">
        <v>152835</v>
      </c>
      <c r="I75" s="27">
        <v>190599</v>
      </c>
      <c r="J75" s="27">
        <v>32453</v>
      </c>
      <c r="K75" s="27">
        <v>143875889</v>
      </c>
    </row>
    <row r="76" spans="1:11" x14ac:dyDescent="0.25">
      <c r="A76" s="24" t="s">
        <v>60</v>
      </c>
      <c r="B76" s="22">
        <v>34</v>
      </c>
      <c r="C76" s="27">
        <v>0</v>
      </c>
      <c r="D76" s="27">
        <v>33564</v>
      </c>
      <c r="E76" s="27">
        <v>54798</v>
      </c>
      <c r="F76" s="31">
        <v>62531</v>
      </c>
      <c r="H76" s="26">
        <v>62531</v>
      </c>
      <c r="I76" s="27">
        <v>54798</v>
      </c>
      <c r="J76" s="27">
        <v>33564</v>
      </c>
      <c r="K76" s="22"/>
    </row>
    <row r="77" spans="1:11" x14ac:dyDescent="0.25">
      <c r="A77" s="24" t="s">
        <v>66</v>
      </c>
      <c r="B77" s="22">
        <v>32</v>
      </c>
      <c r="C77" s="27">
        <v>42738547</v>
      </c>
      <c r="D77" s="27">
        <v>46806</v>
      </c>
      <c r="E77" s="27">
        <v>62301</v>
      </c>
      <c r="F77" s="31">
        <v>72336</v>
      </c>
      <c r="H77" s="26">
        <v>71954</v>
      </c>
      <c r="I77" s="27">
        <v>61919</v>
      </c>
      <c r="J77" s="27">
        <v>46745</v>
      </c>
      <c r="K77" s="27">
        <v>42684874</v>
      </c>
    </row>
    <row r="78" spans="1:11" ht="14.25" customHeight="1" x14ac:dyDescent="0.25">
      <c r="A78" s="24" t="s">
        <v>67</v>
      </c>
      <c r="B78" s="22">
        <v>38</v>
      </c>
      <c r="C78" s="27">
        <v>54131436</v>
      </c>
      <c r="D78" s="27">
        <v>65625</v>
      </c>
      <c r="E78" s="27">
        <v>107310</v>
      </c>
      <c r="F78" s="29">
        <v>144163</v>
      </c>
      <c r="H78" s="30">
        <v>143891</v>
      </c>
      <c r="I78" s="27">
        <v>107038</v>
      </c>
      <c r="J78" s="27">
        <v>65325</v>
      </c>
      <c r="K78" s="27">
        <v>53667534</v>
      </c>
    </row>
    <row r="79" spans="1:11" x14ac:dyDescent="0.25">
      <c r="A79" s="24" t="s">
        <v>62</v>
      </c>
      <c r="B79" s="22">
        <v>33</v>
      </c>
      <c r="C79" s="27">
        <v>21359196</v>
      </c>
      <c r="D79" s="27">
        <v>25690</v>
      </c>
      <c r="E79" s="27">
        <v>24733</v>
      </c>
      <c r="F79" s="31">
        <v>29736</v>
      </c>
      <c r="H79" s="26">
        <v>29736</v>
      </c>
      <c r="I79" s="27">
        <v>24733</v>
      </c>
      <c r="J79" s="27">
        <v>25690</v>
      </c>
      <c r="K79" s="27">
        <v>21359196</v>
      </c>
    </row>
    <row r="80" spans="1:11" x14ac:dyDescent="0.25">
      <c r="A80" s="24" t="s">
        <v>59</v>
      </c>
      <c r="B80" s="22">
        <v>20</v>
      </c>
      <c r="C80" s="27">
        <v>0</v>
      </c>
      <c r="D80" s="27">
        <v>0</v>
      </c>
      <c r="E80" s="22">
        <v>194</v>
      </c>
      <c r="F80" s="61">
        <v>372</v>
      </c>
      <c r="H80" s="62">
        <v>372</v>
      </c>
      <c r="I80" s="22">
        <v>194</v>
      </c>
      <c r="J80" s="27">
        <v>0</v>
      </c>
      <c r="K80" s="27">
        <v>0</v>
      </c>
    </row>
    <row r="81" spans="1:11" x14ac:dyDescent="0.25">
      <c r="A81" t="s">
        <v>68</v>
      </c>
      <c r="C81" s="70">
        <v>105127783</v>
      </c>
      <c r="D81" s="27">
        <v>0</v>
      </c>
      <c r="E81" s="27">
        <v>0</v>
      </c>
      <c r="F81" s="31">
        <v>0</v>
      </c>
      <c r="H81" s="26">
        <v>0</v>
      </c>
      <c r="I81" s="27">
        <v>0</v>
      </c>
      <c r="J81" s="70"/>
      <c r="K81" s="70">
        <v>105127783</v>
      </c>
    </row>
    <row r="82" spans="1:11" ht="15.75" thickBot="1" x14ac:dyDescent="0.3">
      <c r="A82" s="24" t="s">
        <v>74</v>
      </c>
      <c r="B82" s="22">
        <v>35</v>
      </c>
      <c r="C82" s="33">
        <v>0</v>
      </c>
      <c r="D82" s="54">
        <v>0</v>
      </c>
      <c r="E82" s="54">
        <v>0</v>
      </c>
      <c r="F82" s="65">
        <v>136</v>
      </c>
      <c r="H82" s="66">
        <v>136</v>
      </c>
      <c r="I82" s="54"/>
      <c r="J82" s="54">
        <v>0</v>
      </c>
      <c r="K82" s="33">
        <v>0</v>
      </c>
    </row>
    <row r="83" spans="1:11" ht="15.75" thickBot="1" x14ac:dyDescent="0.3">
      <c r="A83" s="18"/>
      <c r="B83" s="18"/>
      <c r="C83" s="33">
        <v>580948060</v>
      </c>
      <c r="D83" s="75">
        <v>394582</v>
      </c>
      <c r="E83" s="33">
        <v>743912</v>
      </c>
      <c r="F83" s="32">
        <v>906004</v>
      </c>
      <c r="H83" s="34">
        <v>901478</v>
      </c>
      <c r="I83" s="33">
        <v>740463</v>
      </c>
      <c r="J83" s="75">
        <v>393423</v>
      </c>
      <c r="K83" s="33">
        <v>577770277</v>
      </c>
    </row>
    <row r="84" spans="1:11" ht="15.75" thickBot="1" x14ac:dyDescent="0.3">
      <c r="A84" s="24" t="s">
        <v>69</v>
      </c>
      <c r="B84" s="18"/>
      <c r="C84" s="33">
        <v>722387305</v>
      </c>
      <c r="D84" s="33">
        <v>1356426</v>
      </c>
      <c r="E84" s="33">
        <v>1785157</v>
      </c>
      <c r="F84" s="52">
        <v>1994574</v>
      </c>
      <c r="H84" s="50">
        <v>1989112</v>
      </c>
      <c r="I84" s="33">
        <v>1777271</v>
      </c>
      <c r="J84" s="33">
        <v>1347720</v>
      </c>
      <c r="K84" s="33">
        <v>710134899</v>
      </c>
    </row>
    <row r="85" spans="1:11" ht="15.75" thickBot="1" x14ac:dyDescent="0.3">
      <c r="A85" s="24" t="s">
        <v>70</v>
      </c>
      <c r="B85" s="18"/>
      <c r="C85" s="37">
        <v>941739620</v>
      </c>
      <c r="D85" s="37">
        <v>1502283</v>
      </c>
      <c r="E85" s="37">
        <v>1963543</v>
      </c>
      <c r="F85" s="60">
        <v>2259555</v>
      </c>
      <c r="H85" s="51">
        <v>2286109</v>
      </c>
      <c r="I85" s="37">
        <v>1979503</v>
      </c>
      <c r="J85" s="37">
        <v>1510155</v>
      </c>
      <c r="K85" s="37">
        <v>942865804</v>
      </c>
    </row>
    <row r="86" spans="1:11" ht="15.75" thickTop="1" x14ac:dyDescent="0.25"/>
    <row r="87" spans="1:11" x14ac:dyDescent="0.25">
      <c r="A87" s="89" t="s">
        <v>81</v>
      </c>
      <c r="H87" s="3" t="s">
        <v>2</v>
      </c>
    </row>
    <row r="88" spans="1:11" ht="15.75" thickBot="1" x14ac:dyDescent="0.3">
      <c r="A88" s="90"/>
    </row>
    <row r="89" spans="1:11" ht="15.75" thickBot="1" x14ac:dyDescent="0.3">
      <c r="A89" s="230"/>
      <c r="B89" s="230"/>
      <c r="C89" s="55" t="s">
        <v>1</v>
      </c>
      <c r="D89" s="55"/>
      <c r="E89" s="55"/>
      <c r="F89" s="119"/>
      <c r="H89" s="109" t="s">
        <v>2</v>
      </c>
      <c r="I89" s="55"/>
    </row>
    <row r="90" spans="1:11" x14ac:dyDescent="0.25">
      <c r="A90" s="231"/>
      <c r="B90" s="19"/>
      <c r="C90" s="7">
        <v>2018</v>
      </c>
      <c r="D90" s="7">
        <v>2019</v>
      </c>
      <c r="E90" s="22">
        <v>2020</v>
      </c>
      <c r="F90" s="24">
        <v>2021</v>
      </c>
      <c r="H90" s="22">
        <v>2021</v>
      </c>
      <c r="I90" s="22">
        <v>2020</v>
      </c>
      <c r="J90" s="7">
        <v>2019</v>
      </c>
      <c r="K90" s="7">
        <v>2018</v>
      </c>
    </row>
    <row r="91" spans="1:11" ht="24.75" thickBot="1" x14ac:dyDescent="0.3">
      <c r="A91" s="232"/>
      <c r="B91" s="91" t="s">
        <v>3</v>
      </c>
      <c r="C91" s="8" t="s">
        <v>4</v>
      </c>
      <c r="D91" s="8" t="s">
        <v>31</v>
      </c>
      <c r="E91" s="23" t="s">
        <v>26</v>
      </c>
      <c r="F91" s="91" t="s">
        <v>26</v>
      </c>
      <c r="H91" s="23" t="s">
        <v>26</v>
      </c>
      <c r="I91" s="23" t="s">
        <v>26</v>
      </c>
      <c r="J91" s="8" t="s">
        <v>31</v>
      </c>
      <c r="K91" s="8" t="s">
        <v>4</v>
      </c>
    </row>
    <row r="92" spans="1:11" ht="15.75" thickTop="1" x14ac:dyDescent="0.25">
      <c r="A92" s="9"/>
      <c r="B92" s="228"/>
      <c r="C92" s="226"/>
      <c r="D92" s="224"/>
      <c r="E92" s="228"/>
      <c r="F92" s="228"/>
      <c r="H92" s="228"/>
      <c r="I92" s="228"/>
      <c r="J92" s="224"/>
      <c r="K92" s="224"/>
    </row>
    <row r="93" spans="1:11" x14ac:dyDescent="0.25">
      <c r="A93" s="24" t="s">
        <v>82</v>
      </c>
      <c r="B93" s="229"/>
      <c r="C93" s="227"/>
      <c r="D93" s="225"/>
      <c r="E93" s="229"/>
      <c r="F93" s="229"/>
      <c r="H93" s="229"/>
      <c r="I93" s="229"/>
      <c r="J93" s="225"/>
      <c r="K93" s="225"/>
    </row>
    <row r="94" spans="1:11" x14ac:dyDescent="0.25">
      <c r="A94" s="24" t="s">
        <v>83</v>
      </c>
      <c r="B94" s="25">
        <v>39</v>
      </c>
      <c r="C94" s="98">
        <v>437487847</v>
      </c>
      <c r="D94" s="104">
        <v>608732</v>
      </c>
      <c r="E94" s="114">
        <v>833107</v>
      </c>
      <c r="F94" s="114">
        <v>1027596</v>
      </c>
      <c r="H94" s="28">
        <v>1026487</v>
      </c>
      <c r="I94" s="27">
        <v>834703</v>
      </c>
      <c r="J94" s="11">
        <v>608333</v>
      </c>
      <c r="K94" s="98">
        <v>438105835</v>
      </c>
    </row>
    <row r="95" spans="1:11" x14ac:dyDescent="0.25">
      <c r="A95" s="24" t="s">
        <v>21</v>
      </c>
      <c r="B95" s="56"/>
      <c r="C95" s="98">
        <v>19604317</v>
      </c>
      <c r="D95" s="104">
        <v>16058</v>
      </c>
      <c r="E95" s="114">
        <v>14305</v>
      </c>
      <c r="F95" s="114">
        <v>15397</v>
      </c>
      <c r="H95" s="30">
        <v>15397</v>
      </c>
      <c r="I95" s="27">
        <v>14294</v>
      </c>
      <c r="J95" s="11">
        <v>16132</v>
      </c>
      <c r="K95" s="98">
        <v>18946243</v>
      </c>
    </row>
    <row r="96" spans="1:11" x14ac:dyDescent="0.25">
      <c r="A96" s="24" t="s">
        <v>22</v>
      </c>
      <c r="B96" s="53"/>
      <c r="C96" s="98">
        <v>-42024438</v>
      </c>
      <c r="D96" s="104">
        <v>-105261</v>
      </c>
      <c r="E96" s="114">
        <v>-129853</v>
      </c>
      <c r="F96" s="114">
        <v>-143442</v>
      </c>
      <c r="H96" s="28">
        <v>143442</v>
      </c>
      <c r="I96" s="27">
        <v>129853</v>
      </c>
      <c r="J96" s="11">
        <v>-105262</v>
      </c>
      <c r="K96" s="98">
        <v>-104883164</v>
      </c>
    </row>
    <row r="97" spans="1:11" x14ac:dyDescent="0.25">
      <c r="A97" s="24" t="s">
        <v>84</v>
      </c>
      <c r="B97" s="20">
        <v>26.1</v>
      </c>
      <c r="C97" s="98">
        <v>-38612581</v>
      </c>
      <c r="D97" s="104">
        <v>-133046</v>
      </c>
      <c r="E97" s="114">
        <v>-172403</v>
      </c>
      <c r="F97" s="114">
        <v>-212705</v>
      </c>
      <c r="H97" s="28">
        <v>212705</v>
      </c>
      <c r="I97" s="27">
        <v>172403</v>
      </c>
      <c r="J97" s="11">
        <v>-133046</v>
      </c>
      <c r="K97" s="98">
        <v>-38612581</v>
      </c>
    </row>
    <row r="98" spans="1:11" x14ac:dyDescent="0.25">
      <c r="A98" s="24" t="s">
        <v>85</v>
      </c>
      <c r="B98" s="20">
        <v>35.1</v>
      </c>
      <c r="C98" s="118">
        <v>0</v>
      </c>
      <c r="D98" s="104">
        <v>-690</v>
      </c>
      <c r="E98" s="24">
        <v>-379</v>
      </c>
      <c r="F98" s="24">
        <v>-479</v>
      </c>
      <c r="H98" s="62">
        <v>479</v>
      </c>
      <c r="I98" s="22">
        <v>379</v>
      </c>
      <c r="J98" s="6">
        <v>-690</v>
      </c>
      <c r="K98" s="98">
        <v>0</v>
      </c>
    </row>
    <row r="99" spans="1:11" x14ac:dyDescent="0.25">
      <c r="A99" s="24" t="s">
        <v>86</v>
      </c>
      <c r="B99" s="20">
        <v>46.1</v>
      </c>
      <c r="C99" s="118">
        <v>0</v>
      </c>
      <c r="D99" s="98">
        <v>0</v>
      </c>
      <c r="E99" s="24">
        <v>-1</v>
      </c>
      <c r="F99" s="114">
        <v>-2415</v>
      </c>
      <c r="H99" s="26">
        <v>2415</v>
      </c>
      <c r="I99" s="22">
        <v>1</v>
      </c>
      <c r="J99" s="98">
        <v>0</v>
      </c>
      <c r="K99" s="98">
        <v>0</v>
      </c>
    </row>
    <row r="100" spans="1:11" x14ac:dyDescent="0.25">
      <c r="A100" s="97" t="s">
        <v>111</v>
      </c>
      <c r="B100" s="20">
        <v>0</v>
      </c>
      <c r="C100" s="98">
        <v>-110000000</v>
      </c>
      <c r="D100" s="98">
        <v>-110000</v>
      </c>
      <c r="E100" s="24">
        <v>0</v>
      </c>
      <c r="F100" s="24">
        <v>0</v>
      </c>
      <c r="H100" s="20">
        <v>0</v>
      </c>
      <c r="I100" s="20">
        <v>0</v>
      </c>
      <c r="J100" s="98">
        <v>-110000</v>
      </c>
      <c r="K100" s="98">
        <v>-110000000</v>
      </c>
    </row>
    <row r="101" spans="1:11" x14ac:dyDescent="0.25">
      <c r="A101" s="24" t="s">
        <v>87</v>
      </c>
      <c r="B101" s="25">
        <v>38</v>
      </c>
      <c r="C101" s="108">
        <v>-21607434</v>
      </c>
      <c r="D101" s="108">
        <v>-62083</v>
      </c>
      <c r="E101" s="114">
        <v>-55912</v>
      </c>
      <c r="F101" s="114">
        <v>-109931</v>
      </c>
      <c r="H101" s="28">
        <v>109931</v>
      </c>
      <c r="I101" s="27">
        <v>55877</v>
      </c>
      <c r="J101" s="108">
        <v>-61783</v>
      </c>
      <c r="K101" s="108">
        <v>-21254921</v>
      </c>
    </row>
    <row r="102" spans="1:11" ht="15.75" thickBot="1" x14ac:dyDescent="0.3">
      <c r="A102" s="24" t="s">
        <v>88</v>
      </c>
      <c r="B102" s="25">
        <v>33</v>
      </c>
      <c r="C102" s="101">
        <v>0</v>
      </c>
      <c r="D102" s="101">
        <v>-7730</v>
      </c>
      <c r="E102" s="115">
        <v>-13189</v>
      </c>
      <c r="F102" s="115">
        <v>-12659</v>
      </c>
      <c r="H102" s="34">
        <v>12659</v>
      </c>
      <c r="I102" s="33">
        <v>13189</v>
      </c>
      <c r="J102" s="101">
        <v>-7730</v>
      </c>
      <c r="K102" s="101">
        <v>0</v>
      </c>
    </row>
    <row r="103" spans="1:11" ht="15.75" thickBot="1" x14ac:dyDescent="0.3">
      <c r="A103" s="24" t="s">
        <v>89</v>
      </c>
      <c r="B103" s="56"/>
      <c r="C103" s="103">
        <v>244847711</v>
      </c>
      <c r="D103" s="102">
        <v>205980</v>
      </c>
      <c r="E103" s="116">
        <v>475675</v>
      </c>
      <c r="F103" s="116">
        <v>561362</v>
      </c>
      <c r="H103" s="92">
        <v>560253</v>
      </c>
      <c r="I103" s="37">
        <v>477295</v>
      </c>
      <c r="J103" s="102">
        <v>205954</v>
      </c>
      <c r="K103" s="102">
        <v>245160138</v>
      </c>
    </row>
    <row r="104" spans="1:11" ht="15.75" thickTop="1" x14ac:dyDescent="0.25">
      <c r="A104" s="93"/>
      <c r="B104" s="229"/>
      <c r="C104" s="226"/>
      <c r="D104" s="224"/>
      <c r="E104" s="228"/>
      <c r="F104" s="228"/>
      <c r="H104" s="228"/>
      <c r="I104" s="228"/>
      <c r="J104" s="224"/>
      <c r="K104" s="224"/>
    </row>
    <row r="105" spans="1:11" x14ac:dyDescent="0.25">
      <c r="A105" s="24" t="s">
        <v>90</v>
      </c>
      <c r="B105" s="229"/>
      <c r="C105" s="227"/>
      <c r="D105" s="225"/>
      <c r="E105" s="229"/>
      <c r="F105" s="229"/>
      <c r="H105" s="229"/>
      <c r="I105" s="229"/>
      <c r="J105" s="225"/>
      <c r="K105" s="225"/>
    </row>
    <row r="106" spans="1:11" x14ac:dyDescent="0.25">
      <c r="A106" s="24" t="s">
        <v>91</v>
      </c>
      <c r="B106" s="56"/>
      <c r="C106" s="98">
        <v>-201195215</v>
      </c>
      <c r="D106" s="98">
        <v>-181685</v>
      </c>
      <c r="E106" s="114">
        <v>-214923</v>
      </c>
      <c r="F106" s="114">
        <v>-260276</v>
      </c>
      <c r="H106" s="28">
        <v>260276</v>
      </c>
      <c r="I106" s="27">
        <v>214923</v>
      </c>
      <c r="J106" s="98">
        <v>-181685</v>
      </c>
      <c r="K106" s="98">
        <v>201195215</v>
      </c>
    </row>
    <row r="107" spans="1:11" x14ac:dyDescent="0.25">
      <c r="A107" s="24" t="s">
        <v>92</v>
      </c>
      <c r="B107" s="20">
        <v>16.100000000000001</v>
      </c>
      <c r="C107" s="98">
        <v>652516</v>
      </c>
      <c r="D107" s="98">
        <v>1023</v>
      </c>
      <c r="E107" s="24">
        <v>783</v>
      </c>
      <c r="F107" s="114">
        <v>3642</v>
      </c>
      <c r="H107" s="94">
        <v>3642</v>
      </c>
      <c r="I107" s="22">
        <v>783</v>
      </c>
      <c r="J107" s="98">
        <v>1023</v>
      </c>
      <c r="K107" s="98">
        <v>652516</v>
      </c>
    </row>
    <row r="108" spans="1:11" x14ac:dyDescent="0.25">
      <c r="A108" s="24" t="s">
        <v>93</v>
      </c>
      <c r="B108" s="95">
        <v>31</v>
      </c>
      <c r="C108" s="98">
        <v>-2830395</v>
      </c>
      <c r="D108" s="98"/>
      <c r="E108" s="114">
        <v>-8570</v>
      </c>
      <c r="F108" s="114">
        <v>-1795</v>
      </c>
      <c r="H108" s="26">
        <v>1795</v>
      </c>
      <c r="I108" s="27">
        <v>8570</v>
      </c>
      <c r="J108" s="98"/>
      <c r="K108" s="98">
        <v>2830395</v>
      </c>
    </row>
    <row r="109" spans="1:11" x14ac:dyDescent="0.25">
      <c r="A109" s="24" t="s">
        <v>94</v>
      </c>
      <c r="B109" s="56"/>
      <c r="C109" s="100">
        <v>0</v>
      </c>
      <c r="D109" s="98">
        <v>-3762</v>
      </c>
      <c r="E109" s="114">
        <v>-14971</v>
      </c>
      <c r="F109" s="24">
        <v>-248</v>
      </c>
      <c r="H109" s="62">
        <v>248</v>
      </c>
      <c r="I109" s="27">
        <v>14971</v>
      </c>
      <c r="J109" s="98">
        <v>-3762</v>
      </c>
      <c r="K109" s="100"/>
    </row>
    <row r="110" spans="1:11" x14ac:dyDescent="0.25">
      <c r="A110" s="24" t="s">
        <v>95</v>
      </c>
      <c r="B110" s="56"/>
      <c r="C110" s="98">
        <v>-10119300</v>
      </c>
      <c r="D110" s="98">
        <v>-4571</v>
      </c>
      <c r="E110" s="114">
        <v>-26780</v>
      </c>
      <c r="F110" s="114">
        <v>-178320</v>
      </c>
      <c r="H110" s="28">
        <v>178320</v>
      </c>
      <c r="I110" s="27">
        <v>26780</v>
      </c>
      <c r="J110" s="98">
        <v>-4571</v>
      </c>
      <c r="K110" s="98">
        <v>10119300</v>
      </c>
    </row>
    <row r="111" spans="1:11" x14ac:dyDescent="0.25">
      <c r="A111" s="24" t="s">
        <v>116</v>
      </c>
      <c r="B111" s="22" t="s">
        <v>96</v>
      </c>
      <c r="C111" s="98">
        <v>0</v>
      </c>
      <c r="D111" s="98">
        <v>-21041</v>
      </c>
      <c r="E111" s="114">
        <v>-26070</v>
      </c>
      <c r="F111" s="114">
        <v>-3340</v>
      </c>
      <c r="H111" s="26">
        <v>3340</v>
      </c>
      <c r="I111" s="27">
        <v>26070</v>
      </c>
      <c r="J111" s="98">
        <v>-21036</v>
      </c>
      <c r="K111" s="98">
        <v>0</v>
      </c>
    </row>
    <row r="112" spans="1:11" x14ac:dyDescent="0.25">
      <c r="A112" s="24" t="s">
        <v>117</v>
      </c>
      <c r="B112" s="22" t="s">
        <v>96</v>
      </c>
      <c r="C112" s="98">
        <v>0</v>
      </c>
      <c r="D112" s="98">
        <v>0</v>
      </c>
      <c r="E112" s="24">
        <v>0</v>
      </c>
      <c r="F112" s="114">
        <v>18360</v>
      </c>
      <c r="H112" s="30">
        <v>18360</v>
      </c>
      <c r="I112" s="22"/>
      <c r="J112" s="98" t="s">
        <v>17</v>
      </c>
      <c r="K112" s="98">
        <v>0</v>
      </c>
    </row>
    <row r="113" spans="1:11" x14ac:dyDescent="0.25">
      <c r="A113" s="24" t="s">
        <v>97</v>
      </c>
      <c r="B113" s="56"/>
      <c r="C113" s="98">
        <v>4398611</v>
      </c>
      <c r="D113" s="98">
        <v>-831</v>
      </c>
      <c r="E113" s="114">
        <v>-9863</v>
      </c>
      <c r="F113" s="114">
        <v>-98275</v>
      </c>
      <c r="H113" s="30">
        <v>98275</v>
      </c>
      <c r="I113" s="27">
        <v>9913</v>
      </c>
      <c r="J113" s="98">
        <v>-831</v>
      </c>
      <c r="K113" s="98">
        <v>4448611</v>
      </c>
    </row>
    <row r="114" spans="1:11" x14ac:dyDescent="0.25">
      <c r="A114" s="97" t="s">
        <v>112</v>
      </c>
      <c r="B114" s="99"/>
      <c r="C114" s="100">
        <v>0</v>
      </c>
      <c r="D114" s="100">
        <v>0</v>
      </c>
      <c r="E114" s="97">
        <v>0</v>
      </c>
      <c r="F114" s="97">
        <v>0</v>
      </c>
      <c r="H114" s="100">
        <v>0</v>
      </c>
      <c r="I114" s="100">
        <v>0</v>
      </c>
      <c r="J114" s="98">
        <v>-1750</v>
      </c>
      <c r="K114" s="98">
        <v>50000</v>
      </c>
    </row>
    <row r="115" spans="1:11" ht="22.5" x14ac:dyDescent="0.25">
      <c r="A115" s="24" t="s">
        <v>98</v>
      </c>
      <c r="B115" s="56"/>
      <c r="C115" s="98">
        <v>0</v>
      </c>
      <c r="D115" s="98">
        <v>-9001</v>
      </c>
      <c r="E115" s="114">
        <v>-121534</v>
      </c>
      <c r="F115" s="114">
        <v>-41754</v>
      </c>
      <c r="H115" s="30">
        <v>41754</v>
      </c>
      <c r="I115" s="27">
        <v>121534</v>
      </c>
      <c r="J115" s="98">
        <v>-9001</v>
      </c>
      <c r="K115" s="98">
        <v>0</v>
      </c>
    </row>
    <row r="116" spans="1:11" ht="23.25" thickBot="1" x14ac:dyDescent="0.3">
      <c r="A116" s="24" t="s">
        <v>99</v>
      </c>
      <c r="B116" s="56"/>
      <c r="C116" s="101">
        <v>5484257</v>
      </c>
      <c r="D116" s="101">
        <v>22877</v>
      </c>
      <c r="E116" s="115">
        <v>29818</v>
      </c>
      <c r="F116" s="115">
        <v>133848</v>
      </c>
      <c r="H116" s="34">
        <v>133848</v>
      </c>
      <c r="I116" s="33">
        <v>29818</v>
      </c>
      <c r="J116" s="101">
        <v>22877</v>
      </c>
      <c r="K116" s="101">
        <v>5484257</v>
      </c>
    </row>
    <row r="117" spans="1:11" ht="15.75" thickBot="1" x14ac:dyDescent="0.3">
      <c r="A117" s="24" t="s">
        <v>100</v>
      </c>
      <c r="B117" s="56"/>
      <c r="C117" s="103">
        <v>203609526</v>
      </c>
      <c r="D117" s="102">
        <v>-196991</v>
      </c>
      <c r="E117" s="116">
        <v>392110</v>
      </c>
      <c r="F117" s="116">
        <v>428158</v>
      </c>
      <c r="H117" s="92">
        <v>428158</v>
      </c>
      <c r="I117" s="37">
        <v>392160</v>
      </c>
      <c r="J117" s="103">
        <v>-198736</v>
      </c>
      <c r="K117" s="102">
        <v>203609526</v>
      </c>
    </row>
    <row r="118" spans="1:11" ht="15.75" thickTop="1" x14ac:dyDescent="0.25">
      <c r="A118" s="93"/>
      <c r="B118" s="229"/>
      <c r="C118" s="226"/>
      <c r="D118" s="224"/>
      <c r="E118" s="228"/>
      <c r="F118" s="228"/>
      <c r="H118" s="228"/>
      <c r="I118" s="228"/>
      <c r="J118" s="224"/>
      <c r="K118" s="224"/>
    </row>
    <row r="119" spans="1:11" x14ac:dyDescent="0.25">
      <c r="A119" s="24" t="s">
        <v>101</v>
      </c>
      <c r="B119" s="229"/>
      <c r="C119" s="227"/>
      <c r="D119" s="225"/>
      <c r="E119" s="229"/>
      <c r="F119" s="229"/>
      <c r="H119" s="229"/>
      <c r="I119" s="229"/>
      <c r="J119" s="225"/>
      <c r="K119" s="225"/>
    </row>
    <row r="120" spans="1:11" x14ac:dyDescent="0.25">
      <c r="A120" s="97" t="s">
        <v>113</v>
      </c>
      <c r="B120" s="56"/>
      <c r="C120" s="100">
        <v>0</v>
      </c>
      <c r="D120" s="98">
        <v>-148189</v>
      </c>
      <c r="E120" s="56">
        <v>0</v>
      </c>
      <c r="F120" s="56">
        <v>0</v>
      </c>
      <c r="H120" s="56">
        <v>0</v>
      </c>
      <c r="I120" s="56">
        <v>0</v>
      </c>
      <c r="J120" s="104">
        <v>-148189</v>
      </c>
      <c r="K120" s="100"/>
    </row>
    <row r="121" spans="1:11" x14ac:dyDescent="0.25">
      <c r="A121" s="24" t="s">
        <v>102</v>
      </c>
      <c r="B121" s="20">
        <v>29.1</v>
      </c>
      <c r="C121" s="98">
        <v>136339156</v>
      </c>
      <c r="D121" s="98">
        <v>381701</v>
      </c>
      <c r="E121" s="114">
        <v>143682</v>
      </c>
      <c r="F121" s="114">
        <v>417926</v>
      </c>
      <c r="H121" s="30">
        <v>417926</v>
      </c>
      <c r="I121" s="27">
        <v>143682</v>
      </c>
      <c r="J121" s="104">
        <v>381701</v>
      </c>
      <c r="K121" s="98">
        <v>136339156</v>
      </c>
    </row>
    <row r="122" spans="1:11" x14ac:dyDescent="0.25">
      <c r="A122" s="24" t="s">
        <v>103</v>
      </c>
      <c r="B122" s="20">
        <v>29.1</v>
      </c>
      <c r="C122" s="98">
        <v>-216275998</v>
      </c>
      <c r="D122" s="98">
        <v>-146124</v>
      </c>
      <c r="E122" s="114">
        <v>-41748</v>
      </c>
      <c r="F122" s="114">
        <v>-502212</v>
      </c>
      <c r="H122" s="28">
        <v>502212</v>
      </c>
      <c r="I122" s="27">
        <v>41748</v>
      </c>
      <c r="J122" s="104">
        <v>-146124</v>
      </c>
      <c r="K122" s="104">
        <v>216275998</v>
      </c>
    </row>
    <row r="123" spans="1:11" x14ac:dyDescent="0.25">
      <c r="A123" s="24" t="s">
        <v>104</v>
      </c>
      <c r="B123" s="95">
        <v>34</v>
      </c>
      <c r="C123" s="110"/>
      <c r="D123" s="108">
        <v>-33265</v>
      </c>
      <c r="E123" s="114">
        <v>-26676</v>
      </c>
      <c r="F123" s="114">
        <v>-57977</v>
      </c>
      <c r="H123" s="30">
        <v>57977</v>
      </c>
      <c r="I123" s="27">
        <v>26676</v>
      </c>
      <c r="J123" s="111">
        <v>-33265</v>
      </c>
      <c r="K123" s="110"/>
    </row>
    <row r="124" spans="1:11" ht="15.75" thickBot="1" x14ac:dyDescent="0.3">
      <c r="A124" s="24" t="s">
        <v>105</v>
      </c>
      <c r="B124" s="95">
        <v>19</v>
      </c>
      <c r="C124" s="105">
        <v>0</v>
      </c>
      <c r="D124" s="105">
        <v>0</v>
      </c>
      <c r="E124" s="117">
        <v>0</v>
      </c>
      <c r="F124" s="117">
        <v>0</v>
      </c>
      <c r="H124" s="52">
        <v>8600</v>
      </c>
      <c r="I124" s="33">
        <v>3750</v>
      </c>
      <c r="J124" s="112" t="s">
        <v>17</v>
      </c>
      <c r="K124" s="105">
        <v>0</v>
      </c>
    </row>
    <row r="125" spans="1:11" ht="23.25" thickBot="1" x14ac:dyDescent="0.3">
      <c r="A125" s="24" t="s">
        <v>106</v>
      </c>
      <c r="B125" s="56"/>
      <c r="C125" s="103">
        <v>79936842</v>
      </c>
      <c r="D125" s="103">
        <v>54123</v>
      </c>
      <c r="E125" s="116">
        <v>75258</v>
      </c>
      <c r="F125" s="116">
        <v>142263</v>
      </c>
      <c r="H125" s="92">
        <v>150863</v>
      </c>
      <c r="I125" s="37">
        <v>71508</v>
      </c>
      <c r="J125" s="102">
        <v>54123</v>
      </c>
      <c r="K125" s="103">
        <v>79936842</v>
      </c>
    </row>
    <row r="126" spans="1:11" ht="17.25" thickTop="1" x14ac:dyDescent="0.25">
      <c r="A126" s="4"/>
      <c r="B126" s="229"/>
      <c r="C126" s="113"/>
      <c r="D126" s="113"/>
      <c r="E126" s="96"/>
      <c r="F126" s="96"/>
      <c r="H126" s="96"/>
      <c r="I126" s="96"/>
      <c r="J126" s="113"/>
      <c r="K126" s="106"/>
    </row>
    <row r="127" spans="1:11" ht="22.5" x14ac:dyDescent="0.25">
      <c r="A127" s="24" t="s">
        <v>107</v>
      </c>
      <c r="B127" s="229"/>
      <c r="C127" s="98">
        <v>-38698657</v>
      </c>
      <c r="D127" s="98">
        <v>63112</v>
      </c>
      <c r="E127" s="114">
        <v>158823</v>
      </c>
      <c r="F127" s="114">
        <v>-9059</v>
      </c>
      <c r="H127" s="30">
        <v>18768</v>
      </c>
      <c r="I127" s="27">
        <v>156643</v>
      </c>
      <c r="J127" s="98">
        <v>61341</v>
      </c>
      <c r="K127" s="98">
        <v>38386230</v>
      </c>
    </row>
    <row r="128" spans="1:11" ht="22.5" x14ac:dyDescent="0.25">
      <c r="A128" s="24" t="s">
        <v>108</v>
      </c>
      <c r="B128" s="56"/>
      <c r="C128" s="98">
        <v>89564964</v>
      </c>
      <c r="D128" s="98">
        <v>53012</v>
      </c>
      <c r="E128" s="114">
        <v>116278</v>
      </c>
      <c r="F128" s="114">
        <v>275825</v>
      </c>
      <c r="H128" s="28">
        <v>271668</v>
      </c>
      <c r="I128" s="27">
        <v>114301</v>
      </c>
      <c r="J128" s="98">
        <v>52806</v>
      </c>
      <c r="K128" s="98">
        <v>89046974</v>
      </c>
    </row>
    <row r="129" spans="1:17" ht="15.75" thickBot="1" x14ac:dyDescent="0.3">
      <c r="A129" s="24" t="s">
        <v>109</v>
      </c>
      <c r="B129" s="56"/>
      <c r="C129" s="101">
        <v>2145441</v>
      </c>
      <c r="D129" s="101">
        <v>154</v>
      </c>
      <c r="E129" s="117">
        <v>724</v>
      </c>
      <c r="F129" s="115">
        <v>-5272</v>
      </c>
      <c r="H129" s="34">
        <v>5272</v>
      </c>
      <c r="I129" s="54">
        <v>724</v>
      </c>
      <c r="J129" s="101">
        <v>154</v>
      </c>
      <c r="K129" s="101">
        <v>2145441</v>
      </c>
    </row>
    <row r="130" spans="1:17" ht="23.25" thickBot="1" x14ac:dyDescent="0.3">
      <c r="A130" s="24" t="s">
        <v>110</v>
      </c>
      <c r="B130" s="25">
        <v>25</v>
      </c>
      <c r="C130" s="103">
        <v>53011748</v>
      </c>
      <c r="D130" s="103">
        <v>116278</v>
      </c>
      <c r="E130" s="116">
        <v>275825</v>
      </c>
      <c r="F130" s="116">
        <v>261494</v>
      </c>
      <c r="H130" s="92">
        <v>247628</v>
      </c>
      <c r="I130" s="37">
        <v>271668</v>
      </c>
      <c r="J130" s="103">
        <v>114301</v>
      </c>
      <c r="K130" s="103">
        <v>52806185</v>
      </c>
    </row>
    <row r="131" spans="1:17" ht="15.75" thickTop="1" x14ac:dyDescent="0.25">
      <c r="L131" s="107"/>
      <c r="M131" s="107"/>
      <c r="N131" s="107"/>
      <c r="O131" s="107"/>
      <c r="P131" s="107"/>
      <c r="Q131" s="107"/>
    </row>
    <row r="132" spans="1:17" x14ac:dyDescent="0.25">
      <c r="H132" s="107"/>
      <c r="I132" s="107"/>
      <c r="J132" s="107"/>
      <c r="K132" s="107"/>
      <c r="L132" s="107"/>
      <c r="M132" s="107"/>
    </row>
    <row r="133" spans="1:17" x14ac:dyDescent="0.25">
      <c r="H133" s="107"/>
      <c r="I133" s="107"/>
      <c r="J133" s="107"/>
      <c r="K133" s="107"/>
      <c r="L133" s="107"/>
      <c r="M133" s="107"/>
    </row>
  </sheetData>
  <mergeCells count="38">
    <mergeCell ref="H63:H64"/>
    <mergeCell ref="I63:I64"/>
    <mergeCell ref="A6:A7"/>
    <mergeCell ref="A35:B35"/>
    <mergeCell ref="A36:A37"/>
    <mergeCell ref="A89:B89"/>
    <mergeCell ref="A90:A91"/>
    <mergeCell ref="B63:B64"/>
    <mergeCell ref="B92:B93"/>
    <mergeCell ref="F92:F93"/>
    <mergeCell ref="E92:E93"/>
    <mergeCell ref="F63:F64"/>
    <mergeCell ref="E63:E64"/>
    <mergeCell ref="B104:B105"/>
    <mergeCell ref="F104:F105"/>
    <mergeCell ref="E104:E105"/>
    <mergeCell ref="H104:H105"/>
    <mergeCell ref="I104:I105"/>
    <mergeCell ref="B126:B127"/>
    <mergeCell ref="B118:B119"/>
    <mergeCell ref="F118:F119"/>
    <mergeCell ref="E118:E119"/>
    <mergeCell ref="H118:H119"/>
    <mergeCell ref="J118:J119"/>
    <mergeCell ref="K118:K119"/>
    <mergeCell ref="C92:C93"/>
    <mergeCell ref="C104:C105"/>
    <mergeCell ref="C118:C119"/>
    <mergeCell ref="D92:D93"/>
    <mergeCell ref="D104:D105"/>
    <mergeCell ref="D118:D119"/>
    <mergeCell ref="J92:J93"/>
    <mergeCell ref="K92:K93"/>
    <mergeCell ref="J104:J105"/>
    <mergeCell ref="K104:K105"/>
    <mergeCell ref="I118:I119"/>
    <mergeCell ref="H92:H93"/>
    <mergeCell ref="I92:I9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6504-DA60-421B-A714-48CF582C0DA9}">
  <dimension ref="B3:I40"/>
  <sheetViews>
    <sheetView showGridLines="0" workbookViewId="0">
      <pane ySplit="3" topLeftCell="A4" activePane="bottomLeft" state="frozen"/>
      <selection pane="bottomLeft" activeCell="E36" sqref="E36:H36"/>
    </sheetView>
  </sheetViews>
  <sheetFormatPr defaultRowHeight="14.25" x14ac:dyDescent="0.25"/>
  <cols>
    <col min="1" max="1" width="9.140625" style="127"/>
    <col min="2" max="5" width="12.7109375" style="127" customWidth="1"/>
    <col min="6" max="6" width="14.28515625" style="127" bestFit="1" customWidth="1"/>
    <col min="7" max="8" width="12.7109375" style="127" customWidth="1"/>
    <col min="9" max="16384" width="9.140625" style="127"/>
  </cols>
  <sheetData>
    <row r="3" spans="2:9" ht="20.100000000000001" customHeight="1" x14ac:dyDescent="0.25">
      <c r="B3" s="124" t="s">
        <v>130</v>
      </c>
      <c r="C3" s="124"/>
      <c r="D3" s="124"/>
      <c r="E3" s="124">
        <v>2018</v>
      </c>
      <c r="F3" s="124">
        <f>E3+1</f>
        <v>2019</v>
      </c>
      <c r="G3" s="124">
        <f t="shared" ref="G3:H3" si="0">F3+1</f>
        <v>2020</v>
      </c>
      <c r="H3" s="124">
        <f t="shared" si="0"/>
        <v>2021</v>
      </c>
      <c r="I3" s="126"/>
    </row>
    <row r="4" spans="2:9" x14ac:dyDescent="0.25">
      <c r="E4" s="233" t="s">
        <v>30</v>
      </c>
      <c r="F4" s="233" t="s">
        <v>30</v>
      </c>
      <c r="G4" s="233" t="s">
        <v>30</v>
      </c>
      <c r="H4" s="233" t="s">
        <v>30</v>
      </c>
    </row>
    <row r="5" spans="2:9" x14ac:dyDescent="0.25">
      <c r="B5" s="128" t="s">
        <v>125</v>
      </c>
    </row>
    <row r="6" spans="2:9" x14ac:dyDescent="0.2">
      <c r="B6" s="123" t="s">
        <v>5</v>
      </c>
      <c r="C6" s="129"/>
      <c r="D6" s="129"/>
      <c r="E6" s="206">
        <v>1039117.81</v>
      </c>
      <c r="F6" s="207">
        <v>1169831</v>
      </c>
      <c r="G6" s="208">
        <v>1346390</v>
      </c>
      <c r="H6" s="208">
        <v>1654299</v>
      </c>
    </row>
    <row r="7" spans="2:9" x14ac:dyDescent="0.2">
      <c r="B7" s="123" t="s">
        <v>6</v>
      </c>
      <c r="C7" s="129"/>
      <c r="D7" s="129"/>
      <c r="E7" s="209">
        <v>2225.0659999999998</v>
      </c>
      <c r="F7" s="210">
        <v>0</v>
      </c>
      <c r="G7" s="211">
        <v>104</v>
      </c>
      <c r="H7" s="210">
        <v>0</v>
      </c>
    </row>
    <row r="8" spans="2:9" x14ac:dyDescent="0.25">
      <c r="E8" s="135">
        <f>SUM(E6:E7)</f>
        <v>1041342.876</v>
      </c>
      <c r="F8" s="135">
        <f>SUM(F6:F7)</f>
        <v>1169831</v>
      </c>
      <c r="G8" s="135">
        <f>SUM(G6:G7)</f>
        <v>1346494</v>
      </c>
      <c r="H8" s="135">
        <f>SUM(H6:H7)</f>
        <v>1654299</v>
      </c>
    </row>
    <row r="9" spans="2:9" x14ac:dyDescent="0.25">
      <c r="B9" s="130" t="s">
        <v>126</v>
      </c>
      <c r="E9" s="136"/>
      <c r="F9" s="136"/>
      <c r="G9" s="136"/>
      <c r="H9" s="136"/>
    </row>
    <row r="10" spans="2:9" x14ac:dyDescent="0.2">
      <c r="B10" s="123" t="s">
        <v>7</v>
      </c>
      <c r="E10" s="206">
        <v>305519.08799999999</v>
      </c>
      <c r="F10" s="208">
        <v>246604</v>
      </c>
      <c r="G10" s="208">
        <v>310248</v>
      </c>
      <c r="H10" s="208">
        <v>390471</v>
      </c>
    </row>
    <row r="11" spans="2:9" x14ac:dyDescent="0.2">
      <c r="B11" s="123" t="s">
        <v>8</v>
      </c>
      <c r="E11" s="206">
        <v>16643.562999999998</v>
      </c>
      <c r="F11" s="208">
        <v>12459</v>
      </c>
      <c r="G11" s="208">
        <v>12820</v>
      </c>
      <c r="H11" s="208">
        <v>19395</v>
      </c>
    </row>
    <row r="12" spans="2:9" x14ac:dyDescent="0.2">
      <c r="B12" s="123" t="s">
        <v>27</v>
      </c>
      <c r="E12" s="206">
        <v>6191.7290000000003</v>
      </c>
      <c r="F12" s="208">
        <v>12766</v>
      </c>
      <c r="G12" s="208">
        <v>20566</v>
      </c>
      <c r="H12" s="208">
        <v>4233</v>
      </c>
    </row>
    <row r="13" spans="2:9" x14ac:dyDescent="0.2">
      <c r="B13" s="123" t="s">
        <v>9</v>
      </c>
      <c r="E13" s="206">
        <v>95630.221999999994</v>
      </c>
      <c r="F13" s="208">
        <v>105250</v>
      </c>
      <c r="G13" s="208">
        <v>112470</v>
      </c>
      <c r="H13" s="208">
        <v>127570</v>
      </c>
    </row>
    <row r="14" spans="2:9" x14ac:dyDescent="0.2">
      <c r="B14" s="123" t="s">
        <v>10</v>
      </c>
      <c r="E14" s="206">
        <v>4173.2049999999999</v>
      </c>
      <c r="F14" s="208">
        <v>4038</v>
      </c>
      <c r="G14" s="208">
        <v>2956</v>
      </c>
      <c r="H14" s="208">
        <v>4144</v>
      </c>
    </row>
    <row r="15" spans="2:9" x14ac:dyDescent="0.2">
      <c r="B15" s="123" t="s">
        <v>11</v>
      </c>
      <c r="E15" s="209">
        <v>5508.549</v>
      </c>
      <c r="F15" s="211">
        <v>5553</v>
      </c>
      <c r="G15" s="211">
        <v>6106</v>
      </c>
      <c r="H15" s="211">
        <v>8651</v>
      </c>
    </row>
    <row r="16" spans="2:9" x14ac:dyDescent="0.25">
      <c r="C16" s="130"/>
      <c r="D16" s="130"/>
      <c r="E16" s="137">
        <f>SUM(E10:E15)</f>
        <v>433666.35600000003</v>
      </c>
      <c r="F16" s="137">
        <f>SUM(F10:F15)</f>
        <v>386670</v>
      </c>
      <c r="G16" s="137">
        <f>SUM(G10:G15)</f>
        <v>465166</v>
      </c>
      <c r="H16" s="137">
        <f>SUM(H10:H15)</f>
        <v>554464</v>
      </c>
    </row>
    <row r="17" spans="2:8" x14ac:dyDescent="0.25">
      <c r="B17" s="130" t="s">
        <v>32</v>
      </c>
      <c r="C17" s="130"/>
      <c r="D17" s="130"/>
      <c r="E17" s="138">
        <f>E8-E16</f>
        <v>607676.52</v>
      </c>
      <c r="F17" s="138">
        <f>F8-F16</f>
        <v>783161</v>
      </c>
      <c r="G17" s="138">
        <f>G8-G16</f>
        <v>881328</v>
      </c>
      <c r="H17" s="138">
        <f>H8-H16</f>
        <v>1099835</v>
      </c>
    </row>
    <row r="18" spans="2:8" x14ac:dyDescent="0.25">
      <c r="B18" s="130" t="s">
        <v>127</v>
      </c>
      <c r="E18" s="136"/>
      <c r="F18" s="136"/>
      <c r="G18" s="136"/>
      <c r="H18" s="136"/>
    </row>
    <row r="19" spans="2:8" x14ac:dyDescent="0.2">
      <c r="B19" s="123" t="s">
        <v>28</v>
      </c>
      <c r="E19" s="206">
        <v>51287.375</v>
      </c>
      <c r="F19" s="208">
        <v>56586</v>
      </c>
      <c r="G19" s="208">
        <v>68528</v>
      </c>
      <c r="H19" s="208">
        <v>78199</v>
      </c>
    </row>
    <row r="20" spans="2:8" x14ac:dyDescent="0.2">
      <c r="B20" s="123" t="s">
        <v>12</v>
      </c>
      <c r="E20" s="206">
        <v>16274.39</v>
      </c>
      <c r="F20" s="208">
        <v>19848</v>
      </c>
      <c r="G20" s="208">
        <v>15144</v>
      </c>
      <c r="H20" s="208">
        <v>21453</v>
      </c>
    </row>
    <row r="21" spans="2:8" x14ac:dyDescent="0.2">
      <c r="B21" s="123" t="s">
        <v>13</v>
      </c>
      <c r="E21" s="212">
        <v>27152.445</v>
      </c>
      <c r="F21" s="213">
        <v>30707</v>
      </c>
      <c r="G21" s="213">
        <v>45325</v>
      </c>
      <c r="H21" s="213">
        <v>48381</v>
      </c>
    </row>
    <row r="22" spans="2:8" x14ac:dyDescent="0.2">
      <c r="B22" s="123" t="s">
        <v>136</v>
      </c>
      <c r="E22" s="209">
        <v>78985.872999999992</v>
      </c>
      <c r="F22" s="211">
        <v>50989</v>
      </c>
      <c r="G22" s="211">
        <v>66591</v>
      </c>
      <c r="H22" s="211">
        <v>74731</v>
      </c>
    </row>
    <row r="23" spans="2:8" x14ac:dyDescent="0.25">
      <c r="B23" s="130"/>
      <c r="C23" s="130"/>
      <c r="D23" s="130"/>
      <c r="E23" s="139">
        <f>SUM(E19:E22)</f>
        <v>173700.08299999998</v>
      </c>
      <c r="F23" s="139">
        <f t="shared" ref="F23:H23" si="1">SUM(F19:F22)</f>
        <v>158130</v>
      </c>
      <c r="G23" s="139">
        <f t="shared" si="1"/>
        <v>195588</v>
      </c>
      <c r="H23" s="139">
        <f t="shared" si="1"/>
        <v>222764</v>
      </c>
    </row>
    <row r="24" spans="2:8" x14ac:dyDescent="0.25">
      <c r="B24" s="130" t="s">
        <v>33</v>
      </c>
      <c r="E24" s="138">
        <f>E17-E23</f>
        <v>433976.43700000003</v>
      </c>
      <c r="F24" s="138">
        <f>F17-F23</f>
        <v>625031</v>
      </c>
      <c r="G24" s="138">
        <f>G17-G23</f>
        <v>685740</v>
      </c>
      <c r="H24" s="138">
        <f>H17-H23</f>
        <v>877071</v>
      </c>
    </row>
    <row r="25" spans="2:8" x14ac:dyDescent="0.25">
      <c r="B25" s="130" t="s">
        <v>128</v>
      </c>
      <c r="C25" s="130"/>
      <c r="D25" s="130"/>
      <c r="E25" s="136"/>
      <c r="F25" s="136"/>
      <c r="G25" s="136"/>
      <c r="H25" s="136"/>
    </row>
    <row r="26" spans="2:8" x14ac:dyDescent="0.2">
      <c r="B26" s="123" t="s">
        <v>14</v>
      </c>
      <c r="E26" s="206">
        <v>141162.47899999999</v>
      </c>
      <c r="F26" s="208">
        <v>147807</v>
      </c>
      <c r="G26" s="208">
        <v>150203</v>
      </c>
      <c r="H26" s="208">
        <v>162544</v>
      </c>
    </row>
    <row r="27" spans="2:8" x14ac:dyDescent="0.2">
      <c r="B27" s="123" t="s">
        <v>15</v>
      </c>
      <c r="E27" s="206">
        <v>26700.181</v>
      </c>
      <c r="F27" s="208">
        <v>29997</v>
      </c>
      <c r="G27" s="208">
        <v>36699</v>
      </c>
      <c r="H27" s="208">
        <v>43945</v>
      </c>
    </row>
    <row r="28" spans="2:8" x14ac:dyDescent="0.2">
      <c r="B28" s="123" t="s">
        <v>16</v>
      </c>
      <c r="E28" s="214">
        <v>0</v>
      </c>
      <c r="F28" s="211">
        <v>54002</v>
      </c>
      <c r="G28" s="211">
        <v>72125</v>
      </c>
      <c r="H28" s="211">
        <v>85835</v>
      </c>
    </row>
    <row r="29" spans="2:8" x14ac:dyDescent="0.25">
      <c r="E29" s="134">
        <f>SUM(E26:E28)</f>
        <v>167862.66</v>
      </c>
      <c r="F29" s="134">
        <f>SUM(F26:F28)</f>
        <v>231806</v>
      </c>
      <c r="G29" s="134">
        <f>SUM(G26:G28)</f>
        <v>259027</v>
      </c>
      <c r="H29" s="134">
        <f>SUM(H26:H28)</f>
        <v>292324</v>
      </c>
    </row>
    <row r="30" spans="2:8" x14ac:dyDescent="0.25">
      <c r="B30" s="130" t="s">
        <v>34</v>
      </c>
      <c r="C30" s="130"/>
      <c r="D30" s="130"/>
      <c r="E30" s="138">
        <f>E24-E29</f>
        <v>266113.777</v>
      </c>
      <c r="F30" s="138">
        <f t="shared" ref="F30:H30" si="2">F24-F29</f>
        <v>393225</v>
      </c>
      <c r="G30" s="138">
        <f t="shared" si="2"/>
        <v>426713</v>
      </c>
      <c r="H30" s="138">
        <f t="shared" si="2"/>
        <v>584747</v>
      </c>
    </row>
    <row r="31" spans="2:8" x14ac:dyDescent="0.25">
      <c r="B31" s="127" t="s">
        <v>131</v>
      </c>
      <c r="C31" s="130"/>
      <c r="D31" s="130"/>
      <c r="E31" s="136"/>
      <c r="F31" s="136"/>
      <c r="G31" s="136"/>
      <c r="H31" s="136"/>
    </row>
    <row r="32" spans="2:8" x14ac:dyDescent="0.2">
      <c r="B32" s="123" t="s">
        <v>21</v>
      </c>
      <c r="E32" s="206">
        <v>22568.339</v>
      </c>
      <c r="F32" s="206">
        <v>20132</v>
      </c>
      <c r="G32" s="206">
        <v>15848</v>
      </c>
      <c r="H32" s="206">
        <v>11938</v>
      </c>
    </row>
    <row r="33" spans="2:8" x14ac:dyDescent="0.2">
      <c r="B33" s="123" t="s">
        <v>22</v>
      </c>
      <c r="E33" s="206">
        <v>67339.467999999993</v>
      </c>
      <c r="F33" s="206">
        <v>122080</v>
      </c>
      <c r="G33" s="206">
        <v>143687</v>
      </c>
      <c r="H33" s="206">
        <v>159998</v>
      </c>
    </row>
    <row r="34" spans="2:8" x14ac:dyDescent="0.25">
      <c r="E34" s="139">
        <f>E33-E32</f>
        <v>44771.128999999994</v>
      </c>
      <c r="F34" s="139">
        <f>F33-F32</f>
        <v>101948</v>
      </c>
      <c r="G34" s="139">
        <f>G33-G32</f>
        <v>127839</v>
      </c>
      <c r="H34" s="139">
        <f>H33-H32</f>
        <v>148060</v>
      </c>
    </row>
    <row r="35" spans="2:8" x14ac:dyDescent="0.25">
      <c r="B35" s="130" t="s">
        <v>129</v>
      </c>
      <c r="C35" s="130"/>
      <c r="D35" s="130"/>
      <c r="E35" s="138">
        <f>E30-E34</f>
        <v>221342.64800000002</v>
      </c>
      <c r="F35" s="138">
        <f>F30-F34</f>
        <v>291277</v>
      </c>
      <c r="G35" s="138">
        <f>G30-G34</f>
        <v>298874</v>
      </c>
      <c r="H35" s="138">
        <f>H30-H34</f>
        <v>436687</v>
      </c>
    </row>
    <row r="36" spans="2:8" x14ac:dyDescent="0.25">
      <c r="B36" s="127" t="s">
        <v>24</v>
      </c>
      <c r="E36" s="206">
        <v>75656.747000000003</v>
      </c>
      <c r="F36" s="206">
        <v>87994</v>
      </c>
      <c r="G36" s="206">
        <v>93660</v>
      </c>
      <c r="H36" s="206">
        <v>138033</v>
      </c>
    </row>
    <row r="37" spans="2:8" ht="15" thickBot="1" x14ac:dyDescent="0.3">
      <c r="B37" s="130" t="s">
        <v>35</v>
      </c>
      <c r="C37" s="130"/>
      <c r="D37" s="130"/>
      <c r="E37" s="140">
        <f>E35-E36</f>
        <v>145685.90100000001</v>
      </c>
      <c r="F37" s="140">
        <f t="shared" ref="F37:H37" si="3">F35-F36</f>
        <v>203283</v>
      </c>
      <c r="G37" s="140">
        <f t="shared" si="3"/>
        <v>205214</v>
      </c>
      <c r="H37" s="140">
        <f t="shared" si="3"/>
        <v>298654</v>
      </c>
    </row>
    <row r="38" spans="2:8" ht="15" thickTop="1" x14ac:dyDescent="0.25">
      <c r="E38" s="131"/>
      <c r="F38" s="131"/>
      <c r="G38" s="131"/>
      <c r="H38" s="131"/>
    </row>
    <row r="39" spans="2:8" x14ac:dyDescent="0.25">
      <c r="E39" s="131"/>
      <c r="F39" s="131"/>
      <c r="G39" s="131"/>
      <c r="H39" s="131"/>
    </row>
    <row r="40" spans="2:8" x14ac:dyDescent="0.25">
      <c r="E40" s="131"/>
      <c r="F40" s="131"/>
      <c r="G40" s="131"/>
      <c r="H40" s="131"/>
    </row>
  </sheetData>
  <mergeCells count="1">
    <mergeCell ref="E4:H4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0736-60E2-49C0-9CA3-34CB841E05C0}">
  <dimension ref="B3:I41"/>
  <sheetViews>
    <sheetView showGridLines="0" workbookViewId="0">
      <selection activeCell="G17" sqref="G17"/>
    </sheetView>
  </sheetViews>
  <sheetFormatPr defaultRowHeight="15" x14ac:dyDescent="0.25"/>
  <cols>
    <col min="2" max="7" width="12.7109375" customWidth="1"/>
    <col min="8" max="8" width="13.5703125" bestFit="1" customWidth="1"/>
  </cols>
  <sheetData>
    <row r="3" spans="2:9" s="127" customFormat="1" ht="20.100000000000001" customHeight="1" x14ac:dyDescent="0.25">
      <c r="B3" s="124" t="s">
        <v>36</v>
      </c>
      <c r="C3" s="124"/>
      <c r="D3" s="124"/>
      <c r="E3" s="124">
        <v>2018</v>
      </c>
      <c r="F3" s="124">
        <f>E3+1</f>
        <v>2019</v>
      </c>
      <c r="G3" s="124">
        <f t="shared" ref="G3:H3" si="0">F3+1</f>
        <v>2020</v>
      </c>
      <c r="H3" s="124">
        <f t="shared" si="0"/>
        <v>2021</v>
      </c>
      <c r="I3" s="126"/>
    </row>
    <row r="4" spans="2:9" x14ac:dyDescent="0.25">
      <c r="E4" s="233" t="s">
        <v>30</v>
      </c>
      <c r="F4" s="233" t="s">
        <v>30</v>
      </c>
      <c r="G4" s="233" t="s">
        <v>30</v>
      </c>
      <c r="H4" s="233" t="s">
        <v>30</v>
      </c>
    </row>
    <row r="5" spans="2:9" ht="15.75" x14ac:dyDescent="0.25">
      <c r="B5" s="42" t="s">
        <v>38</v>
      </c>
    </row>
    <row r="6" spans="2:9" ht="15.75" x14ac:dyDescent="0.25">
      <c r="B6" s="82" t="s">
        <v>39</v>
      </c>
    </row>
    <row r="7" spans="2:9" ht="15.75" x14ac:dyDescent="0.25">
      <c r="B7" s="43" t="s">
        <v>72</v>
      </c>
      <c r="E7" s="215">
        <v>607023.54399999999</v>
      </c>
      <c r="F7" s="215">
        <v>625095</v>
      </c>
      <c r="G7" s="215">
        <v>686157</v>
      </c>
      <c r="H7" s="215">
        <v>774113</v>
      </c>
    </row>
    <row r="8" spans="2:9" ht="15.75" x14ac:dyDescent="0.25">
      <c r="B8" s="43" t="s">
        <v>40</v>
      </c>
      <c r="E8" s="215">
        <v>0</v>
      </c>
      <c r="F8" s="215">
        <v>476357</v>
      </c>
      <c r="G8" s="215">
        <v>595745</v>
      </c>
      <c r="H8" s="215">
        <v>613812</v>
      </c>
    </row>
    <row r="9" spans="2:9" ht="15.75" x14ac:dyDescent="0.25">
      <c r="B9" s="43" t="s">
        <v>41</v>
      </c>
      <c r="E9" s="215">
        <v>119368.12300000001</v>
      </c>
      <c r="F9" s="215">
        <v>120946</v>
      </c>
      <c r="G9" s="215">
        <v>111080</v>
      </c>
      <c r="H9" s="215">
        <v>245558</v>
      </c>
    </row>
    <row r="10" spans="2:9" ht="15.75" x14ac:dyDescent="0.25">
      <c r="B10" s="43" t="s">
        <v>138</v>
      </c>
      <c r="C10" s="78"/>
      <c r="D10" s="78"/>
      <c r="E10" s="215">
        <v>19493.032999999999</v>
      </c>
      <c r="F10" s="215">
        <v>16997</v>
      </c>
      <c r="G10" s="215">
        <v>47743</v>
      </c>
      <c r="H10" s="215">
        <v>28787</v>
      </c>
    </row>
    <row r="11" spans="2:9" ht="15.75" x14ac:dyDescent="0.25">
      <c r="B11" s="43"/>
      <c r="C11" s="78"/>
      <c r="D11" s="78"/>
      <c r="E11" s="85">
        <f>SUM(E7:E10)</f>
        <v>745884.70000000007</v>
      </c>
      <c r="F11" s="85">
        <f>SUM(F7:F10)</f>
        <v>1239395</v>
      </c>
      <c r="G11" s="85">
        <f>SUM(G7:G10)</f>
        <v>1440725</v>
      </c>
      <c r="H11" s="85">
        <f>SUM(H7:H10)</f>
        <v>1662270</v>
      </c>
    </row>
    <row r="12" spans="2:9" ht="15.75" x14ac:dyDescent="0.25">
      <c r="B12" s="82" t="s">
        <v>45</v>
      </c>
      <c r="C12" s="78"/>
      <c r="D12" s="78"/>
      <c r="E12" s="83"/>
      <c r="F12" s="83"/>
      <c r="G12" s="83"/>
      <c r="H12" s="83"/>
    </row>
    <row r="13" spans="2:9" ht="16.5" x14ac:dyDescent="0.3">
      <c r="B13" s="43" t="s">
        <v>46</v>
      </c>
      <c r="C13" s="78"/>
      <c r="D13" s="78"/>
      <c r="E13" s="216">
        <v>1538.7660000000001</v>
      </c>
      <c r="F13" s="216">
        <v>909</v>
      </c>
      <c r="G13" s="216">
        <v>2158</v>
      </c>
      <c r="H13" s="216">
        <v>5310</v>
      </c>
    </row>
    <row r="14" spans="2:9" ht="16.5" x14ac:dyDescent="0.3">
      <c r="B14" s="43" t="s">
        <v>47</v>
      </c>
      <c r="C14" s="78"/>
      <c r="D14" s="78"/>
      <c r="E14" s="216">
        <v>38617.124000000003</v>
      </c>
      <c r="F14" s="216">
        <v>52824</v>
      </c>
      <c r="G14" s="216">
        <v>50766</v>
      </c>
      <c r="H14" s="216">
        <v>127232</v>
      </c>
    </row>
    <row r="15" spans="2:9" s="143" customFormat="1" ht="16.5" x14ac:dyDescent="0.3">
      <c r="B15" s="44" t="s">
        <v>50</v>
      </c>
      <c r="C15" s="80"/>
      <c r="D15" s="80"/>
      <c r="E15" s="217">
        <v>53011.748</v>
      </c>
      <c r="F15" s="217">
        <v>116278</v>
      </c>
      <c r="G15" s="217">
        <v>275198</v>
      </c>
      <c r="H15" s="217">
        <v>260891</v>
      </c>
    </row>
    <row r="16" spans="2:9" ht="16.5" x14ac:dyDescent="0.3">
      <c r="B16" s="43" t="s">
        <v>139</v>
      </c>
      <c r="C16" s="80"/>
      <c r="D16" s="80"/>
      <c r="E16" s="218">
        <v>102687.28200000001</v>
      </c>
      <c r="F16" s="218">
        <v>92877</v>
      </c>
      <c r="G16" s="218">
        <v>194696</v>
      </c>
      <c r="H16" s="218">
        <v>203852</v>
      </c>
    </row>
    <row r="17" spans="2:8" ht="15.75" x14ac:dyDescent="0.25">
      <c r="B17" s="43"/>
      <c r="C17" s="78"/>
      <c r="D17" s="78"/>
      <c r="E17" s="43">
        <f>SUM(E13:E16)</f>
        <v>195854.92</v>
      </c>
      <c r="F17" s="43">
        <f>SUM(F13:F16)</f>
        <v>262888</v>
      </c>
      <c r="G17" s="43">
        <f>SUM(G13:G16)</f>
        <v>522818</v>
      </c>
      <c r="H17" s="43">
        <f>SUM(H13:H16)</f>
        <v>597285</v>
      </c>
    </row>
    <row r="18" spans="2:8" ht="16.5" thickBot="1" x14ac:dyDescent="0.3">
      <c r="B18" s="76" t="s">
        <v>76</v>
      </c>
      <c r="C18" s="84"/>
      <c r="D18" s="84"/>
      <c r="E18" s="79">
        <f>E11+E17</f>
        <v>941739.62000000011</v>
      </c>
      <c r="F18" s="79">
        <f>F11+F17</f>
        <v>1502283</v>
      </c>
      <c r="G18" s="79">
        <f>G11+G17</f>
        <v>1963543</v>
      </c>
      <c r="H18" s="79">
        <f>H11+H17</f>
        <v>2259555</v>
      </c>
    </row>
    <row r="19" spans="2:8" ht="16.5" thickTop="1" x14ac:dyDescent="0.25">
      <c r="B19" s="42" t="s">
        <v>80</v>
      </c>
      <c r="C19" s="78"/>
      <c r="D19" s="78"/>
      <c r="E19" s="78"/>
      <c r="F19" s="78"/>
      <c r="G19" s="78"/>
      <c r="H19" s="43"/>
    </row>
    <row r="20" spans="2:8" ht="15.75" x14ac:dyDescent="0.25">
      <c r="B20" s="82" t="str">
        <f>Research!A64</f>
        <v>Noncurrent liabilities</v>
      </c>
      <c r="C20" s="78"/>
      <c r="D20" s="78"/>
      <c r="E20" s="78"/>
      <c r="F20" s="78"/>
      <c r="G20" s="78"/>
      <c r="H20" s="43"/>
    </row>
    <row r="21" spans="2:8" ht="15.75" x14ac:dyDescent="0.25">
      <c r="B21" s="43" t="str">
        <f>Research!A65</f>
        <v>Borrowings</v>
      </c>
      <c r="C21" s="78"/>
      <c r="D21" s="78"/>
      <c r="E21" s="215">
        <v>31438.348999999998</v>
      </c>
      <c r="F21" s="215">
        <v>380089</v>
      </c>
      <c r="G21" s="215">
        <v>330551</v>
      </c>
      <c r="H21" s="215">
        <v>340425</v>
      </c>
    </row>
    <row r="22" spans="2:8" ht="15.75" x14ac:dyDescent="0.25">
      <c r="B22" s="43" t="str">
        <f>Research!A67</f>
        <v>Lease liabilities</v>
      </c>
      <c r="C22" s="78"/>
      <c r="D22" s="78"/>
      <c r="E22" s="215">
        <v>0</v>
      </c>
      <c r="F22" s="215">
        <v>458509</v>
      </c>
      <c r="G22" s="215">
        <v>586992</v>
      </c>
      <c r="H22" s="215">
        <v>628325</v>
      </c>
    </row>
    <row r="23" spans="2:8" ht="15.75" x14ac:dyDescent="0.25">
      <c r="B23" s="43" t="str">
        <f>Research!A68</f>
        <v>Deferred tax</v>
      </c>
      <c r="C23" s="78"/>
      <c r="D23" s="78"/>
      <c r="E23" s="215">
        <v>109266.019</v>
      </c>
      <c r="F23" s="215">
        <v>120587</v>
      </c>
      <c r="G23" s="215">
        <v>113130</v>
      </c>
      <c r="H23" s="215">
        <v>104683</v>
      </c>
    </row>
    <row r="24" spans="2:8" ht="15.75" x14ac:dyDescent="0.25">
      <c r="B24" s="43" t="s">
        <v>145</v>
      </c>
      <c r="C24" s="78"/>
      <c r="D24" s="78"/>
      <c r="E24" s="215">
        <v>734.87700000000007</v>
      </c>
      <c r="F24" s="215">
        <v>2659</v>
      </c>
      <c r="G24" s="215">
        <v>10572</v>
      </c>
      <c r="H24" s="215">
        <v>15137</v>
      </c>
    </row>
    <row r="25" spans="2:8" ht="15.75" x14ac:dyDescent="0.25">
      <c r="B25" s="43"/>
      <c r="C25" s="78"/>
      <c r="D25" s="78"/>
      <c r="E25" s="85">
        <f>SUM(E21:E24)</f>
        <v>141439.245</v>
      </c>
      <c r="F25" s="85">
        <f>SUM(F21:F24)</f>
        <v>961844</v>
      </c>
      <c r="G25" s="85">
        <f>SUM(G21:G24)</f>
        <v>1041245</v>
      </c>
      <c r="H25" s="85">
        <f>SUM(H21:H24)</f>
        <v>1088570</v>
      </c>
    </row>
    <row r="26" spans="2:8" ht="15.75" x14ac:dyDescent="0.25">
      <c r="B26" s="87" t="str">
        <f>Research!A73</f>
        <v>Current liabilities</v>
      </c>
      <c r="C26" s="78"/>
      <c r="D26" s="78"/>
      <c r="E26" s="86"/>
      <c r="F26" s="86"/>
      <c r="G26" s="86"/>
      <c r="H26" s="86"/>
    </row>
    <row r="27" spans="2:8" ht="15.75" x14ac:dyDescent="0.25">
      <c r="B27" s="46" t="s">
        <v>65</v>
      </c>
      <c r="C27" s="78"/>
      <c r="D27" s="78"/>
      <c r="E27" s="219">
        <v>213715.209</v>
      </c>
      <c r="F27" s="219">
        <v>190444</v>
      </c>
      <c r="G27" s="219">
        <v>303977</v>
      </c>
      <c r="H27" s="219">
        <v>443895</v>
      </c>
    </row>
    <row r="28" spans="2:8" ht="15.75" x14ac:dyDescent="0.25">
      <c r="B28" s="46" t="s">
        <v>58</v>
      </c>
      <c r="C28" s="78"/>
      <c r="D28" s="78"/>
      <c r="E28" s="219">
        <v>143875.889</v>
      </c>
      <c r="F28" s="219">
        <v>32453</v>
      </c>
      <c r="G28" s="219">
        <v>190599</v>
      </c>
      <c r="H28" s="219">
        <v>152835</v>
      </c>
    </row>
    <row r="29" spans="2:8" ht="15.75" x14ac:dyDescent="0.25">
      <c r="B29" s="46" t="s">
        <v>60</v>
      </c>
      <c r="C29" s="78"/>
      <c r="D29" s="78"/>
      <c r="E29" s="219">
        <v>0</v>
      </c>
      <c r="F29" s="219">
        <v>33564</v>
      </c>
      <c r="G29" s="219">
        <v>54798</v>
      </c>
      <c r="H29" s="219">
        <v>62531</v>
      </c>
    </row>
    <row r="30" spans="2:8" ht="15.75" x14ac:dyDescent="0.25">
      <c r="B30" s="46" t="s">
        <v>146</v>
      </c>
      <c r="C30" s="78"/>
      <c r="D30" s="78"/>
      <c r="E30" s="215">
        <v>223356.962</v>
      </c>
      <c r="F30" s="215">
        <v>138121</v>
      </c>
      <c r="G30" s="215">
        <v>194538</v>
      </c>
      <c r="H30" s="215">
        <v>246743</v>
      </c>
    </row>
    <row r="31" spans="2:8" ht="15.75" x14ac:dyDescent="0.25">
      <c r="B31" s="87"/>
      <c r="C31" s="78"/>
      <c r="D31" s="78"/>
      <c r="E31" s="88">
        <f>SUM(E27:E30)</f>
        <v>580948.06000000006</v>
      </c>
      <c r="F31" s="88">
        <f t="shared" ref="F31:H31" si="1">SUM(F27:F30)</f>
        <v>394582</v>
      </c>
      <c r="G31" s="88">
        <f t="shared" si="1"/>
        <v>743912</v>
      </c>
      <c r="H31" s="88">
        <f t="shared" si="1"/>
        <v>906004</v>
      </c>
    </row>
    <row r="32" spans="2:8" ht="15.75" x14ac:dyDescent="0.25">
      <c r="B32" s="76" t="s">
        <v>77</v>
      </c>
      <c r="E32" s="88">
        <f>E25+E31</f>
        <v>722387.30500000005</v>
      </c>
      <c r="F32" s="88">
        <f>F25+F31</f>
        <v>1356426</v>
      </c>
      <c r="G32" s="88">
        <f>G25+G31</f>
        <v>1785157</v>
      </c>
      <c r="H32" s="88">
        <f>H25+H31</f>
        <v>1994574</v>
      </c>
    </row>
    <row r="33" spans="2:8" ht="15.75" x14ac:dyDescent="0.25">
      <c r="B33" s="42" t="s">
        <v>78</v>
      </c>
    </row>
    <row r="34" spans="2:8" ht="15.75" x14ac:dyDescent="0.25">
      <c r="B34" s="43" t="s">
        <v>53</v>
      </c>
      <c r="E34" s="221">
        <v>646.51</v>
      </c>
      <c r="F34" s="221">
        <v>407</v>
      </c>
      <c r="G34" s="221">
        <v>407</v>
      </c>
      <c r="H34" s="221">
        <v>407</v>
      </c>
    </row>
    <row r="35" spans="2:8" ht="15.75" x14ac:dyDescent="0.25">
      <c r="B35" s="43" t="s">
        <v>54</v>
      </c>
      <c r="E35" s="221">
        <v>64498.466</v>
      </c>
      <c r="F35" s="221">
        <v>17216</v>
      </c>
      <c r="G35" s="221">
        <v>17216</v>
      </c>
      <c r="H35" s="221">
        <v>17216</v>
      </c>
    </row>
    <row r="36" spans="2:8" ht="15.75" x14ac:dyDescent="0.25">
      <c r="B36" s="43" t="s">
        <v>55</v>
      </c>
      <c r="E36" s="221">
        <v>6.069</v>
      </c>
      <c r="F36" s="221">
        <v>521</v>
      </c>
      <c r="G36" s="221">
        <v>239</v>
      </c>
      <c r="H36" s="221">
        <v>885</v>
      </c>
    </row>
    <row r="37" spans="2:8" ht="15.75" x14ac:dyDescent="0.25">
      <c r="B37" s="43" t="s">
        <v>56</v>
      </c>
      <c r="E37" s="221">
        <v>154201.26999999999</v>
      </c>
      <c r="F37" s="221">
        <v>127713</v>
      </c>
      <c r="G37" s="221">
        <v>160524</v>
      </c>
      <c r="H37" s="221">
        <v>246473</v>
      </c>
    </row>
    <row r="38" spans="2:8" ht="15.75" x14ac:dyDescent="0.25">
      <c r="B38" s="76" t="s">
        <v>78</v>
      </c>
      <c r="C38" s="84"/>
      <c r="D38" s="84"/>
      <c r="E38" s="88">
        <f>SUM(E34:E37)</f>
        <v>219352.315</v>
      </c>
      <c r="F38" s="88">
        <f t="shared" ref="F38:H38" si="2">SUM(F34:F37)</f>
        <v>145857</v>
      </c>
      <c r="G38" s="88">
        <f t="shared" si="2"/>
        <v>178386</v>
      </c>
      <c r="H38" s="88">
        <f t="shared" si="2"/>
        <v>264981</v>
      </c>
    </row>
    <row r="39" spans="2:8" ht="16.5" thickBot="1" x14ac:dyDescent="0.3">
      <c r="B39" s="76" t="s">
        <v>79</v>
      </c>
      <c r="C39" s="84"/>
      <c r="D39" s="84"/>
      <c r="E39" s="79">
        <f>E32+E38</f>
        <v>941739.62000000011</v>
      </c>
      <c r="F39" s="79">
        <f t="shared" ref="F39:H39" si="3">F32+F38</f>
        <v>1502283</v>
      </c>
      <c r="G39" s="79">
        <f t="shared" si="3"/>
        <v>1963543</v>
      </c>
      <c r="H39" s="79">
        <f t="shared" si="3"/>
        <v>2259555</v>
      </c>
    </row>
    <row r="40" spans="2:8" ht="15.75" thickTop="1" x14ac:dyDescent="0.25"/>
    <row r="41" spans="2:8" x14ac:dyDescent="0.25">
      <c r="B41" t="s">
        <v>124</v>
      </c>
      <c r="E41" s="141">
        <f>E18-E39</f>
        <v>0</v>
      </c>
      <c r="F41" s="141">
        <f>F18-F39</f>
        <v>0</v>
      </c>
      <c r="G41" s="141">
        <f>G18-G39</f>
        <v>0</v>
      </c>
      <c r="H41" s="141">
        <f>H18-H39</f>
        <v>0</v>
      </c>
    </row>
  </sheetData>
  <mergeCells count="1">
    <mergeCell ref="E4:H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4BEE-B3AC-4509-BDEF-32A4AB90A96E}">
  <dimension ref="B3:I34"/>
  <sheetViews>
    <sheetView showGridLines="0" workbookViewId="0">
      <pane xSplit="3" ySplit="3" topLeftCell="D19" activePane="bottomRight" state="frozen"/>
      <selection pane="topRight" activeCell="C1" sqref="C1"/>
      <selection pane="bottomLeft" activeCell="A2" sqref="A2"/>
      <selection pane="bottomRight" activeCell="E30" sqref="E30"/>
    </sheetView>
  </sheetViews>
  <sheetFormatPr defaultRowHeight="15" x14ac:dyDescent="0.25"/>
  <cols>
    <col min="2" max="8" width="12.7109375" customWidth="1"/>
  </cols>
  <sheetData>
    <row r="3" spans="2:9" s="127" customFormat="1" ht="20.100000000000001" customHeight="1" x14ac:dyDescent="0.25">
      <c r="B3" s="124" t="s">
        <v>170</v>
      </c>
      <c r="C3" s="124"/>
      <c r="D3" s="124"/>
      <c r="E3" s="124">
        <v>2018</v>
      </c>
      <c r="F3" s="124">
        <f>E3+1</f>
        <v>2019</v>
      </c>
      <c r="G3" s="124">
        <f t="shared" ref="G3:H3" si="0">F3+1</f>
        <v>2020</v>
      </c>
      <c r="H3" s="124">
        <f t="shared" si="0"/>
        <v>2021</v>
      </c>
      <c r="I3" s="126"/>
    </row>
    <row r="4" spans="2:9" x14ac:dyDescent="0.25">
      <c r="E4" s="233" t="s">
        <v>30</v>
      </c>
      <c r="F4" s="233" t="s">
        <v>30</v>
      </c>
      <c r="G4" s="233" t="s">
        <v>30</v>
      </c>
      <c r="H4" s="233" t="s">
        <v>30</v>
      </c>
    </row>
    <row r="5" spans="2:9" ht="15.75" x14ac:dyDescent="0.25">
      <c r="B5" s="42" t="s">
        <v>118</v>
      </c>
      <c r="C5" s="43"/>
      <c r="D5" s="47"/>
      <c r="E5" s="78"/>
      <c r="F5" s="78"/>
      <c r="G5" s="78"/>
      <c r="H5" s="78"/>
    </row>
    <row r="6" spans="2:9" ht="15.75" x14ac:dyDescent="0.25">
      <c r="B6" s="43" t="s">
        <v>83</v>
      </c>
      <c r="C6" s="43"/>
      <c r="D6" s="47"/>
      <c r="E6" s="220">
        <v>437487.84700000001</v>
      </c>
      <c r="F6" s="220">
        <v>608732</v>
      </c>
      <c r="G6" s="220">
        <v>833107</v>
      </c>
      <c r="H6" s="220">
        <v>1027596</v>
      </c>
    </row>
    <row r="7" spans="2:9" ht="15.75" x14ac:dyDescent="0.25">
      <c r="B7" s="43" t="s">
        <v>21</v>
      </c>
      <c r="C7" s="43"/>
      <c r="D7" s="47"/>
      <c r="E7" s="220">
        <v>19604.316999999999</v>
      </c>
      <c r="F7" s="220">
        <v>16058</v>
      </c>
      <c r="G7" s="220">
        <v>14305</v>
      </c>
      <c r="H7" s="220">
        <v>15397</v>
      </c>
    </row>
    <row r="8" spans="2:9" ht="15.75" x14ac:dyDescent="0.25">
      <c r="B8" s="43" t="s">
        <v>22</v>
      </c>
      <c r="C8" s="43"/>
      <c r="D8" s="47"/>
      <c r="E8" s="220">
        <v>-42024.438000000002</v>
      </c>
      <c r="F8" s="220">
        <v>-105261</v>
      </c>
      <c r="G8" s="220">
        <v>-129853</v>
      </c>
      <c r="H8" s="220">
        <v>-143442</v>
      </c>
    </row>
    <row r="9" spans="2:9" ht="15.75" x14ac:dyDescent="0.25">
      <c r="B9" s="43" t="s">
        <v>84</v>
      </c>
      <c r="C9" s="43"/>
      <c r="D9" s="47"/>
      <c r="E9" s="220">
        <v>-38612.580999999998</v>
      </c>
      <c r="F9" s="220">
        <v>-133046</v>
      </c>
      <c r="G9" s="220">
        <v>-172403</v>
      </c>
      <c r="H9" s="220">
        <v>-212705</v>
      </c>
    </row>
    <row r="10" spans="2:9" ht="15.75" x14ac:dyDescent="0.25">
      <c r="B10" s="43" t="s">
        <v>178</v>
      </c>
      <c r="C10" s="43"/>
      <c r="D10" s="47"/>
      <c r="E10" s="220">
        <v>-131607.43400000001</v>
      </c>
      <c r="F10" s="220">
        <v>-180503</v>
      </c>
      <c r="G10" s="220">
        <v>-69481</v>
      </c>
      <c r="H10" s="220">
        <v>-125384</v>
      </c>
    </row>
    <row r="11" spans="2:9" ht="15.75" x14ac:dyDescent="0.25">
      <c r="B11" s="77" t="s">
        <v>132</v>
      </c>
      <c r="C11" s="120"/>
      <c r="D11" s="121"/>
      <c r="E11" s="81">
        <f>SUM(E6:E10)</f>
        <v>244847.71099999995</v>
      </c>
      <c r="F11" s="81">
        <f>SUM(F6:F10)</f>
        <v>205980</v>
      </c>
      <c r="G11" s="81">
        <f>SUM(G6:G10)</f>
        <v>475675</v>
      </c>
      <c r="H11" s="81">
        <f>SUM(H6:H10)</f>
        <v>561462</v>
      </c>
    </row>
    <row r="12" spans="2:9" ht="15.75" x14ac:dyDescent="0.25">
      <c r="B12" s="76"/>
      <c r="C12" s="44"/>
      <c r="D12" s="45"/>
      <c r="E12" s="80"/>
      <c r="F12" s="80"/>
      <c r="G12" s="80"/>
      <c r="H12" s="80"/>
    </row>
    <row r="13" spans="2:9" ht="15.75" x14ac:dyDescent="0.25">
      <c r="B13" s="42" t="s">
        <v>119</v>
      </c>
      <c r="C13" s="43"/>
      <c r="D13" s="47"/>
      <c r="E13" s="122"/>
      <c r="F13" s="122"/>
      <c r="G13" s="122"/>
      <c r="H13" s="122"/>
    </row>
    <row r="14" spans="2:9" ht="15.75" x14ac:dyDescent="0.25">
      <c r="B14" s="43" t="s">
        <v>91</v>
      </c>
      <c r="C14" s="43"/>
      <c r="D14" s="47"/>
      <c r="E14" s="222">
        <v>-201195.215</v>
      </c>
      <c r="F14" s="222">
        <v>-181685</v>
      </c>
      <c r="G14" s="222">
        <v>-214923</v>
      </c>
      <c r="H14" s="222">
        <v>-260276</v>
      </c>
    </row>
    <row r="15" spans="2:9" ht="15.75" x14ac:dyDescent="0.25">
      <c r="B15" s="43" t="s">
        <v>92</v>
      </c>
      <c r="C15" s="43"/>
      <c r="D15" s="47"/>
      <c r="E15" s="222">
        <v>652.51599999999996</v>
      </c>
      <c r="F15" s="222">
        <v>1023</v>
      </c>
      <c r="G15" s="222">
        <v>783</v>
      </c>
      <c r="H15" s="222">
        <v>3642</v>
      </c>
    </row>
    <row r="16" spans="2:9" ht="15.75" x14ac:dyDescent="0.25">
      <c r="B16" s="43" t="s">
        <v>93</v>
      </c>
      <c r="C16" s="43"/>
      <c r="D16" s="47"/>
      <c r="E16" s="222">
        <v>-2830.395</v>
      </c>
      <c r="F16" s="222">
        <v>0</v>
      </c>
      <c r="G16" s="222">
        <v>-8570</v>
      </c>
      <c r="H16" s="222">
        <v>-1795</v>
      </c>
    </row>
    <row r="17" spans="2:8" ht="15.75" x14ac:dyDescent="0.25">
      <c r="B17" s="43" t="s">
        <v>94</v>
      </c>
      <c r="C17" s="43"/>
      <c r="D17" s="47"/>
      <c r="E17" s="222">
        <v>0</v>
      </c>
      <c r="F17" s="222">
        <v>-3762</v>
      </c>
      <c r="G17" s="222">
        <v>-14971</v>
      </c>
      <c r="H17" s="222">
        <v>-248</v>
      </c>
    </row>
    <row r="18" spans="2:8" ht="15.75" x14ac:dyDescent="0.25">
      <c r="B18" s="43" t="s">
        <v>95</v>
      </c>
      <c r="C18" s="43"/>
      <c r="D18" s="47"/>
      <c r="E18" s="222">
        <v>-10119.299999999999</v>
      </c>
      <c r="F18" s="222">
        <v>-4571</v>
      </c>
      <c r="G18" s="222">
        <v>-26780</v>
      </c>
      <c r="H18" s="222">
        <v>-178320</v>
      </c>
    </row>
    <row r="19" spans="2:8" ht="15.75" x14ac:dyDescent="0.25">
      <c r="B19" s="43" t="s">
        <v>179</v>
      </c>
      <c r="C19" s="43"/>
      <c r="D19" s="47"/>
      <c r="E19" s="222">
        <v>9882.8679999999986</v>
      </c>
      <c r="F19" s="222">
        <v>-7996</v>
      </c>
      <c r="G19" s="222">
        <v>-127649</v>
      </c>
      <c r="H19" s="222">
        <v>8839</v>
      </c>
    </row>
    <row r="20" spans="2:8" ht="15.75" x14ac:dyDescent="0.25">
      <c r="B20" s="77" t="s">
        <v>120</v>
      </c>
      <c r="C20" s="120"/>
      <c r="D20" s="121"/>
      <c r="E20" s="81">
        <f>SUM(E14:E19)</f>
        <v>-203609.52599999998</v>
      </c>
      <c r="F20" s="81">
        <f>SUM(F14:F19)</f>
        <v>-196991</v>
      </c>
      <c r="G20" s="81">
        <f>SUM(G13:G19)</f>
        <v>-392110</v>
      </c>
      <c r="H20" s="81">
        <f>SUM(H13:H19)</f>
        <v>-428158</v>
      </c>
    </row>
    <row r="21" spans="2:8" ht="15.75" x14ac:dyDescent="0.25">
      <c r="B21" s="76"/>
      <c r="C21" s="44"/>
      <c r="D21" s="45"/>
      <c r="E21" s="80"/>
      <c r="F21" s="80"/>
      <c r="G21" s="80"/>
      <c r="H21" s="80"/>
    </row>
    <row r="22" spans="2:8" ht="15.75" x14ac:dyDescent="0.25">
      <c r="B22" s="42" t="s">
        <v>121</v>
      </c>
      <c r="C22" s="43"/>
      <c r="D22" s="47"/>
      <c r="E22" s="122"/>
      <c r="F22" s="122"/>
      <c r="G22" s="122"/>
      <c r="H22" s="122"/>
    </row>
    <row r="23" spans="2:8" ht="15.75" x14ac:dyDescent="0.25">
      <c r="B23" s="43" t="s">
        <v>113</v>
      </c>
      <c r="C23" s="43"/>
      <c r="D23" s="47"/>
      <c r="E23" s="133">
        <v>0</v>
      </c>
      <c r="F23" s="133">
        <v>-148189</v>
      </c>
      <c r="G23" s="133">
        <v>0</v>
      </c>
      <c r="H23" s="133">
        <v>0</v>
      </c>
    </row>
    <row r="24" spans="2:8" ht="15.75" x14ac:dyDescent="0.25">
      <c r="B24" s="43" t="s">
        <v>102</v>
      </c>
      <c r="C24" s="43"/>
      <c r="D24" s="47"/>
      <c r="E24" s="133">
        <v>136339.15599999999</v>
      </c>
      <c r="F24" s="133">
        <v>381701</v>
      </c>
      <c r="G24" s="133">
        <v>143682</v>
      </c>
      <c r="H24" s="133">
        <v>417926</v>
      </c>
    </row>
    <row r="25" spans="2:8" ht="15.75" x14ac:dyDescent="0.25">
      <c r="B25" s="43" t="s">
        <v>103</v>
      </c>
      <c r="C25" s="43"/>
      <c r="D25" s="47"/>
      <c r="E25" s="133">
        <v>-216275.99799999999</v>
      </c>
      <c r="F25" s="133">
        <v>-146124</v>
      </c>
      <c r="G25" s="133">
        <v>-41748</v>
      </c>
      <c r="H25" s="133">
        <v>-502212</v>
      </c>
    </row>
    <row r="26" spans="2:8" ht="15.75" x14ac:dyDescent="0.25">
      <c r="B26" s="43" t="s">
        <v>104</v>
      </c>
      <c r="C26" s="43"/>
      <c r="D26" s="47"/>
      <c r="E26" s="133">
        <v>0</v>
      </c>
      <c r="F26" s="133">
        <v>-33265</v>
      </c>
      <c r="G26" s="133">
        <v>-26676</v>
      </c>
      <c r="H26" s="133">
        <v>-57977</v>
      </c>
    </row>
    <row r="27" spans="2:8" ht="15.75" x14ac:dyDescent="0.25">
      <c r="B27" s="77" t="s">
        <v>122</v>
      </c>
      <c r="C27" s="120"/>
      <c r="D27" s="121"/>
      <c r="E27" s="81">
        <f>SUM(E23:E26)</f>
        <v>-79936.842000000004</v>
      </c>
      <c r="F27" s="81">
        <f>SUM(F23:F26)</f>
        <v>54123</v>
      </c>
      <c r="G27" s="81">
        <f>SUM(G23:G26)</f>
        <v>75258</v>
      </c>
      <c r="H27" s="81">
        <f>SUM(H23:H26)</f>
        <v>-142263</v>
      </c>
    </row>
    <row r="28" spans="2:8" ht="15.75" x14ac:dyDescent="0.25">
      <c r="B28" s="76"/>
      <c r="C28" s="44"/>
      <c r="D28" s="45"/>
      <c r="E28" s="80"/>
      <c r="F28" s="80"/>
      <c r="G28" s="80"/>
      <c r="H28" s="80"/>
    </row>
    <row r="29" spans="2:8" ht="15.75" x14ac:dyDescent="0.25">
      <c r="B29" s="44" t="s">
        <v>107</v>
      </c>
      <c r="C29" s="44"/>
      <c r="D29" s="45"/>
      <c r="E29" s="223">
        <f>E11+E20+E27</f>
        <v>-38698.657000000036</v>
      </c>
      <c r="F29" s="223">
        <f>F11+F20+F27</f>
        <v>63112</v>
      </c>
      <c r="G29" s="223">
        <f>G11+G20+G27</f>
        <v>158823</v>
      </c>
      <c r="H29" s="223">
        <f>H11+H20+H27</f>
        <v>-8959</v>
      </c>
    </row>
    <row r="30" spans="2:8" ht="15.75" x14ac:dyDescent="0.25">
      <c r="B30" s="44" t="s">
        <v>108</v>
      </c>
      <c r="C30" s="43"/>
      <c r="D30" s="47"/>
      <c r="E30" s="222">
        <v>89564.964000000007</v>
      </c>
      <c r="F30" s="222">
        <v>53012</v>
      </c>
      <c r="G30" s="222">
        <v>116278</v>
      </c>
      <c r="H30" s="222">
        <v>275825</v>
      </c>
    </row>
    <row r="31" spans="2:8" ht="15.75" x14ac:dyDescent="0.25">
      <c r="B31" s="44" t="s">
        <v>109</v>
      </c>
      <c r="C31" s="43"/>
      <c r="D31" s="47"/>
      <c r="E31" s="222">
        <v>2145.4409999999998</v>
      </c>
      <c r="F31" s="222">
        <v>154</v>
      </c>
      <c r="G31" s="222">
        <v>724</v>
      </c>
      <c r="H31" s="222">
        <v>-5272</v>
      </c>
    </row>
    <row r="32" spans="2:8" ht="15.75" x14ac:dyDescent="0.25">
      <c r="B32" s="77" t="s">
        <v>123</v>
      </c>
      <c r="C32" s="120"/>
      <c r="D32" s="121"/>
      <c r="E32" s="81">
        <f>SUM(E29:E31)</f>
        <v>53011.74799999997</v>
      </c>
      <c r="F32" s="81">
        <f t="shared" ref="F32:H32" si="1">SUM(F29:F31)</f>
        <v>116278</v>
      </c>
      <c r="G32" s="81">
        <f t="shared" si="1"/>
        <v>275825</v>
      </c>
      <c r="H32" s="81">
        <f t="shared" si="1"/>
        <v>261594</v>
      </c>
    </row>
    <row r="33" spans="2:8" ht="15.75" x14ac:dyDescent="0.25">
      <c r="B33" s="42"/>
      <c r="C33" s="43"/>
      <c r="D33" s="47"/>
      <c r="E33" s="80"/>
      <c r="F33" s="78"/>
      <c r="G33" s="78"/>
      <c r="H33" s="78"/>
    </row>
    <row r="34" spans="2:8" ht="15.75" x14ac:dyDescent="0.25">
      <c r="B34" s="42"/>
      <c r="C34" s="43"/>
      <c r="D34" s="47"/>
      <c r="E34" s="80"/>
      <c r="F34" s="78"/>
      <c r="G34" s="78"/>
      <c r="H34" s="78"/>
    </row>
  </sheetData>
  <mergeCells count="1">
    <mergeCell ref="E4:H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53B4-F6D4-4ECD-9FEE-684B41760FFA}">
  <dimension ref="B3:H22"/>
  <sheetViews>
    <sheetView showGridLines="0" topLeftCell="A4" workbookViewId="0">
      <selection activeCell="E22" sqref="E22"/>
    </sheetView>
  </sheetViews>
  <sheetFormatPr defaultRowHeight="15" x14ac:dyDescent="0.25"/>
  <cols>
    <col min="2" max="2" width="28" bestFit="1" customWidth="1"/>
    <col min="3" max="3" width="3.5703125" customWidth="1"/>
    <col min="4" max="7" width="10.7109375" customWidth="1"/>
  </cols>
  <sheetData>
    <row r="3" spans="2:8" s="127" customFormat="1" ht="20.100000000000001" customHeight="1" x14ac:dyDescent="0.25">
      <c r="B3" s="124" t="s">
        <v>171</v>
      </c>
      <c r="C3" s="124"/>
      <c r="D3" s="124">
        <v>2018</v>
      </c>
      <c r="E3" s="124">
        <f>D3+1</f>
        <v>2019</v>
      </c>
      <c r="F3" s="124">
        <f t="shared" ref="F3:G3" si="0">E3+1</f>
        <v>2020</v>
      </c>
      <c r="G3" s="124">
        <f t="shared" si="0"/>
        <v>2021</v>
      </c>
      <c r="H3" s="126"/>
    </row>
    <row r="4" spans="2:8" s="144" customFormat="1" ht="18" x14ac:dyDescent="0.25">
      <c r="B4" s="148" t="s">
        <v>143</v>
      </c>
      <c r="C4" s="148"/>
      <c r="D4" s="145"/>
      <c r="E4" s="145"/>
      <c r="F4" s="145"/>
      <c r="G4" s="145"/>
    </row>
    <row r="5" spans="2:8" x14ac:dyDescent="0.25">
      <c r="B5" s="149" t="s">
        <v>133</v>
      </c>
      <c r="C5" s="149"/>
      <c r="D5" s="150"/>
      <c r="E5" s="150">
        <f>'Income Statement'!F8/'Income Statement'!E8-1</f>
        <v>0.12338695252187026</v>
      </c>
      <c r="F5" s="150">
        <f>'Income Statement'!G8/'Income Statement'!F8-1</f>
        <v>0.15101583049175482</v>
      </c>
      <c r="G5" s="150">
        <f>'Income Statement'!H8/'Income Statement'!G8-1</f>
        <v>0.22859737956500359</v>
      </c>
    </row>
    <row r="6" spans="2:8" x14ac:dyDescent="0.25">
      <c r="B6" s="149" t="s">
        <v>154</v>
      </c>
      <c r="C6" s="149"/>
      <c r="D6" s="191">
        <f>1-('Income Statement'!E16/'Income Statement'!E8)</f>
        <v>0.58355084958587644</v>
      </c>
      <c r="E6" s="191">
        <f>1-('Income Statement'!F16/'Income Statement'!F8)</f>
        <v>0.66946507657943755</v>
      </c>
      <c r="F6" s="191">
        <f>1-('Income Statement'!G16/'Income Statement'!G8)</f>
        <v>0.65453540825284029</v>
      </c>
      <c r="G6" s="191">
        <f>1-('Income Statement'!H16/'Income Statement'!H8)</f>
        <v>0.66483447067307666</v>
      </c>
    </row>
    <row r="7" spans="2:8" x14ac:dyDescent="0.25">
      <c r="B7" s="149" t="s">
        <v>153</v>
      </c>
      <c r="C7" s="149"/>
      <c r="D7" s="191">
        <f>'Income Statement'!E30/'Income Statement'!E8</f>
        <v>0.2555486604202783</v>
      </c>
      <c r="E7" s="191">
        <f>'Income Statement'!F30/'Income Statement'!F8</f>
        <v>0.3361382968992957</v>
      </c>
      <c r="F7" s="191">
        <f>'Income Statement'!G30/'Income Statement'!G8</f>
        <v>0.31690672219853933</v>
      </c>
      <c r="G7" s="191">
        <f>'Income Statement'!H30/'Income Statement'!H8</f>
        <v>0.35347116815037666</v>
      </c>
    </row>
    <row r="8" spans="2:8" x14ac:dyDescent="0.25">
      <c r="B8" s="149" t="s">
        <v>135</v>
      </c>
      <c r="C8" s="149"/>
      <c r="D8" s="191">
        <f>'Income Statement'!E37/'Income Statement'!E8</f>
        <v>0.1399019519484378</v>
      </c>
      <c r="E8" s="191">
        <f>'Income Statement'!F37/'Income Statement'!F8</f>
        <v>0.17377125413841829</v>
      </c>
      <c r="F8" s="191">
        <f>'Income Statement'!G37/'Income Statement'!G8</f>
        <v>0.15240617485113189</v>
      </c>
      <c r="G8" s="191">
        <f>'Income Statement'!H37/'Income Statement'!H8</f>
        <v>0.18053205617606008</v>
      </c>
    </row>
    <row r="9" spans="2:8" x14ac:dyDescent="0.25">
      <c r="B9" s="148" t="s">
        <v>36</v>
      </c>
      <c r="C9" s="148"/>
      <c r="D9" s="147"/>
      <c r="E9" s="147"/>
      <c r="F9" s="147"/>
      <c r="G9" s="147"/>
    </row>
    <row r="10" spans="2:8" x14ac:dyDescent="0.25">
      <c r="B10" s="149" t="s">
        <v>134</v>
      </c>
      <c r="C10" s="149"/>
      <c r="D10" s="151">
        <f>'Balance Sheet'!E11/'Income Statement'!E8</f>
        <v>0.71627195728758219</v>
      </c>
      <c r="E10" s="151">
        <f>'Balance Sheet'!F11/'Income Statement'!F8</f>
        <v>1.0594649996452479</v>
      </c>
      <c r="F10" s="151">
        <f>'Balance Sheet'!G11/'Income Statement'!G8</f>
        <v>1.0699824878536406</v>
      </c>
      <c r="G10" s="151">
        <f>'Balance Sheet'!H11/'Income Statement'!H8</f>
        <v>1.0048183550857492</v>
      </c>
    </row>
    <row r="11" spans="2:8" x14ac:dyDescent="0.25">
      <c r="B11" s="149" t="s">
        <v>137</v>
      </c>
      <c r="C11" s="149"/>
      <c r="D11" s="151">
        <f>'Balance Sheet'!E17/'Balance Sheet'!E31</f>
        <v>0.33712982878366093</v>
      </c>
      <c r="E11" s="151">
        <f>'Balance Sheet'!F17/'Balance Sheet'!F31</f>
        <v>0.66624427875574654</v>
      </c>
      <c r="F11" s="151">
        <f>'Balance Sheet'!G17/'Balance Sheet'!G31</f>
        <v>0.70279549193990687</v>
      </c>
      <c r="G11" s="151">
        <f>'Balance Sheet'!H17/'Balance Sheet'!H31</f>
        <v>0.6592520562823122</v>
      </c>
    </row>
    <row r="12" spans="2:8" x14ac:dyDescent="0.25">
      <c r="B12" s="149" t="s">
        <v>140</v>
      </c>
      <c r="C12" s="149"/>
      <c r="D12" s="152">
        <f>('Balance Sheet'!E13/'Income Statement'!E16)*365</f>
        <v>1.2951191214842592</v>
      </c>
      <c r="E12" s="152">
        <f>('Balance Sheet'!F13/'Income Statement'!F16)*365</f>
        <v>0.85805725812708511</v>
      </c>
      <c r="F12" s="152">
        <f>('Balance Sheet'!G13/'Income Statement'!G16)*365</f>
        <v>1.6933094852160304</v>
      </c>
      <c r="G12" s="152">
        <f>('Balance Sheet'!H13/'Income Statement'!H16)*365</f>
        <v>3.4955380331274886</v>
      </c>
    </row>
    <row r="13" spans="2:8" x14ac:dyDescent="0.25">
      <c r="B13" s="149" t="s">
        <v>141</v>
      </c>
      <c r="C13" s="149"/>
      <c r="D13" s="152">
        <f>('Balance Sheet'!E14/'Income Statement'!E16)*365</f>
        <v>32.502521961837409</v>
      </c>
      <c r="E13" s="152">
        <f>('Balance Sheet'!F14/'Income Statement'!F16)*365</f>
        <v>49.863604624098066</v>
      </c>
      <c r="F13" s="152">
        <f>('Balance Sheet'!G14/'Income Statement'!G16)*365</f>
        <v>39.834360206893884</v>
      </c>
      <c r="G13" s="152">
        <f>('Balance Sheet'!H14/'Income Statement'!H16)*365</f>
        <v>83.755987764760206</v>
      </c>
    </row>
    <row r="14" spans="2:8" x14ac:dyDescent="0.25">
      <c r="B14" s="149" t="s">
        <v>142</v>
      </c>
      <c r="C14" s="149"/>
      <c r="D14" s="152">
        <f>('Balance Sheet'!E27/'Income Statement'!E16)*365</f>
        <v>179.87572751666261</v>
      </c>
      <c r="E14" s="152">
        <f>('Balance Sheet'!F27/'Income Statement'!F16)*365</f>
        <v>179.77101921535157</v>
      </c>
      <c r="F14" s="152">
        <f>('Balance Sheet'!G27/'Income Statement'!G16)*365</f>
        <v>238.52045291358354</v>
      </c>
      <c r="G14" s="152">
        <f>('Balance Sheet'!H27/'Income Statement'!H16)*365</f>
        <v>292.21315540774515</v>
      </c>
    </row>
    <row r="15" spans="2:8" x14ac:dyDescent="0.25">
      <c r="B15" s="148" t="s">
        <v>144</v>
      </c>
      <c r="C15" s="148"/>
      <c r="D15" s="147"/>
      <c r="E15" s="147"/>
      <c r="F15" s="147"/>
      <c r="G15" s="147"/>
    </row>
    <row r="16" spans="2:8" x14ac:dyDescent="0.25">
      <c r="B16" t="s">
        <v>147</v>
      </c>
      <c r="D16" s="48">
        <f>'Cashflow Statement'!E11/'Income Statement'!E8</f>
        <v>0.23512688917650976</v>
      </c>
      <c r="E16" s="48">
        <f>'Cashflow Statement'!F11/'Income Statement'!F8</f>
        <v>0.17607671535461106</v>
      </c>
      <c r="F16" s="48">
        <f>'Cashflow Statement'!G11/'Income Statement'!G8</f>
        <v>0.35326930532182099</v>
      </c>
      <c r="G16" s="48">
        <f>'Cashflow Statement'!H11/'Income Statement'!H8</f>
        <v>0.33939571987893363</v>
      </c>
    </row>
    <row r="17" spans="2:7" x14ac:dyDescent="0.25">
      <c r="B17" t="s">
        <v>148</v>
      </c>
      <c r="D17" s="142">
        <f>'Cashflow Statement'!E11/'Balance Sheet'!E32</f>
        <v>0.33894243338066404</v>
      </c>
      <c r="E17" s="142">
        <f>'Cashflow Statement'!F11/'Balance Sheet'!F32</f>
        <v>0.15185494822423043</v>
      </c>
      <c r="F17" s="142">
        <f>'Cashflow Statement'!G11/'Balance Sheet'!G32</f>
        <v>0.26646115719793834</v>
      </c>
      <c r="G17" s="142">
        <f>'Cashflow Statement'!H11/'Balance Sheet'!H32</f>
        <v>0.28149469510782754</v>
      </c>
    </row>
    <row r="18" spans="2:7" x14ac:dyDescent="0.25">
      <c r="B18" t="s">
        <v>149</v>
      </c>
      <c r="D18" s="142">
        <f>'Cashflow Statement'!E11/'Income Statement'!E37</f>
        <v>1.6806548150462406</v>
      </c>
      <c r="E18" s="142">
        <f>'Cashflow Statement'!F11/'Income Statement'!F37</f>
        <v>1.0132672186065732</v>
      </c>
      <c r="F18" s="142">
        <f>'Cashflow Statement'!G11/'Income Statement'!G37</f>
        <v>2.3179461440252616</v>
      </c>
      <c r="G18" s="142">
        <f>'Cashflow Statement'!H11/'Income Statement'!H37</f>
        <v>1.879974820360685</v>
      </c>
    </row>
    <row r="20" spans="2:7" x14ac:dyDescent="0.25">
      <c r="B20" s="148" t="s">
        <v>150</v>
      </c>
      <c r="C20" s="148"/>
    </row>
    <row r="21" spans="2:7" x14ac:dyDescent="0.25">
      <c r="B21" t="s">
        <v>151</v>
      </c>
      <c r="D21" s="146">
        <f>'Income Statement'!E30/('Balance Sheet'!E18-'Balance Sheet'!E31)</f>
        <v>0.73758315466137836</v>
      </c>
      <c r="E21" s="146">
        <f>'Income Statement'!F30/('Balance Sheet'!F18-'Balance Sheet'!F31)</f>
        <v>0.35499200596550873</v>
      </c>
      <c r="F21" s="146">
        <f>'Income Statement'!G30/('Balance Sheet'!G18-'Balance Sheet'!G31)</f>
        <v>0.34987057560852419</v>
      </c>
      <c r="G21" s="146">
        <f>'Income Statement'!H30/('Balance Sheet'!H18-'Balance Sheet'!H31)</f>
        <v>0.43200958072507056</v>
      </c>
    </row>
    <row r="22" spans="2:7" x14ac:dyDescent="0.25">
      <c r="B22" t="s">
        <v>152</v>
      </c>
      <c r="D22" s="48">
        <f>'Balance Sheet'!E38/'Income Statement'!E37</f>
        <v>1.5056523211535753</v>
      </c>
      <c r="E22" s="48">
        <f>'Balance Sheet'!F38/'Income Statement'!F37</f>
        <v>0.71750712061510313</v>
      </c>
      <c r="F22" s="48">
        <f>'Balance Sheet'!G38/'Income Statement'!G37</f>
        <v>0.86926817858430716</v>
      </c>
      <c r="G22" s="48">
        <f>'Balance Sheet'!H38/'Income Statement'!H37</f>
        <v>0.88725079858297562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9B65C-5EA6-4B4D-B793-32B029328CED}">
  <dimension ref="A1:L35"/>
  <sheetViews>
    <sheetView showGridLines="0" workbookViewId="0">
      <pane xSplit="4" ySplit="4" topLeftCell="E5" activePane="bottomRight" state="frozen"/>
      <selection pane="topRight" activeCell="E1" sqref="E1"/>
      <selection pane="bottomLeft" activeCell="A4" sqref="A4"/>
      <selection pane="bottomRight" activeCell="E7" sqref="E7"/>
    </sheetView>
  </sheetViews>
  <sheetFormatPr defaultRowHeight="15" x14ac:dyDescent="0.25"/>
  <cols>
    <col min="2" max="13" width="12.7109375" customWidth="1"/>
  </cols>
  <sheetData>
    <row r="1" spans="1:12" ht="15.75" thickBot="1" x14ac:dyDescent="0.3"/>
    <row r="2" spans="1:12" ht="15.75" thickBot="1" x14ac:dyDescent="0.3">
      <c r="A2" s="153" t="s">
        <v>164</v>
      </c>
      <c r="B2" s="173" t="s">
        <v>165</v>
      </c>
    </row>
    <row r="4" spans="1:12" ht="20.100000000000001" customHeight="1" x14ac:dyDescent="0.25">
      <c r="B4" s="124" t="s">
        <v>130</v>
      </c>
      <c r="C4" s="124"/>
      <c r="D4" s="124"/>
      <c r="E4" s="124">
        <v>2018</v>
      </c>
      <c r="F4" s="124">
        <f>E4+1</f>
        <v>2019</v>
      </c>
      <c r="G4" s="124">
        <f t="shared" ref="G4:H4" si="0">F4+1</f>
        <v>2020</v>
      </c>
      <c r="H4" s="124">
        <f t="shared" si="0"/>
        <v>2021</v>
      </c>
      <c r="I4" s="125">
        <f t="shared" ref="I4" si="1">H4+1</f>
        <v>2022</v>
      </c>
      <c r="J4" s="125">
        <f t="shared" ref="J4" si="2">I4+1</f>
        <v>2023</v>
      </c>
      <c r="K4" s="125">
        <f t="shared" ref="K4" si="3">J4+1</f>
        <v>2024</v>
      </c>
      <c r="L4" s="125">
        <f t="shared" ref="L4" si="4">K4+1</f>
        <v>2025</v>
      </c>
    </row>
    <row r="5" spans="1:12" s="144" customFormat="1" ht="18" x14ac:dyDescent="0.25">
      <c r="B5" s="189"/>
      <c r="C5" s="132"/>
      <c r="D5" s="132"/>
      <c r="E5" s="233" t="s">
        <v>30</v>
      </c>
      <c r="F5" s="233"/>
      <c r="G5" s="233"/>
      <c r="H5" s="233"/>
      <c r="I5" s="233"/>
      <c r="J5" s="233"/>
      <c r="K5" s="233"/>
      <c r="L5" s="233"/>
    </row>
    <row r="6" spans="1:12" x14ac:dyDescent="0.25">
      <c r="B6" s="153" t="s">
        <v>5</v>
      </c>
      <c r="E6" s="187">
        <f t="array" ref="E6">INDEX(total_rev,MATCH(E4,Financial_year,0))</f>
        <v>1041342.876</v>
      </c>
      <c r="F6" s="187">
        <f t="array" ref="F6">INDEX(total_rev,MATCH(F4,Financial_year,0))</f>
        <v>1169831</v>
      </c>
      <c r="G6" s="187">
        <f t="array" ref="G6">INDEX(total_rev,MATCH(G4,Financial_year,0))</f>
        <v>1346494</v>
      </c>
      <c r="H6" s="187">
        <f t="array" ref="H6">INDEX(total_rev,MATCH(H4,Financial_year,0))</f>
        <v>1654299</v>
      </c>
      <c r="I6" s="154">
        <f ca="1">H6*(1+I17)</f>
        <v>2051330.76</v>
      </c>
      <c r="J6" s="154">
        <f t="shared" ref="J6:L6" ca="1" si="5">I6*(1+J17)</f>
        <v>2543650.1423999998</v>
      </c>
      <c r="K6" s="154">
        <f t="shared" ca="1" si="5"/>
        <v>3154126.1765759997</v>
      </c>
      <c r="L6" s="154">
        <f t="shared" ca="1" si="5"/>
        <v>3911116.4589542397</v>
      </c>
    </row>
    <row r="7" spans="1:12" x14ac:dyDescent="0.25">
      <c r="B7" s="155" t="s">
        <v>126</v>
      </c>
      <c r="E7" s="187">
        <f t="array" ref="E7">INDEX(cost_of_sales,MATCH(E4,Financial_year,0))</f>
        <v>433666.35600000003</v>
      </c>
      <c r="F7" s="187">
        <f t="array" ref="F7">INDEX(cost_of_sales,MATCH(F4,Financial_year,0))</f>
        <v>386670</v>
      </c>
      <c r="G7" s="187">
        <f t="array" ref="G7">INDEX(cost_of_sales,MATCH(G4,Financial_year,0))</f>
        <v>465166</v>
      </c>
      <c r="H7" s="187">
        <f t="array" ref="H7">INDEX(cost_of_sales,MATCH(H4,Financial_year,0))</f>
        <v>554464</v>
      </c>
      <c r="I7" s="156"/>
      <c r="J7" s="156"/>
      <c r="K7" s="156"/>
      <c r="L7" s="156"/>
    </row>
    <row r="8" spans="1:12" x14ac:dyDescent="0.25">
      <c r="B8" s="153" t="s">
        <v>32</v>
      </c>
      <c r="E8" s="188">
        <f>E6-E7</f>
        <v>607676.52</v>
      </c>
      <c r="F8" s="188">
        <f t="shared" ref="F8:H8" si="6">F6-F7</f>
        <v>783161</v>
      </c>
      <c r="G8" s="188">
        <f t="shared" si="6"/>
        <v>881328</v>
      </c>
      <c r="H8" s="188">
        <f t="shared" si="6"/>
        <v>1099835</v>
      </c>
      <c r="I8" s="154">
        <f ca="1">I6*I18</f>
        <v>1353878.3016000001</v>
      </c>
      <c r="J8" s="154">
        <f t="shared" ref="J8:L8" ca="1" si="7">J6*J18</f>
        <v>1678809.0939839999</v>
      </c>
      <c r="K8" s="154">
        <f t="shared" ca="1" si="7"/>
        <v>2081723.2765401599</v>
      </c>
      <c r="L8" s="154">
        <f t="shared" ca="1" si="7"/>
        <v>2581336.8629097985</v>
      </c>
    </row>
    <row r="9" spans="1:12" x14ac:dyDescent="0.25">
      <c r="B9" s="157" t="s">
        <v>155</v>
      </c>
      <c r="E9" s="187">
        <f t="array" ref="E9">INDEX(SG_A,MATCH(E4,Financial_year,0))</f>
        <v>173700.08299999998</v>
      </c>
      <c r="F9" s="187">
        <f t="array" ref="F9">INDEX(SG_A,MATCH(F4,Financial_year,0))</f>
        <v>158130</v>
      </c>
      <c r="G9" s="187">
        <f t="array" ref="G9">INDEX(SG_A,MATCH(G4,Financial_year,0))</f>
        <v>195588</v>
      </c>
      <c r="H9" s="187">
        <f t="array" ref="H9">INDEX(SG_A,MATCH(H4,Financial_year,0))</f>
        <v>222764</v>
      </c>
      <c r="I9" s="156"/>
      <c r="J9" s="156"/>
      <c r="K9" s="156"/>
      <c r="L9" s="156"/>
    </row>
    <row r="10" spans="1:12" x14ac:dyDescent="0.25">
      <c r="B10" s="155" t="s">
        <v>19</v>
      </c>
      <c r="E10" s="187">
        <f t="array" ref="E10">INDEX(Depreciation_Amortisation,MATCH(E4,Financial_year,0))</f>
        <v>167862.66</v>
      </c>
      <c r="F10" s="187">
        <f t="array" ref="F10">INDEX(Depreciation_Amortisation,MATCH(F4,Financial_year,0))</f>
        <v>231806</v>
      </c>
      <c r="G10" s="187">
        <f t="array" ref="G10">INDEX(Depreciation_Amortisation,MATCH(G4,Financial_year,0))</f>
        <v>259027</v>
      </c>
      <c r="H10" s="187">
        <f t="array" ref="H10">INDEX(Depreciation_Amortisation,MATCH(H4,Financial_year,0))</f>
        <v>292324</v>
      </c>
      <c r="I10" s="156"/>
      <c r="J10" s="156"/>
      <c r="K10" s="156"/>
      <c r="L10" s="156"/>
    </row>
    <row r="11" spans="1:12" x14ac:dyDescent="0.25">
      <c r="B11" s="158" t="s">
        <v>156</v>
      </c>
      <c r="E11" s="188">
        <f>SUM(E9:E10)</f>
        <v>341562.74300000002</v>
      </c>
      <c r="F11" s="188">
        <f t="shared" ref="F11:H11" si="8">SUM(F9:F10)</f>
        <v>389936</v>
      </c>
      <c r="G11" s="188">
        <f t="shared" si="8"/>
        <v>454615</v>
      </c>
      <c r="H11" s="188">
        <f t="shared" si="8"/>
        <v>515088</v>
      </c>
      <c r="I11" s="159"/>
      <c r="J11" s="159"/>
      <c r="K11" s="159"/>
      <c r="L11" s="159"/>
    </row>
    <row r="12" spans="1:12" x14ac:dyDescent="0.25">
      <c r="B12" s="160" t="s">
        <v>157</v>
      </c>
      <c r="C12" s="161"/>
      <c r="D12" s="161"/>
      <c r="E12" s="190">
        <f>E8-E11</f>
        <v>266113.777</v>
      </c>
      <c r="F12" s="190">
        <f t="shared" ref="F12:H12" si="9">F8-F11</f>
        <v>393225</v>
      </c>
      <c r="G12" s="190">
        <f t="shared" si="9"/>
        <v>426713</v>
      </c>
      <c r="H12" s="190">
        <f t="shared" si="9"/>
        <v>584747</v>
      </c>
      <c r="I12" s="190">
        <f ca="1">I6*I19</f>
        <v>717965.76599999995</v>
      </c>
      <c r="J12" s="190">
        <f t="shared" ref="J12:L12" ca="1" si="10">J6*J19</f>
        <v>890277.54983999988</v>
      </c>
      <c r="K12" s="190">
        <f t="shared" ca="1" si="10"/>
        <v>1103944.1618015999</v>
      </c>
      <c r="L12" s="190">
        <f t="shared" ca="1" si="10"/>
        <v>1368890.7606339839</v>
      </c>
    </row>
    <row r="15" spans="1:12" x14ac:dyDescent="0.25">
      <c r="B15" s="162" t="s">
        <v>158</v>
      </c>
      <c r="C15" s="163"/>
      <c r="D15" s="163"/>
      <c r="E15" s="163"/>
      <c r="F15" s="162"/>
      <c r="G15" s="162"/>
      <c r="H15" s="162"/>
      <c r="I15" s="162"/>
      <c r="J15" s="162"/>
      <c r="K15" s="162"/>
      <c r="L15" s="162"/>
    </row>
    <row r="16" spans="1:12" ht="15.75" thickBot="1" x14ac:dyDescent="0.3">
      <c r="B16" s="164"/>
      <c r="C16" s="164"/>
      <c r="D16" s="192"/>
      <c r="E16" s="234" t="s">
        <v>159</v>
      </c>
      <c r="F16" s="234"/>
      <c r="G16" s="234"/>
      <c r="H16" s="234"/>
      <c r="I16" s="234" t="s">
        <v>160</v>
      </c>
      <c r="J16" s="234"/>
      <c r="K16" s="234"/>
      <c r="L16" s="234"/>
    </row>
    <row r="17" spans="2:12" ht="15.75" thickTop="1" x14ac:dyDescent="0.25">
      <c r="B17" s="165" t="s">
        <v>161</v>
      </c>
      <c r="E17" s="204"/>
      <c r="F17" s="204">
        <f t="array" ref="F17">INDEX(Sales_Growth,MATCH(F4,Financial_year,0))</f>
        <v>0.12338695252187026</v>
      </c>
      <c r="G17" s="204">
        <f t="array" ref="G17">INDEX(Sales_Growth,MATCH(G4,Financial_year,0))</f>
        <v>0.15101583049175482</v>
      </c>
      <c r="H17" s="167">
        <f t="array" ref="H17">INDEX(Sales_Growth,MATCH(H4,Financial_year,0))</f>
        <v>0.22859737956500359</v>
      </c>
      <c r="I17" s="166">
        <f ca="1">OFFSET($B$24,MATCH($B$2,$B$25:$B$27,0),7)</f>
        <v>0.24</v>
      </c>
      <c r="J17" s="166">
        <f t="shared" ref="J17" ca="1" si="11">OFFSET($B$24,MATCH($B$2,$B$25:$B$27,0),8)</f>
        <v>0.24</v>
      </c>
      <c r="K17" s="166">
        <f ca="1">OFFSET($B$24,MATCH($B$2,$B$25:$B$27,0),9)</f>
        <v>0.24</v>
      </c>
      <c r="L17" s="166">
        <f ca="1">OFFSET($B$24,MATCH($B$2,$B$25:$B$27,0),10)</f>
        <v>0.24</v>
      </c>
    </row>
    <row r="18" spans="2:12" x14ac:dyDescent="0.25">
      <c r="B18" s="165" t="s">
        <v>162</v>
      </c>
      <c r="E18" s="167">
        <f t="array" ref="E18">INDEX(Gross_Margin,MATCH(E4,Financial_year,0))</f>
        <v>0.58355084958587644</v>
      </c>
      <c r="F18" s="167">
        <f t="array" ref="F18">INDEX(Gross_Margin,MATCH(F4,Financial_year,0))</f>
        <v>0.66946507657943755</v>
      </c>
      <c r="G18" s="167">
        <f t="array" ref="G18">INDEX(Gross_Margin,MATCH(G4,Financial_year,0))</f>
        <v>0.65453540825284029</v>
      </c>
      <c r="H18" s="167">
        <f t="array" ref="H18">INDEX(Gross_Margin,MATCH(H4,Financial_year,0))</f>
        <v>0.66483447067307666</v>
      </c>
      <c r="I18" s="168">
        <f ca="1">OFFSET($B$28,MATCH($B$2,$B$29:$B$31,0),7)</f>
        <v>0.66</v>
      </c>
      <c r="J18" s="168">
        <f ca="1">OFFSET($B$28,MATCH($B$2,$B$29:$B$31,0),8)</f>
        <v>0.66</v>
      </c>
      <c r="K18" s="168">
        <f ca="1">OFFSET($B$28,MATCH($B$2,$B$29:$B$31,0),9)</f>
        <v>0.66</v>
      </c>
      <c r="L18" s="168">
        <f ca="1">OFFSET($B$28,MATCH($B$2,$B$29:$B$31,0),10)</f>
        <v>0.66</v>
      </c>
    </row>
    <row r="19" spans="2:12" x14ac:dyDescent="0.25">
      <c r="B19" s="169" t="s">
        <v>163</v>
      </c>
      <c r="C19" s="170"/>
      <c r="D19" s="170"/>
      <c r="E19" s="171">
        <f t="array" ref="E19">INDEX(Operating_Margin,MATCH(E4,Financial_year,0))</f>
        <v>0.2555486604202783</v>
      </c>
      <c r="F19" s="171">
        <f t="array" ref="F19">INDEX(Operating_Margin,MATCH(F4,Financial_year,0))</f>
        <v>0.3361382968992957</v>
      </c>
      <c r="G19" s="171">
        <f t="array" ref="G19">INDEX(Operating_Margin,MATCH(G4,Financial_year,0))</f>
        <v>0.31690672219853933</v>
      </c>
      <c r="H19" s="171">
        <f t="array" ref="H19">INDEX(Operating_Margin,MATCH(H4,Financial_year,0))</f>
        <v>0.35347116815037666</v>
      </c>
      <c r="I19" s="172">
        <f ca="1">OFFSET($B$32,MATCH($B$2,$B$33:$B$35,0),7)</f>
        <v>0.35</v>
      </c>
      <c r="J19" s="172">
        <f ca="1">OFFSET($B$32,MATCH($B$2,$B$33:$B$35,0),8)</f>
        <v>0.35</v>
      </c>
      <c r="K19" s="172">
        <f ca="1">OFFSET($B$32,MATCH($B$2,$B$33:$B$35,0),9)</f>
        <v>0.35</v>
      </c>
      <c r="L19" s="172">
        <f ca="1">OFFSET($B$32,MATCH($B$2,$B$33:$B$35,0),10)</f>
        <v>0.35</v>
      </c>
    </row>
    <row r="22" spans="2:12" x14ac:dyDescent="0.25">
      <c r="B22" s="162" t="s">
        <v>166</v>
      </c>
      <c r="C22" s="163"/>
      <c r="D22" s="163"/>
      <c r="E22" s="163"/>
      <c r="F22" s="163"/>
      <c r="G22" s="163"/>
      <c r="H22" s="163"/>
      <c r="I22" s="163"/>
      <c r="J22" s="163"/>
      <c r="K22" s="163"/>
      <c r="L22" s="163"/>
    </row>
    <row r="24" spans="2:12" ht="15.75" thickBot="1" x14ac:dyDescent="0.3">
      <c r="B24" s="174" t="s">
        <v>161</v>
      </c>
      <c r="C24" s="175"/>
      <c r="D24" s="175"/>
      <c r="E24" s="175"/>
      <c r="F24" s="175"/>
      <c r="G24" s="174"/>
      <c r="H24" s="176"/>
      <c r="I24" s="193">
        <v>2022</v>
      </c>
      <c r="J24" s="193">
        <f>I24+1</f>
        <v>2023</v>
      </c>
      <c r="K24" s="193">
        <f t="shared" ref="K24:L24" si="12">J24+1</f>
        <v>2024</v>
      </c>
      <c r="L24" s="193">
        <f t="shared" si="12"/>
        <v>2025</v>
      </c>
    </row>
    <row r="25" spans="2:12" ht="15.75" thickTop="1" x14ac:dyDescent="0.25">
      <c r="B25" t="s">
        <v>167</v>
      </c>
      <c r="D25">
        <v>1</v>
      </c>
      <c r="H25" s="177"/>
      <c r="I25" s="177">
        <v>0.25</v>
      </c>
      <c r="J25" s="177">
        <v>0.26</v>
      </c>
      <c r="K25" s="177">
        <v>0.26</v>
      </c>
      <c r="L25" s="177">
        <v>0.26</v>
      </c>
    </row>
    <row r="26" spans="2:12" x14ac:dyDescent="0.25">
      <c r="B26" t="s">
        <v>165</v>
      </c>
      <c r="D26">
        <v>2</v>
      </c>
      <c r="H26" s="177"/>
      <c r="I26" s="177">
        <v>0.24</v>
      </c>
      <c r="J26" s="177">
        <v>0.24</v>
      </c>
      <c r="K26" s="177">
        <v>0.24</v>
      </c>
      <c r="L26" s="177">
        <v>0.24</v>
      </c>
    </row>
    <row r="27" spans="2:12" x14ac:dyDescent="0.25">
      <c r="B27" t="s">
        <v>168</v>
      </c>
      <c r="D27">
        <v>3</v>
      </c>
      <c r="H27" s="178"/>
      <c r="I27" s="177">
        <v>0.2</v>
      </c>
      <c r="J27" s="178">
        <v>0.2</v>
      </c>
      <c r="K27" s="177">
        <v>0.2</v>
      </c>
      <c r="L27" s="177">
        <v>0.2</v>
      </c>
    </row>
    <row r="28" spans="2:12" ht="15.75" thickBot="1" x14ac:dyDescent="0.3">
      <c r="B28" s="174" t="s">
        <v>154</v>
      </c>
      <c r="C28" s="175"/>
      <c r="D28" s="175"/>
      <c r="E28" s="175"/>
      <c r="F28" s="175"/>
      <c r="G28" s="174"/>
      <c r="H28" s="179"/>
      <c r="I28" s="180"/>
      <c r="J28" s="179"/>
      <c r="K28" s="180"/>
      <c r="L28" s="180"/>
    </row>
    <row r="29" spans="2:12" ht="15.75" thickTop="1" x14ac:dyDescent="0.25">
      <c r="B29" t="s">
        <v>167</v>
      </c>
      <c r="D29">
        <v>1</v>
      </c>
      <c r="H29" s="181"/>
      <c r="I29" s="182">
        <v>0.67</v>
      </c>
      <c r="J29" s="182">
        <v>0.67</v>
      </c>
      <c r="K29" s="182">
        <v>0.67</v>
      </c>
      <c r="L29" s="182">
        <v>0.67</v>
      </c>
    </row>
    <row r="30" spans="2:12" x14ac:dyDescent="0.25">
      <c r="B30" t="s">
        <v>165</v>
      </c>
      <c r="D30">
        <v>2</v>
      </c>
      <c r="E30" s="183"/>
      <c r="F30" s="183"/>
      <c r="H30" s="181"/>
      <c r="I30" s="182">
        <v>0.66</v>
      </c>
      <c r="J30" s="181">
        <v>0.66</v>
      </c>
      <c r="K30" s="182">
        <v>0.66</v>
      </c>
      <c r="L30" s="182">
        <v>0.66</v>
      </c>
    </row>
    <row r="31" spans="2:12" x14ac:dyDescent="0.25">
      <c r="B31" t="s">
        <v>168</v>
      </c>
      <c r="D31">
        <v>3</v>
      </c>
      <c r="H31" s="181"/>
      <c r="I31" s="182">
        <v>0.64</v>
      </c>
      <c r="J31" s="181">
        <v>0.65</v>
      </c>
      <c r="K31" s="182">
        <v>0.65</v>
      </c>
      <c r="L31" s="182">
        <v>0.64</v>
      </c>
    </row>
    <row r="32" spans="2:12" ht="15.75" thickBot="1" x14ac:dyDescent="0.3">
      <c r="B32" s="174" t="s">
        <v>153</v>
      </c>
      <c r="C32" s="175"/>
      <c r="D32" s="175"/>
      <c r="E32" s="175"/>
      <c r="F32" s="175"/>
      <c r="G32" s="174"/>
      <c r="H32" s="180"/>
      <c r="I32" s="184"/>
      <c r="J32" s="180"/>
      <c r="K32" s="184"/>
      <c r="L32" s="184"/>
    </row>
    <row r="33" spans="2:12" ht="15.75" thickTop="1" x14ac:dyDescent="0.25">
      <c r="B33" t="s">
        <v>167</v>
      </c>
      <c r="D33">
        <v>1</v>
      </c>
      <c r="H33" s="182"/>
      <c r="I33" s="182">
        <v>0.36</v>
      </c>
      <c r="J33" s="182">
        <v>0.38</v>
      </c>
      <c r="K33" s="182">
        <v>0.39</v>
      </c>
      <c r="L33" s="182">
        <v>0.39</v>
      </c>
    </row>
    <row r="34" spans="2:12" x14ac:dyDescent="0.25">
      <c r="B34" t="s">
        <v>165</v>
      </c>
      <c r="D34">
        <v>2</v>
      </c>
      <c r="E34" s="183"/>
      <c r="F34" s="183"/>
      <c r="H34" s="182"/>
      <c r="I34" s="182">
        <v>0.35</v>
      </c>
      <c r="J34" s="182">
        <v>0.35</v>
      </c>
      <c r="K34" s="182">
        <v>0.35</v>
      </c>
      <c r="L34" s="182">
        <v>0.35</v>
      </c>
    </row>
    <row r="35" spans="2:12" x14ac:dyDescent="0.25">
      <c r="B35" s="170" t="s">
        <v>168</v>
      </c>
      <c r="C35" s="170"/>
      <c r="D35" s="170">
        <v>3</v>
      </c>
      <c r="E35" s="170"/>
      <c r="F35" s="170"/>
      <c r="G35" s="170"/>
      <c r="H35" s="185"/>
      <c r="I35" s="186">
        <v>0.34</v>
      </c>
      <c r="J35" s="186">
        <v>0.34</v>
      </c>
      <c r="K35" s="186">
        <v>0.34</v>
      </c>
      <c r="L35" s="186">
        <v>0.34</v>
      </c>
    </row>
  </sheetData>
  <mergeCells count="3">
    <mergeCell ref="I16:L16"/>
    <mergeCell ref="E16:H16"/>
    <mergeCell ref="E5:L5"/>
  </mergeCells>
  <dataValidations count="1">
    <dataValidation type="list" allowBlank="1" showInputMessage="1" showErrorMessage="1" sqref="B2:B3" xr:uid="{48F46E25-1658-45BD-8BB8-00224548FC6E}">
      <formula1>$B$29:$B$31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24" baseType="lpstr">
      <vt:lpstr>Cover</vt:lpstr>
      <vt:lpstr>Research</vt:lpstr>
      <vt:lpstr>Income Statement</vt:lpstr>
      <vt:lpstr>Balance Sheet</vt:lpstr>
      <vt:lpstr>Cashflow Statement</vt:lpstr>
      <vt:lpstr>Financial Statements Analysis</vt:lpstr>
      <vt:lpstr>Income Scenario Forecast</vt:lpstr>
      <vt:lpstr>Chart1</vt:lpstr>
      <vt:lpstr>Research!_TOC_250004</vt:lpstr>
      <vt:lpstr>Balance_Sheet</vt:lpstr>
      <vt:lpstr>CashFlow_Statement</vt:lpstr>
      <vt:lpstr>cost_of_sales</vt:lpstr>
      <vt:lpstr>Cover_Page</vt:lpstr>
      <vt:lpstr>Depreciation_Amortisation</vt:lpstr>
      <vt:lpstr>Financial_Analysis</vt:lpstr>
      <vt:lpstr>Financial_year</vt:lpstr>
      <vt:lpstr>Gross_Margin</vt:lpstr>
      <vt:lpstr>Income_Statement</vt:lpstr>
      <vt:lpstr>Notional_reversal_difference_payment_to_CBN</vt:lpstr>
      <vt:lpstr>Operating_Margin</vt:lpstr>
      <vt:lpstr>Sales_Growth</vt:lpstr>
      <vt:lpstr>Scenario_Forecast</vt:lpstr>
      <vt:lpstr>SG_A</vt:lpstr>
      <vt:lpstr>total_rev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SHITTU</dc:creator>
  <cp:lastModifiedBy>HP</cp:lastModifiedBy>
  <dcterms:created xsi:type="dcterms:W3CDTF">2022-03-23T13:46:41Z</dcterms:created>
  <dcterms:modified xsi:type="dcterms:W3CDTF">2022-04-19T16:31:38Z</dcterms:modified>
</cp:coreProperties>
</file>