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ristiam.gil\Desktop\AMPL\"/>
    </mc:Choice>
  </mc:AlternateContent>
  <xr:revisionPtr revIDLastSave="0" documentId="13_ncr:1_{3CD4F008-2608-4589-B214-4CB49C54E819}" xr6:coauthVersionLast="47" xr6:coauthVersionMax="47" xr10:uidLastSave="{00000000-0000-0000-0000-000000000000}"/>
  <bookViews>
    <workbookView xWindow="-110" yWindow="-110" windowWidth="19420" windowHeight="10420" activeTab="3" xr2:uid="{AED9FF4F-BC18-44C4-A32E-2CA464CB6D7D}"/>
  </bookViews>
  <sheets>
    <sheet name="Refs" sheetId="10" r:id="rId1"/>
    <sheet name="ETA" sheetId="21" r:id="rId2"/>
    <sheet name="FM" sheetId="17" r:id="rId3"/>
    <sheet name="CM_0" sheetId="18" r:id="rId4"/>
    <sheet name="DELTA" sheetId="16" r:id="rId5"/>
    <sheet name="CF_0" sheetId="14" r:id="rId6"/>
    <sheet name="EFF" sheetId="13" r:id="rId7"/>
    <sheet name="INF" sheetId="11" r:id="rId8"/>
    <sheet name="DEV" sheetId="12" r:id="rId9"/>
    <sheet name="LAMBDA" sheetId="1" r:id="rId10"/>
    <sheet name="GAMMA" sheetId="4" r:id="rId11"/>
    <sheet name="RESALE" sheetId="5" r:id="rId12"/>
    <sheet name="EVOL" sheetId="6" r:id="rId13"/>
    <sheet name="WTW" sheetId="15" r:id="rId14"/>
    <sheet name="BETA" sheetId="9" r:id="rId15"/>
    <sheet name="SA" sheetId="7" r:id="rId16"/>
    <sheet name="SF" sheetId="8" r:id="rId17"/>
    <sheet name="Omega" sheetId="20" r:id="rId18"/>
    <sheet name="TAX" sheetId="2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8" l="1"/>
  <c r="L5" i="18" s="1"/>
  <c r="L1" i="18" s="1"/>
  <c r="L3" i="18"/>
  <c r="M1" i="18"/>
  <c r="N1" i="18"/>
  <c r="M5" i="18"/>
  <c r="N5" i="18"/>
  <c r="M4" i="18"/>
  <c r="O4" i="18"/>
  <c r="I7" i="18"/>
  <c r="I15" i="18"/>
  <c r="H7" i="18"/>
  <c r="H15" i="18"/>
  <c r="E7" i="12" l="1"/>
  <c r="J30" i="22"/>
  <c r="J29" i="22"/>
  <c r="J28" i="22"/>
  <c r="J27" i="22"/>
  <c r="J26" i="22"/>
  <c r="J25" i="22"/>
  <c r="J24" i="22"/>
  <c r="J23" i="22"/>
  <c r="J22" i="22"/>
  <c r="J21" i="22"/>
  <c r="J20" i="22"/>
  <c r="J19" i="22"/>
  <c r="J18" i="22"/>
  <c r="J17" i="22"/>
  <c r="J16" i="22"/>
  <c r="J15" i="22"/>
  <c r="J14" i="22"/>
  <c r="J13" i="22"/>
  <c r="J12" i="22"/>
  <c r="J11" i="22"/>
  <c r="J10" i="22"/>
  <c r="J9" i="22"/>
  <c r="J8" i="22"/>
  <c r="J7" i="22"/>
  <c r="J6" i="22"/>
  <c r="J5" i="22"/>
  <c r="J4" i="22"/>
  <c r="J3" i="22"/>
  <c r="J2" i="22"/>
  <c r="G30" i="22"/>
  <c r="G29" i="22"/>
  <c r="G28" i="22"/>
  <c r="G27" i="22"/>
  <c r="G26" i="22"/>
  <c r="G25" i="22"/>
  <c r="G24" i="22"/>
  <c r="G23" i="22"/>
  <c r="G22" i="22"/>
  <c r="G21" i="22"/>
  <c r="G20" i="22"/>
  <c r="G19" i="22"/>
  <c r="G18" i="22"/>
  <c r="G17" i="22"/>
  <c r="G16" i="22"/>
  <c r="G15" i="22"/>
  <c r="G14" i="22"/>
  <c r="G13" i="22"/>
  <c r="G12" i="22"/>
  <c r="G11" i="22"/>
  <c r="G10" i="22"/>
  <c r="G9" i="22"/>
  <c r="G8" i="22"/>
  <c r="G7" i="22"/>
  <c r="G6" i="22"/>
  <c r="G5" i="22"/>
  <c r="G4" i="22"/>
  <c r="G3" i="22"/>
  <c r="G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2" i="22"/>
  <c r="F30" i="20" l="1"/>
  <c r="E30" i="20"/>
  <c r="F20" i="20"/>
  <c r="E20" i="20"/>
  <c r="F10" i="20"/>
  <c r="E10" i="20"/>
  <c r="D30" i="20"/>
  <c r="D20" i="20"/>
  <c r="D10" i="20"/>
  <c r="C10" i="20"/>
  <c r="M2" i="20" s="1"/>
  <c r="O4" i="20"/>
  <c r="M3" i="20"/>
  <c r="N3" i="20" s="1"/>
  <c r="O3" i="20" s="1"/>
  <c r="M4" i="20"/>
  <c r="N4" i="20" s="1"/>
  <c r="C30" i="20"/>
  <c r="C20" i="20"/>
  <c r="Q2" i="20"/>
  <c r="K3" i="20"/>
  <c r="L3" i="20" s="1"/>
  <c r="K4" i="20"/>
  <c r="L4" i="20" s="1"/>
  <c r="K2" i="20"/>
  <c r="F22" i="18"/>
  <c r="F23" i="18" s="1"/>
  <c r="G23" i="18" s="1"/>
  <c r="F14" i="18"/>
  <c r="F15" i="18" s="1"/>
  <c r="G15" i="18" s="1"/>
  <c r="K7" i="18"/>
  <c r="F7" i="18"/>
  <c r="G7" i="18" s="1"/>
  <c r="F6" i="18"/>
  <c r="G17" i="11"/>
  <c r="G16" i="11"/>
  <c r="F16" i="11"/>
  <c r="F17" i="11"/>
  <c r="F5" i="5"/>
  <c r="AA4" i="1"/>
  <c r="AB4" i="1"/>
  <c r="AC4" i="1"/>
  <c r="AD4" i="1"/>
  <c r="AA5" i="1"/>
  <c r="AB5" i="1"/>
  <c r="AC5" i="1"/>
  <c r="AD5" i="1"/>
  <c r="AA6" i="1"/>
  <c r="AB6" i="1"/>
  <c r="AC6" i="1"/>
  <c r="AD6" i="1"/>
  <c r="AA7" i="1"/>
  <c r="AB7" i="1"/>
  <c r="AC7" i="1"/>
  <c r="AD7" i="1"/>
  <c r="AA8" i="1"/>
  <c r="AB8" i="1"/>
  <c r="AC8" i="1"/>
  <c r="AD8" i="1"/>
  <c r="AA9" i="1"/>
  <c r="AB9" i="1"/>
  <c r="AC9" i="1"/>
  <c r="AD9" i="1"/>
  <c r="AA10" i="1"/>
  <c r="AB10" i="1"/>
  <c r="AC10" i="1"/>
  <c r="AD10" i="1"/>
  <c r="AA11" i="1"/>
  <c r="AB11" i="1"/>
  <c r="AC11" i="1"/>
  <c r="AD11" i="1"/>
  <c r="AA12" i="1"/>
  <c r="AB12" i="1"/>
  <c r="AC12" i="1"/>
  <c r="AD12" i="1"/>
  <c r="AA13" i="1"/>
  <c r="AB13" i="1"/>
  <c r="AC13" i="1"/>
  <c r="AD13" i="1"/>
  <c r="AA14" i="1"/>
  <c r="AB14" i="1"/>
  <c r="AC14" i="1"/>
  <c r="AD14" i="1"/>
  <c r="AA15" i="1"/>
  <c r="AB15" i="1"/>
  <c r="AC15" i="1"/>
  <c r="AD15" i="1"/>
  <c r="AA16" i="1"/>
  <c r="AB16" i="1"/>
  <c r="AC16" i="1"/>
  <c r="AD16" i="1"/>
  <c r="AA17" i="1"/>
  <c r="AB17" i="1"/>
  <c r="AC17" i="1"/>
  <c r="AD17" i="1"/>
  <c r="AA18" i="1"/>
  <c r="AB18" i="1"/>
  <c r="AC18" i="1"/>
  <c r="AD18" i="1"/>
  <c r="AA19" i="1"/>
  <c r="AB19" i="1"/>
  <c r="AC19" i="1"/>
  <c r="AD19" i="1"/>
  <c r="AA20" i="1"/>
  <c r="AB20" i="1"/>
  <c r="AC20" i="1"/>
  <c r="AD20" i="1"/>
  <c r="AA21" i="1"/>
  <c r="AB21" i="1"/>
  <c r="AC21" i="1"/>
  <c r="AD21" i="1"/>
  <c r="AA22" i="1"/>
  <c r="AB22" i="1"/>
  <c r="AC22" i="1"/>
  <c r="AD22" i="1"/>
  <c r="AA23" i="1"/>
  <c r="AB23" i="1"/>
  <c r="AC23" i="1"/>
  <c r="AD23" i="1"/>
  <c r="AA24" i="1"/>
  <c r="AB24" i="1"/>
  <c r="AC24" i="1"/>
  <c r="AD24" i="1"/>
  <c r="AA25" i="1"/>
  <c r="AB25" i="1"/>
  <c r="AC25" i="1"/>
  <c r="AD25" i="1"/>
  <c r="AA26" i="1"/>
  <c r="AB26" i="1"/>
  <c r="AC26" i="1"/>
  <c r="AD26" i="1"/>
  <c r="AA27" i="1"/>
  <c r="AB27" i="1"/>
  <c r="AC27" i="1"/>
  <c r="AD27" i="1"/>
  <c r="AA28" i="1"/>
  <c r="AB28" i="1"/>
  <c r="AC28" i="1"/>
  <c r="AD28" i="1"/>
  <c r="AA29" i="1"/>
  <c r="AB29" i="1"/>
  <c r="AC29" i="1"/>
  <c r="AD29" i="1"/>
  <c r="AA30" i="1"/>
  <c r="AB30" i="1"/>
  <c r="AC30" i="1"/>
  <c r="AD30" i="1"/>
  <c r="AA31" i="1"/>
  <c r="AB31" i="1"/>
  <c r="AC31" i="1"/>
  <c r="AD31" i="1"/>
  <c r="AB3" i="1"/>
  <c r="AC3" i="1"/>
  <c r="AD3" i="1"/>
  <c r="AA3" i="1"/>
  <c r="AH6" i="4"/>
  <c r="AI6" i="4"/>
  <c r="AJ6" i="4"/>
  <c r="AK6" i="4"/>
  <c r="AH7" i="4"/>
  <c r="AI7" i="4"/>
  <c r="AJ7" i="4"/>
  <c r="AK7" i="4"/>
  <c r="AH8" i="4"/>
  <c r="AI8" i="4"/>
  <c r="AJ8" i="4"/>
  <c r="AK8" i="4"/>
  <c r="AH9" i="4"/>
  <c r="AI9" i="4"/>
  <c r="AJ9" i="4"/>
  <c r="AK9" i="4"/>
  <c r="AH10" i="4"/>
  <c r="AI10" i="4"/>
  <c r="AJ10" i="4"/>
  <c r="AK10" i="4"/>
  <c r="AH11" i="4"/>
  <c r="AI11" i="4"/>
  <c r="AJ11" i="4"/>
  <c r="AK11" i="4"/>
  <c r="AH12" i="4"/>
  <c r="AI12" i="4"/>
  <c r="AJ12" i="4"/>
  <c r="AK12" i="4"/>
  <c r="AH13" i="4"/>
  <c r="AI13" i="4"/>
  <c r="AJ13" i="4"/>
  <c r="AK13" i="4"/>
  <c r="AH14" i="4"/>
  <c r="AI14" i="4"/>
  <c r="AJ14" i="4"/>
  <c r="AK14" i="4"/>
  <c r="AH15" i="4"/>
  <c r="AI15" i="4"/>
  <c r="AJ15" i="4"/>
  <c r="AK15" i="4"/>
  <c r="AH16" i="4"/>
  <c r="AI16" i="4"/>
  <c r="AJ16" i="4"/>
  <c r="AK16" i="4"/>
  <c r="AH17" i="4"/>
  <c r="AI17" i="4"/>
  <c r="AJ17" i="4"/>
  <c r="AK17" i="4"/>
  <c r="AH18" i="4"/>
  <c r="AI18" i="4"/>
  <c r="AJ18" i="4"/>
  <c r="AK18" i="4"/>
  <c r="AH19" i="4"/>
  <c r="AI19" i="4"/>
  <c r="AJ19" i="4"/>
  <c r="AK19" i="4"/>
  <c r="AH20" i="4"/>
  <c r="AI20" i="4"/>
  <c r="AJ20" i="4"/>
  <c r="AK20" i="4"/>
  <c r="AH21" i="4"/>
  <c r="AI21" i="4"/>
  <c r="AJ21" i="4"/>
  <c r="AK21" i="4"/>
  <c r="AH22" i="4"/>
  <c r="AI22" i="4"/>
  <c r="AJ22" i="4"/>
  <c r="AK22" i="4"/>
  <c r="AH23" i="4"/>
  <c r="AI23" i="4"/>
  <c r="AJ23" i="4"/>
  <c r="AK23" i="4"/>
  <c r="AH24" i="4"/>
  <c r="AI24" i="4"/>
  <c r="AJ24" i="4"/>
  <c r="AK24" i="4"/>
  <c r="AH25" i="4"/>
  <c r="AI25" i="4"/>
  <c r="AJ25" i="4"/>
  <c r="AK25" i="4"/>
  <c r="AH26" i="4"/>
  <c r="AI26" i="4"/>
  <c r="AJ26" i="4"/>
  <c r="AK26" i="4"/>
  <c r="AH27" i="4"/>
  <c r="AI27" i="4"/>
  <c r="AJ27" i="4"/>
  <c r="AK27" i="4"/>
  <c r="AH28" i="4"/>
  <c r="AI28" i="4"/>
  <c r="AJ28" i="4"/>
  <c r="AK28" i="4"/>
  <c r="AH29" i="4"/>
  <c r="AI29" i="4"/>
  <c r="AJ29" i="4"/>
  <c r="AK29" i="4"/>
  <c r="AH30" i="4"/>
  <c r="AI30" i="4"/>
  <c r="AJ30" i="4"/>
  <c r="AK30" i="4"/>
  <c r="AH31" i="4"/>
  <c r="AI31" i="4"/>
  <c r="AJ31" i="4"/>
  <c r="AK31" i="4"/>
  <c r="AH32" i="4"/>
  <c r="AI32" i="4"/>
  <c r="AJ32" i="4"/>
  <c r="AK32" i="4"/>
  <c r="AH33" i="4"/>
  <c r="AI33" i="4"/>
  <c r="AJ33" i="4"/>
  <c r="AK33" i="4"/>
  <c r="AI5" i="4"/>
  <c r="AJ5" i="4"/>
  <c r="AK5" i="4"/>
  <c r="AH5" i="4"/>
  <c r="X6" i="6"/>
  <c r="Y6" i="6"/>
  <c r="Z6" i="6"/>
  <c r="AA6" i="6"/>
  <c r="X7" i="6"/>
  <c r="Y7" i="6"/>
  <c r="Z7" i="6"/>
  <c r="AA7" i="6"/>
  <c r="X8" i="6"/>
  <c r="Y8" i="6"/>
  <c r="Z8" i="6"/>
  <c r="AA8" i="6"/>
  <c r="X9" i="6"/>
  <c r="Y9" i="6"/>
  <c r="Z9" i="6"/>
  <c r="AA9" i="6"/>
  <c r="X10" i="6"/>
  <c r="Y10" i="6"/>
  <c r="Z10" i="6"/>
  <c r="AA10" i="6"/>
  <c r="X11" i="6"/>
  <c r="Y11" i="6"/>
  <c r="Z11" i="6"/>
  <c r="AA11" i="6"/>
  <c r="X12" i="6"/>
  <c r="Y12" i="6"/>
  <c r="Z12" i="6"/>
  <c r="AA12" i="6"/>
  <c r="X13" i="6"/>
  <c r="Y13" i="6"/>
  <c r="Z13" i="6"/>
  <c r="AA13" i="6"/>
  <c r="X14" i="6"/>
  <c r="Y14" i="6"/>
  <c r="Z14" i="6"/>
  <c r="AA14" i="6"/>
  <c r="X15" i="6"/>
  <c r="Y15" i="6"/>
  <c r="Z15" i="6"/>
  <c r="AA15" i="6"/>
  <c r="X16" i="6"/>
  <c r="Y16" i="6"/>
  <c r="Z16" i="6"/>
  <c r="AA16" i="6"/>
  <c r="X17" i="6"/>
  <c r="Y17" i="6"/>
  <c r="Z17" i="6"/>
  <c r="AA17" i="6"/>
  <c r="X18" i="6"/>
  <c r="Y18" i="6"/>
  <c r="Z18" i="6"/>
  <c r="AA18" i="6"/>
  <c r="X19" i="6"/>
  <c r="Y19" i="6"/>
  <c r="Z19" i="6"/>
  <c r="AA19" i="6"/>
  <c r="X20" i="6"/>
  <c r="Y20" i="6"/>
  <c r="Z20" i="6"/>
  <c r="AA20" i="6"/>
  <c r="X21" i="6"/>
  <c r="Y21" i="6"/>
  <c r="Z21" i="6"/>
  <c r="AA21" i="6"/>
  <c r="X22" i="6"/>
  <c r="Y22" i="6"/>
  <c r="Z22" i="6"/>
  <c r="AA22" i="6"/>
  <c r="X23" i="6"/>
  <c r="Y23" i="6"/>
  <c r="Z23" i="6"/>
  <c r="AA23" i="6"/>
  <c r="X24" i="6"/>
  <c r="Y24" i="6"/>
  <c r="Z24" i="6"/>
  <c r="AA24" i="6"/>
  <c r="X25" i="6"/>
  <c r="Y25" i="6"/>
  <c r="Z25" i="6"/>
  <c r="AA25" i="6"/>
  <c r="X26" i="6"/>
  <c r="Y26" i="6"/>
  <c r="Z26" i="6"/>
  <c r="AA26" i="6"/>
  <c r="X27" i="6"/>
  <c r="Y27" i="6"/>
  <c r="Z27" i="6"/>
  <c r="AA27" i="6"/>
  <c r="X28" i="6"/>
  <c r="Y28" i="6"/>
  <c r="Z28" i="6"/>
  <c r="AA28" i="6"/>
  <c r="X29" i="6"/>
  <c r="Y29" i="6"/>
  <c r="Z29" i="6"/>
  <c r="AA29" i="6"/>
  <c r="X30" i="6"/>
  <c r="Y30" i="6"/>
  <c r="Z30" i="6"/>
  <c r="AA30" i="6"/>
  <c r="X31" i="6"/>
  <c r="Y31" i="6"/>
  <c r="Z31" i="6"/>
  <c r="AA31" i="6"/>
  <c r="X32" i="6"/>
  <c r="Y32" i="6"/>
  <c r="Z32" i="6"/>
  <c r="AA32" i="6"/>
  <c r="X33" i="6"/>
  <c r="Y33" i="6"/>
  <c r="Z33" i="6"/>
  <c r="AA33" i="6"/>
  <c r="Y5" i="6"/>
  <c r="Z5" i="6"/>
  <c r="AA5" i="6"/>
  <c r="X5" i="6"/>
  <c r="N34" i="9"/>
  <c r="O34" i="9" s="1"/>
  <c r="R31" i="9"/>
  <c r="Q31" i="9"/>
  <c r="P31" i="9"/>
  <c r="O31" i="9"/>
  <c r="R30" i="9"/>
  <c r="Q30" i="9"/>
  <c r="P30" i="9"/>
  <c r="O30" i="9"/>
  <c r="R29" i="9"/>
  <c r="Q29" i="9"/>
  <c r="P29" i="9"/>
  <c r="O29" i="9"/>
  <c r="R28" i="9"/>
  <c r="Q28" i="9"/>
  <c r="P28" i="9"/>
  <c r="O28" i="9"/>
  <c r="R27" i="9"/>
  <c r="Q27" i="9"/>
  <c r="P27" i="9"/>
  <c r="O27" i="9"/>
  <c r="R26" i="9"/>
  <c r="Q26" i="9"/>
  <c r="P26" i="9"/>
  <c r="O26" i="9"/>
  <c r="R25" i="9"/>
  <c r="Q25" i="9"/>
  <c r="P25" i="9"/>
  <c r="O25" i="9"/>
  <c r="R24" i="9"/>
  <c r="Q24" i="9"/>
  <c r="P24" i="9"/>
  <c r="O24" i="9"/>
  <c r="R23" i="9"/>
  <c r="Q23" i="9"/>
  <c r="P23" i="9"/>
  <c r="O23" i="9"/>
  <c r="R22" i="9"/>
  <c r="Q22" i="9"/>
  <c r="P22" i="9"/>
  <c r="O22" i="9"/>
  <c r="R21" i="9"/>
  <c r="Q21" i="9"/>
  <c r="P21" i="9"/>
  <c r="O21" i="9"/>
  <c r="R20" i="9"/>
  <c r="Q20" i="9"/>
  <c r="P20" i="9"/>
  <c r="O20" i="9"/>
  <c r="R19" i="9"/>
  <c r="Q19" i="9"/>
  <c r="P19" i="9"/>
  <c r="O19" i="9"/>
  <c r="R18" i="9"/>
  <c r="Q18" i="9"/>
  <c r="P18" i="9"/>
  <c r="O18" i="9"/>
  <c r="R17" i="9"/>
  <c r="Q17" i="9"/>
  <c r="P17" i="9"/>
  <c r="O17" i="9"/>
  <c r="R16" i="9"/>
  <c r="Q16" i="9"/>
  <c r="P16" i="9"/>
  <c r="O16" i="9"/>
  <c r="R15" i="9"/>
  <c r="Q15" i="9"/>
  <c r="P15" i="9"/>
  <c r="O15" i="9"/>
  <c r="R14" i="9"/>
  <c r="Q14" i="9"/>
  <c r="P14" i="9"/>
  <c r="O14" i="9"/>
  <c r="R13" i="9"/>
  <c r="Q13" i="9"/>
  <c r="P13" i="9"/>
  <c r="O13" i="9"/>
  <c r="R12" i="9"/>
  <c r="Q12" i="9"/>
  <c r="P12" i="9"/>
  <c r="O12" i="9"/>
  <c r="R11" i="9"/>
  <c r="Q11" i="9"/>
  <c r="P11" i="9"/>
  <c r="O11" i="9"/>
  <c r="R10" i="9"/>
  <c r="Q10" i="9"/>
  <c r="P10" i="9"/>
  <c r="O10" i="9"/>
  <c r="R9" i="9"/>
  <c r="Q9" i="9"/>
  <c r="P9" i="9"/>
  <c r="O9" i="9"/>
  <c r="R8" i="9"/>
  <c r="Q8" i="9"/>
  <c r="P8" i="9"/>
  <c r="O8" i="9"/>
  <c r="R7" i="9"/>
  <c r="Q7" i="9"/>
  <c r="P7" i="9"/>
  <c r="O7" i="9"/>
  <c r="R6" i="9"/>
  <c r="Q6" i="9"/>
  <c r="P6" i="9"/>
  <c r="O6" i="9"/>
  <c r="R5" i="9"/>
  <c r="Q5" i="9"/>
  <c r="P5" i="9"/>
  <c r="O5" i="9"/>
  <c r="R4" i="9"/>
  <c r="Q4" i="9"/>
  <c r="P4" i="9"/>
  <c r="O4" i="9"/>
  <c r="R3" i="9"/>
  <c r="Q3" i="9"/>
  <c r="P3" i="9"/>
  <c r="O3" i="9"/>
  <c r="N34" i="7"/>
  <c r="O34" i="7" s="1"/>
  <c r="R31" i="7"/>
  <c r="Q31" i="7"/>
  <c r="P31" i="7"/>
  <c r="O31" i="7"/>
  <c r="R30" i="7"/>
  <c r="Q30" i="7"/>
  <c r="P30" i="7"/>
  <c r="O30" i="7"/>
  <c r="R29" i="7"/>
  <c r="Q29" i="7"/>
  <c r="P29" i="7"/>
  <c r="O29" i="7"/>
  <c r="R28" i="7"/>
  <c r="Q28" i="7"/>
  <c r="P28" i="7"/>
  <c r="O28" i="7"/>
  <c r="R27" i="7"/>
  <c r="Q27" i="7"/>
  <c r="P27" i="7"/>
  <c r="O27" i="7"/>
  <c r="R26" i="7"/>
  <c r="Q26" i="7"/>
  <c r="P26" i="7"/>
  <c r="O26" i="7"/>
  <c r="R25" i="7"/>
  <c r="Q25" i="7"/>
  <c r="P25" i="7"/>
  <c r="O25" i="7"/>
  <c r="R24" i="7"/>
  <c r="Q24" i="7"/>
  <c r="P24" i="7"/>
  <c r="O24" i="7"/>
  <c r="R23" i="7"/>
  <c r="Q23" i="7"/>
  <c r="P23" i="7"/>
  <c r="O23" i="7"/>
  <c r="R22" i="7"/>
  <c r="Q22" i="7"/>
  <c r="P22" i="7"/>
  <c r="O22" i="7"/>
  <c r="R21" i="7"/>
  <c r="Q21" i="7"/>
  <c r="P21" i="7"/>
  <c r="O21" i="7"/>
  <c r="R20" i="7"/>
  <c r="Q20" i="7"/>
  <c r="P20" i="7"/>
  <c r="O20" i="7"/>
  <c r="R19" i="7"/>
  <c r="Q19" i="7"/>
  <c r="P19" i="7"/>
  <c r="O19" i="7"/>
  <c r="R18" i="7"/>
  <c r="Q18" i="7"/>
  <c r="P18" i="7"/>
  <c r="O18" i="7"/>
  <c r="R17" i="7"/>
  <c r="Q17" i="7"/>
  <c r="P17" i="7"/>
  <c r="O17" i="7"/>
  <c r="R16" i="7"/>
  <c r="Q16" i="7"/>
  <c r="P16" i="7"/>
  <c r="O16" i="7"/>
  <c r="R15" i="7"/>
  <c r="Q15" i="7"/>
  <c r="P15" i="7"/>
  <c r="O15" i="7"/>
  <c r="R14" i="7"/>
  <c r="Q14" i="7"/>
  <c r="P14" i="7"/>
  <c r="O14" i="7"/>
  <c r="R13" i="7"/>
  <c r="Q13" i="7"/>
  <c r="P13" i="7"/>
  <c r="O13" i="7"/>
  <c r="R12" i="7"/>
  <c r="Q12" i="7"/>
  <c r="P12" i="7"/>
  <c r="O12" i="7"/>
  <c r="R11" i="7"/>
  <c r="Q11" i="7"/>
  <c r="P11" i="7"/>
  <c r="O11" i="7"/>
  <c r="R10" i="7"/>
  <c r="Q10" i="7"/>
  <c r="P10" i="7"/>
  <c r="O10" i="7"/>
  <c r="R9" i="7"/>
  <c r="Q9" i="7"/>
  <c r="P9" i="7"/>
  <c r="O9" i="7"/>
  <c r="R8" i="7"/>
  <c r="Q8" i="7"/>
  <c r="P8" i="7"/>
  <c r="O8" i="7"/>
  <c r="R7" i="7"/>
  <c r="Q7" i="7"/>
  <c r="P7" i="7"/>
  <c r="O7" i="7"/>
  <c r="R6" i="7"/>
  <c r="Q6" i="7"/>
  <c r="P6" i="7"/>
  <c r="O6" i="7"/>
  <c r="R5" i="7"/>
  <c r="Q5" i="7"/>
  <c r="P5" i="7"/>
  <c r="O5" i="7"/>
  <c r="R4" i="7"/>
  <c r="Q4" i="7"/>
  <c r="P4" i="7"/>
  <c r="O4" i="7"/>
  <c r="R3" i="7"/>
  <c r="Q3" i="7"/>
  <c r="P3" i="7"/>
  <c r="O3" i="7"/>
  <c r="O4" i="8"/>
  <c r="P4" i="8"/>
  <c r="Q4" i="8"/>
  <c r="R4" i="8"/>
  <c r="O5" i="8"/>
  <c r="P5" i="8"/>
  <c r="Q5" i="8"/>
  <c r="R5" i="8"/>
  <c r="O6" i="8"/>
  <c r="P6" i="8"/>
  <c r="Q6" i="8"/>
  <c r="R6" i="8"/>
  <c r="O7" i="8"/>
  <c r="P7" i="8"/>
  <c r="Q7" i="8"/>
  <c r="R7" i="8"/>
  <c r="O8" i="8"/>
  <c r="P8" i="8"/>
  <c r="Q8" i="8"/>
  <c r="R8" i="8"/>
  <c r="O9" i="8"/>
  <c r="P9" i="8"/>
  <c r="Q9" i="8"/>
  <c r="R9" i="8"/>
  <c r="O10" i="8"/>
  <c r="P10" i="8"/>
  <c r="Q10" i="8"/>
  <c r="R10" i="8"/>
  <c r="O11" i="8"/>
  <c r="P11" i="8"/>
  <c r="Q11" i="8"/>
  <c r="R11" i="8"/>
  <c r="O12" i="8"/>
  <c r="P12" i="8"/>
  <c r="Q12" i="8"/>
  <c r="R12" i="8"/>
  <c r="O13" i="8"/>
  <c r="P13" i="8"/>
  <c r="Q13" i="8"/>
  <c r="R13" i="8"/>
  <c r="O14" i="8"/>
  <c r="P14" i="8"/>
  <c r="Q14" i="8"/>
  <c r="R14" i="8"/>
  <c r="O15" i="8"/>
  <c r="P15" i="8"/>
  <c r="Q15" i="8"/>
  <c r="R15" i="8"/>
  <c r="O16" i="8"/>
  <c r="P16" i="8"/>
  <c r="Q16" i="8"/>
  <c r="R16" i="8"/>
  <c r="O17" i="8"/>
  <c r="P17" i="8"/>
  <c r="Q17" i="8"/>
  <c r="R17" i="8"/>
  <c r="O18" i="8"/>
  <c r="P18" i="8"/>
  <c r="Q18" i="8"/>
  <c r="R18" i="8"/>
  <c r="O19" i="8"/>
  <c r="P19" i="8"/>
  <c r="Q19" i="8"/>
  <c r="R19" i="8"/>
  <c r="O20" i="8"/>
  <c r="P20" i="8"/>
  <c r="Q20" i="8"/>
  <c r="R20" i="8"/>
  <c r="O21" i="8"/>
  <c r="P21" i="8"/>
  <c r="Q21" i="8"/>
  <c r="R21" i="8"/>
  <c r="O22" i="8"/>
  <c r="P22" i="8"/>
  <c r="Q22" i="8"/>
  <c r="R22" i="8"/>
  <c r="O23" i="8"/>
  <c r="P23" i="8"/>
  <c r="Q23" i="8"/>
  <c r="R23" i="8"/>
  <c r="O24" i="8"/>
  <c r="P24" i="8"/>
  <c r="Q24" i="8"/>
  <c r="R24" i="8"/>
  <c r="O25" i="8"/>
  <c r="P25" i="8"/>
  <c r="Q25" i="8"/>
  <c r="R25" i="8"/>
  <c r="O26" i="8"/>
  <c r="P26" i="8"/>
  <c r="Q26" i="8"/>
  <c r="R26" i="8"/>
  <c r="O27" i="8"/>
  <c r="P27" i="8"/>
  <c r="Q27" i="8"/>
  <c r="R27" i="8"/>
  <c r="O28" i="8"/>
  <c r="P28" i="8"/>
  <c r="Q28" i="8"/>
  <c r="R28" i="8"/>
  <c r="O29" i="8"/>
  <c r="P29" i="8"/>
  <c r="Q29" i="8"/>
  <c r="R29" i="8"/>
  <c r="O30" i="8"/>
  <c r="P30" i="8"/>
  <c r="Q30" i="8"/>
  <c r="R30" i="8"/>
  <c r="O31" i="8"/>
  <c r="P31" i="8"/>
  <c r="Q31" i="8"/>
  <c r="R31" i="8"/>
  <c r="P3" i="8"/>
  <c r="Q3" i="8"/>
  <c r="R3" i="8"/>
  <c r="O3" i="8"/>
  <c r="N34" i="8"/>
  <c r="O34" i="8" s="1"/>
  <c r="AM9" i="4"/>
  <c r="AM10" i="4"/>
  <c r="AM7" i="4"/>
  <c r="AN7" i="4"/>
  <c r="AN10" i="4" s="1"/>
  <c r="AL7" i="4"/>
  <c r="AL10" i="4" s="1"/>
  <c r="M9" i="15"/>
  <c r="M8" i="15"/>
  <c r="B2" i="15"/>
  <c r="D2" i="15" s="1"/>
  <c r="H10" i="15"/>
  <c r="C33" i="13"/>
  <c r="C34" i="13"/>
  <c r="C35" i="13"/>
  <c r="C36" i="13"/>
  <c r="C27" i="13"/>
  <c r="C28" i="13"/>
  <c r="C29" i="13"/>
  <c r="C30" i="13"/>
  <c r="C21" i="13"/>
  <c r="C22" i="13"/>
  <c r="C23" i="13"/>
  <c r="C24" i="13"/>
  <c r="C10" i="13"/>
  <c r="C11" i="13"/>
  <c r="C12" i="13"/>
  <c r="C13" i="13"/>
  <c r="D13" i="13"/>
  <c r="B1" i="16"/>
  <c r="B2" i="16"/>
  <c r="B5" i="16"/>
  <c r="C2" i="16"/>
  <c r="C5" i="16" s="1"/>
  <c r="F15" i="11"/>
  <c r="F14" i="11"/>
  <c r="H2" i="17"/>
  <c r="C2" i="17"/>
  <c r="C3" i="17"/>
  <c r="C4" i="17"/>
  <c r="C1" i="17"/>
  <c r="H10" i="16"/>
  <c r="E10" i="16"/>
  <c r="B10" i="16"/>
  <c r="G5" i="16"/>
  <c r="B10" i="13"/>
  <c r="B21" i="13" s="1"/>
  <c r="B27" i="13" s="1"/>
  <c r="B33" i="13" s="1"/>
  <c r="B4" i="15"/>
  <c r="D4" i="15" s="1"/>
  <c r="B5" i="15"/>
  <c r="J2" i="15"/>
  <c r="D3" i="15"/>
  <c r="N3" i="15"/>
  <c r="H24" i="13"/>
  <c r="D4" i="14" s="1"/>
  <c r="B2" i="14"/>
  <c r="L2" i="20" l="1"/>
  <c r="N2" i="20" s="1"/>
  <c r="O2" i="20" s="1"/>
  <c r="AN9" i="4"/>
  <c r="AL9" i="4"/>
  <c r="D5" i="15"/>
  <c r="B8" i="15"/>
  <c r="D24" i="13"/>
  <c r="D30" i="13" s="1"/>
  <c r="D36" i="13" s="1"/>
  <c r="B11" i="13"/>
  <c r="B22" i="13" s="1"/>
  <c r="B28" i="13" s="1"/>
  <c r="D11" i="13"/>
  <c r="D22" i="13" s="1"/>
  <c r="D28" i="13" s="1"/>
  <c r="B12" i="13"/>
  <c r="B23" i="13" s="1"/>
  <c r="B29" i="13" s="1"/>
  <c r="D12" i="13"/>
  <c r="D23" i="13" s="1"/>
  <c r="D29" i="13" s="1"/>
  <c r="B13" i="13"/>
  <c r="B24" i="13" s="1"/>
  <c r="B30" i="13" s="1"/>
  <c r="B36" i="13" s="1"/>
  <c r="D10" i="13"/>
  <c r="D21" i="13" s="1"/>
  <c r="D27" i="13" s="1"/>
  <c r="D33" i="13" s="1"/>
  <c r="F8" i="12"/>
  <c r="F10" i="12" s="1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9" i="12"/>
  <c r="C14" i="11"/>
  <c r="B15" i="11"/>
  <c r="B14" i="11"/>
  <c r="B13" i="11"/>
  <c r="A34" i="9"/>
  <c r="B34" i="9" s="1"/>
  <c r="B34" i="8"/>
  <c r="A34" i="8"/>
  <c r="R6" i="6"/>
  <c r="S6" i="6"/>
  <c r="T6" i="6"/>
  <c r="U6" i="6"/>
  <c r="R7" i="6"/>
  <c r="S7" i="6"/>
  <c r="T7" i="6"/>
  <c r="U7" i="6"/>
  <c r="R8" i="6"/>
  <c r="S8" i="6"/>
  <c r="T8" i="6"/>
  <c r="U8" i="6"/>
  <c r="R9" i="6"/>
  <c r="S9" i="6"/>
  <c r="T9" i="6"/>
  <c r="U9" i="6"/>
  <c r="R10" i="6"/>
  <c r="S10" i="6"/>
  <c r="T10" i="6"/>
  <c r="U10" i="6"/>
  <c r="R11" i="6"/>
  <c r="S11" i="6"/>
  <c r="T11" i="6"/>
  <c r="U11" i="6"/>
  <c r="R12" i="6"/>
  <c r="S12" i="6"/>
  <c r="T12" i="6"/>
  <c r="U12" i="6"/>
  <c r="R13" i="6"/>
  <c r="S13" i="6"/>
  <c r="T13" i="6"/>
  <c r="U13" i="6"/>
  <c r="R14" i="6"/>
  <c r="S14" i="6"/>
  <c r="T14" i="6"/>
  <c r="U14" i="6"/>
  <c r="R15" i="6"/>
  <c r="S15" i="6"/>
  <c r="T15" i="6"/>
  <c r="U15" i="6"/>
  <c r="R16" i="6"/>
  <c r="S16" i="6"/>
  <c r="T16" i="6"/>
  <c r="U16" i="6"/>
  <c r="R17" i="6"/>
  <c r="S17" i="6"/>
  <c r="T17" i="6"/>
  <c r="U17" i="6"/>
  <c r="R18" i="6"/>
  <c r="S18" i="6"/>
  <c r="T18" i="6"/>
  <c r="U18" i="6"/>
  <c r="R19" i="6"/>
  <c r="S19" i="6"/>
  <c r="T19" i="6"/>
  <c r="U19" i="6"/>
  <c r="R20" i="6"/>
  <c r="S20" i="6"/>
  <c r="T20" i="6"/>
  <c r="U20" i="6"/>
  <c r="R21" i="6"/>
  <c r="S21" i="6"/>
  <c r="T21" i="6"/>
  <c r="U21" i="6"/>
  <c r="R22" i="6"/>
  <c r="S22" i="6"/>
  <c r="T22" i="6"/>
  <c r="U22" i="6"/>
  <c r="R23" i="6"/>
  <c r="S23" i="6"/>
  <c r="T23" i="6"/>
  <c r="U23" i="6"/>
  <c r="R24" i="6"/>
  <c r="S24" i="6"/>
  <c r="T24" i="6"/>
  <c r="U24" i="6"/>
  <c r="R25" i="6"/>
  <c r="S25" i="6"/>
  <c r="T25" i="6"/>
  <c r="U25" i="6"/>
  <c r="R26" i="6"/>
  <c r="S26" i="6"/>
  <c r="T26" i="6"/>
  <c r="U26" i="6"/>
  <c r="R27" i="6"/>
  <c r="S27" i="6"/>
  <c r="T27" i="6"/>
  <c r="U27" i="6"/>
  <c r="R28" i="6"/>
  <c r="S28" i="6"/>
  <c r="T28" i="6"/>
  <c r="U28" i="6"/>
  <c r="R29" i="6"/>
  <c r="S29" i="6"/>
  <c r="T29" i="6"/>
  <c r="U29" i="6"/>
  <c r="R30" i="6"/>
  <c r="S30" i="6"/>
  <c r="T30" i="6"/>
  <c r="U30" i="6"/>
  <c r="R31" i="6"/>
  <c r="S31" i="6"/>
  <c r="T31" i="6"/>
  <c r="U31" i="6"/>
  <c r="R32" i="6"/>
  <c r="S32" i="6"/>
  <c r="T32" i="6"/>
  <c r="U32" i="6"/>
  <c r="R33" i="6"/>
  <c r="S33" i="6"/>
  <c r="T33" i="6"/>
  <c r="U33" i="6"/>
  <c r="U5" i="6"/>
  <c r="T5" i="6"/>
  <c r="S5" i="6"/>
  <c r="R5" i="6"/>
  <c r="L6" i="6"/>
  <c r="M6" i="6"/>
  <c r="N6" i="6"/>
  <c r="O6" i="6"/>
  <c r="L7" i="6"/>
  <c r="M7" i="6"/>
  <c r="N7" i="6"/>
  <c r="O7" i="6"/>
  <c r="L8" i="6"/>
  <c r="M8" i="6"/>
  <c r="N8" i="6"/>
  <c r="O8" i="6"/>
  <c r="L9" i="6"/>
  <c r="M9" i="6"/>
  <c r="N9" i="6"/>
  <c r="O9" i="6"/>
  <c r="L10" i="6"/>
  <c r="M10" i="6"/>
  <c r="N10" i="6"/>
  <c r="O10" i="6"/>
  <c r="L11" i="6"/>
  <c r="M11" i="6"/>
  <c r="N11" i="6"/>
  <c r="O11" i="6"/>
  <c r="L12" i="6"/>
  <c r="M12" i="6"/>
  <c r="N12" i="6"/>
  <c r="O12" i="6"/>
  <c r="L13" i="6"/>
  <c r="M13" i="6"/>
  <c r="N13" i="6"/>
  <c r="O13" i="6"/>
  <c r="L14" i="6"/>
  <c r="M14" i="6"/>
  <c r="N14" i="6"/>
  <c r="O14" i="6"/>
  <c r="L15" i="6"/>
  <c r="M15" i="6"/>
  <c r="N15" i="6"/>
  <c r="O15" i="6"/>
  <c r="L16" i="6"/>
  <c r="M16" i="6"/>
  <c r="N16" i="6"/>
  <c r="O16" i="6"/>
  <c r="L17" i="6"/>
  <c r="M17" i="6"/>
  <c r="N17" i="6"/>
  <c r="O17" i="6"/>
  <c r="L18" i="6"/>
  <c r="M18" i="6"/>
  <c r="N18" i="6"/>
  <c r="O18" i="6"/>
  <c r="L19" i="6"/>
  <c r="M19" i="6"/>
  <c r="N19" i="6"/>
  <c r="O19" i="6"/>
  <c r="L20" i="6"/>
  <c r="M20" i="6"/>
  <c r="N20" i="6"/>
  <c r="O20" i="6"/>
  <c r="L21" i="6"/>
  <c r="M21" i="6"/>
  <c r="N21" i="6"/>
  <c r="O21" i="6"/>
  <c r="L22" i="6"/>
  <c r="M22" i="6"/>
  <c r="N22" i="6"/>
  <c r="O22" i="6"/>
  <c r="L23" i="6"/>
  <c r="M23" i="6"/>
  <c r="N23" i="6"/>
  <c r="O23" i="6"/>
  <c r="L24" i="6"/>
  <c r="M24" i="6"/>
  <c r="N24" i="6"/>
  <c r="O24" i="6"/>
  <c r="L25" i="6"/>
  <c r="M25" i="6"/>
  <c r="N25" i="6"/>
  <c r="O25" i="6"/>
  <c r="L26" i="6"/>
  <c r="M26" i="6"/>
  <c r="N26" i="6"/>
  <c r="O26" i="6"/>
  <c r="L27" i="6"/>
  <c r="M27" i="6"/>
  <c r="N27" i="6"/>
  <c r="O27" i="6"/>
  <c r="L28" i="6"/>
  <c r="M28" i="6"/>
  <c r="N28" i="6"/>
  <c r="O28" i="6"/>
  <c r="L29" i="6"/>
  <c r="M29" i="6"/>
  <c r="N29" i="6"/>
  <c r="O29" i="6"/>
  <c r="L30" i="6"/>
  <c r="M30" i="6"/>
  <c r="N30" i="6"/>
  <c r="O30" i="6"/>
  <c r="L31" i="6"/>
  <c r="M31" i="6"/>
  <c r="N31" i="6"/>
  <c r="O31" i="6"/>
  <c r="L32" i="6"/>
  <c r="M32" i="6"/>
  <c r="N32" i="6"/>
  <c r="O32" i="6"/>
  <c r="L33" i="6"/>
  <c r="M33" i="6"/>
  <c r="N33" i="6"/>
  <c r="O33" i="6"/>
  <c r="O5" i="6"/>
  <c r="N5" i="6"/>
  <c r="M5" i="6"/>
  <c r="L5" i="6"/>
  <c r="H6" i="6"/>
  <c r="I6" i="6"/>
  <c r="H7" i="6"/>
  <c r="I7" i="6"/>
  <c r="H8" i="6"/>
  <c r="I8" i="6"/>
  <c r="H9" i="6"/>
  <c r="I9" i="6"/>
  <c r="H10" i="6"/>
  <c r="I10" i="6"/>
  <c r="H11" i="6"/>
  <c r="I11" i="6"/>
  <c r="H12" i="6"/>
  <c r="I12" i="6"/>
  <c r="H13" i="6"/>
  <c r="I13" i="6"/>
  <c r="H14" i="6"/>
  <c r="I14" i="6"/>
  <c r="H15" i="6"/>
  <c r="I15" i="6"/>
  <c r="H16" i="6"/>
  <c r="I16" i="6"/>
  <c r="H17" i="6"/>
  <c r="I17" i="6"/>
  <c r="H18" i="6"/>
  <c r="I18" i="6"/>
  <c r="H19" i="6"/>
  <c r="I19" i="6"/>
  <c r="H20" i="6"/>
  <c r="I20" i="6"/>
  <c r="H21" i="6"/>
  <c r="I21" i="6"/>
  <c r="H22" i="6"/>
  <c r="I22" i="6"/>
  <c r="H23" i="6"/>
  <c r="I23" i="6"/>
  <c r="H24" i="6"/>
  <c r="I24" i="6"/>
  <c r="H25" i="6"/>
  <c r="I25" i="6"/>
  <c r="H26" i="6"/>
  <c r="I26" i="6"/>
  <c r="H27" i="6"/>
  <c r="I27" i="6"/>
  <c r="H28" i="6"/>
  <c r="I28" i="6"/>
  <c r="H29" i="6"/>
  <c r="I29" i="6"/>
  <c r="H30" i="6"/>
  <c r="I30" i="6"/>
  <c r="H31" i="6"/>
  <c r="I31" i="6"/>
  <c r="H32" i="6"/>
  <c r="I32" i="6"/>
  <c r="H33" i="6"/>
  <c r="I33" i="6"/>
  <c r="I5" i="6"/>
  <c r="H5" i="6"/>
  <c r="C6" i="6"/>
  <c r="C7" i="6"/>
  <c r="C8" i="6"/>
  <c r="C9" i="6"/>
  <c r="C10" i="6"/>
  <c r="B7" i="6"/>
  <c r="B8" i="6"/>
  <c r="B9" i="6"/>
  <c r="B10" i="6"/>
  <c r="B6" i="6"/>
  <c r="S4" i="4"/>
  <c r="S11" i="4" s="1"/>
  <c r="AE11" i="4" s="1"/>
  <c r="R4" i="4"/>
  <c r="R7" i="4" s="1"/>
  <c r="AC7" i="4" s="1"/>
  <c r="L4" i="4"/>
  <c r="L12" i="4" s="1"/>
  <c r="Y12" i="4" s="1"/>
  <c r="K4" i="4"/>
  <c r="K9" i="4" s="1"/>
  <c r="W9" i="4" s="1"/>
  <c r="W7" i="1"/>
  <c r="W10" i="1"/>
  <c r="W4" i="1"/>
  <c r="Q15" i="1"/>
  <c r="Q16" i="1"/>
  <c r="Q17" i="1"/>
  <c r="Q18" i="1"/>
  <c r="Q24" i="1"/>
  <c r="Q25" i="1"/>
  <c r="Q26" i="1"/>
  <c r="Q28" i="1"/>
  <c r="Q19" i="1"/>
  <c r="Q20" i="1"/>
  <c r="Q27" i="1"/>
  <c r="Q13" i="1"/>
  <c r="Q14" i="1"/>
  <c r="Q12" i="1"/>
  <c r="Q10" i="1"/>
  <c r="Q4" i="1"/>
  <c r="W5" i="1"/>
  <c r="W6" i="1"/>
  <c r="W8" i="1"/>
  <c r="W9" i="1"/>
  <c r="W11" i="1"/>
  <c r="W3" i="1"/>
  <c r="Q6" i="1"/>
  <c r="Q8" i="1"/>
  <c r="Q9" i="1"/>
  <c r="Q11" i="1"/>
  <c r="Q21" i="1"/>
  <c r="Q22" i="1"/>
  <c r="Q23" i="1"/>
  <c r="Q29" i="1"/>
  <c r="Q30" i="1"/>
  <c r="Q31" i="1"/>
  <c r="Q3" i="1"/>
  <c r="P32" i="1"/>
  <c r="V4" i="1"/>
  <c r="V8" i="1"/>
  <c r="V32" i="1"/>
  <c r="T4" i="1"/>
  <c r="U4" i="1"/>
  <c r="T5" i="1"/>
  <c r="V5" i="1" s="1"/>
  <c r="U5" i="1"/>
  <c r="T6" i="1"/>
  <c r="V6" i="1" s="1"/>
  <c r="U6" i="1"/>
  <c r="T7" i="1"/>
  <c r="V7" i="1" s="1"/>
  <c r="U7" i="1"/>
  <c r="T8" i="1"/>
  <c r="U8" i="1"/>
  <c r="T9" i="1"/>
  <c r="V9" i="1" s="1"/>
  <c r="U9" i="1"/>
  <c r="T10" i="1"/>
  <c r="V10" i="1" s="1"/>
  <c r="U10" i="1"/>
  <c r="T11" i="1"/>
  <c r="V11" i="1" s="1"/>
  <c r="U11" i="1"/>
  <c r="T12" i="1"/>
  <c r="V12" i="1" s="1"/>
  <c r="U12" i="1"/>
  <c r="T13" i="1"/>
  <c r="V13" i="1" s="1"/>
  <c r="U13" i="1"/>
  <c r="T14" i="1"/>
  <c r="V14" i="1" s="1"/>
  <c r="U14" i="1"/>
  <c r="T15" i="1"/>
  <c r="V15" i="1" s="1"/>
  <c r="U15" i="1"/>
  <c r="T16" i="1"/>
  <c r="V16" i="1" s="1"/>
  <c r="U16" i="1"/>
  <c r="T17" i="1"/>
  <c r="V17" i="1" s="1"/>
  <c r="U17" i="1"/>
  <c r="T18" i="1"/>
  <c r="V18" i="1" s="1"/>
  <c r="U18" i="1"/>
  <c r="T19" i="1"/>
  <c r="V19" i="1" s="1"/>
  <c r="U19" i="1"/>
  <c r="T20" i="1"/>
  <c r="V20" i="1" s="1"/>
  <c r="U20" i="1"/>
  <c r="T21" i="1"/>
  <c r="V21" i="1" s="1"/>
  <c r="U21" i="1"/>
  <c r="T22" i="1"/>
  <c r="V22" i="1" s="1"/>
  <c r="U22" i="1"/>
  <c r="T23" i="1"/>
  <c r="V23" i="1" s="1"/>
  <c r="U23" i="1"/>
  <c r="T24" i="1"/>
  <c r="V24" i="1" s="1"/>
  <c r="U24" i="1"/>
  <c r="T25" i="1"/>
  <c r="V25" i="1" s="1"/>
  <c r="U25" i="1"/>
  <c r="T26" i="1"/>
  <c r="V26" i="1" s="1"/>
  <c r="U26" i="1"/>
  <c r="T27" i="1"/>
  <c r="V27" i="1" s="1"/>
  <c r="U27" i="1"/>
  <c r="T28" i="1"/>
  <c r="V28" i="1" s="1"/>
  <c r="U28" i="1"/>
  <c r="T29" i="1"/>
  <c r="V29" i="1" s="1"/>
  <c r="U29" i="1"/>
  <c r="T30" i="1"/>
  <c r="V30" i="1" s="1"/>
  <c r="U30" i="1"/>
  <c r="T31" i="1"/>
  <c r="V31" i="1" s="1"/>
  <c r="U31" i="1"/>
  <c r="U3" i="1"/>
  <c r="T3" i="1"/>
  <c r="V3" i="1" s="1"/>
  <c r="N4" i="1"/>
  <c r="P4" i="1" s="1"/>
  <c r="N5" i="1"/>
  <c r="P5" i="1" s="1"/>
  <c r="N6" i="1"/>
  <c r="P6" i="1" s="1"/>
  <c r="N7" i="1"/>
  <c r="P7" i="1" s="1"/>
  <c r="N8" i="1"/>
  <c r="P8" i="1" s="1"/>
  <c r="N9" i="1"/>
  <c r="P9" i="1" s="1"/>
  <c r="N10" i="1"/>
  <c r="P10" i="1" s="1"/>
  <c r="N11" i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P24" i="1" s="1"/>
  <c r="N25" i="1"/>
  <c r="P25" i="1" s="1"/>
  <c r="N26" i="1"/>
  <c r="P26" i="1" s="1"/>
  <c r="N27" i="1"/>
  <c r="P27" i="1" s="1"/>
  <c r="N28" i="1"/>
  <c r="P28" i="1" s="1"/>
  <c r="N29" i="1"/>
  <c r="P29" i="1" s="1"/>
  <c r="N30" i="1"/>
  <c r="P30" i="1" s="1"/>
  <c r="N31" i="1"/>
  <c r="P31" i="1" s="1"/>
  <c r="O31" i="1"/>
  <c r="O3" i="1"/>
  <c r="N3" i="1"/>
  <c r="P3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O30" i="1" s="1"/>
  <c r="O10" i="1" l="1"/>
  <c r="K5" i="4"/>
  <c r="W5" i="4" s="1"/>
  <c r="R5" i="4"/>
  <c r="AC5" i="4" s="1"/>
  <c r="L30" i="4"/>
  <c r="Y30" i="4" s="1"/>
  <c r="L14" i="4"/>
  <c r="Y14" i="4" s="1"/>
  <c r="S13" i="4"/>
  <c r="AE13" i="4" s="1"/>
  <c r="S29" i="4"/>
  <c r="AE29" i="4" s="1"/>
  <c r="S21" i="4"/>
  <c r="AE21" i="4" s="1"/>
  <c r="L22" i="4"/>
  <c r="Y22" i="4" s="1"/>
  <c r="L21" i="4"/>
  <c r="Y21" i="4" s="1"/>
  <c r="L27" i="4"/>
  <c r="Y27" i="4" s="1"/>
  <c r="S5" i="4"/>
  <c r="AE5" i="4" s="1"/>
  <c r="S18" i="4"/>
  <c r="AE18" i="4" s="1"/>
  <c r="L6" i="4"/>
  <c r="Y6" i="4" s="1"/>
  <c r="L26" i="4"/>
  <c r="Y26" i="4" s="1"/>
  <c r="L18" i="4"/>
  <c r="Y18" i="4" s="1"/>
  <c r="L10" i="4"/>
  <c r="Y10" i="4" s="1"/>
  <c r="S33" i="4"/>
  <c r="AE33" i="4" s="1"/>
  <c r="S25" i="4"/>
  <c r="AE25" i="4" s="1"/>
  <c r="S17" i="4"/>
  <c r="AE17" i="4" s="1"/>
  <c r="S9" i="4"/>
  <c r="AE9" i="4" s="1"/>
  <c r="L13" i="4"/>
  <c r="Y13" i="4" s="1"/>
  <c r="L5" i="4"/>
  <c r="Y5" i="4" s="1"/>
  <c r="L11" i="4"/>
  <c r="Y11" i="4" s="1"/>
  <c r="S10" i="4"/>
  <c r="AE10" i="4" s="1"/>
  <c r="L33" i="4"/>
  <c r="Y33" i="4" s="1"/>
  <c r="L25" i="4"/>
  <c r="Y25" i="4" s="1"/>
  <c r="L17" i="4"/>
  <c r="Y17" i="4" s="1"/>
  <c r="L9" i="4"/>
  <c r="Y9" i="4" s="1"/>
  <c r="S32" i="4"/>
  <c r="AE32" i="4" s="1"/>
  <c r="S24" i="4"/>
  <c r="AE24" i="4" s="1"/>
  <c r="S16" i="4"/>
  <c r="AE16" i="4" s="1"/>
  <c r="S8" i="4"/>
  <c r="AE8" i="4" s="1"/>
  <c r="L29" i="4"/>
  <c r="Y29" i="4" s="1"/>
  <c r="L19" i="4"/>
  <c r="Y19" i="4" s="1"/>
  <c r="S26" i="4"/>
  <c r="AE26" i="4" s="1"/>
  <c r="L32" i="4"/>
  <c r="Y32" i="4" s="1"/>
  <c r="L24" i="4"/>
  <c r="Y24" i="4" s="1"/>
  <c r="L16" i="4"/>
  <c r="Y16" i="4" s="1"/>
  <c r="L8" i="4"/>
  <c r="Y8" i="4" s="1"/>
  <c r="S31" i="4"/>
  <c r="AE31" i="4" s="1"/>
  <c r="S23" i="4"/>
  <c r="AE23" i="4" s="1"/>
  <c r="S15" i="4"/>
  <c r="AE15" i="4" s="1"/>
  <c r="S7" i="4"/>
  <c r="AE7" i="4" s="1"/>
  <c r="L31" i="4"/>
  <c r="Y31" i="4" s="1"/>
  <c r="L23" i="4"/>
  <c r="Y23" i="4" s="1"/>
  <c r="L15" i="4"/>
  <c r="Y15" i="4" s="1"/>
  <c r="L7" i="4"/>
  <c r="Y7" i="4" s="1"/>
  <c r="S30" i="4"/>
  <c r="AE30" i="4" s="1"/>
  <c r="S22" i="4"/>
  <c r="AE22" i="4" s="1"/>
  <c r="S14" i="4"/>
  <c r="AE14" i="4" s="1"/>
  <c r="S6" i="4"/>
  <c r="AE6" i="4" s="1"/>
  <c r="S28" i="4"/>
  <c r="AE28" i="4" s="1"/>
  <c r="S20" i="4"/>
  <c r="AE20" i="4" s="1"/>
  <c r="S12" i="4"/>
  <c r="AE12" i="4" s="1"/>
  <c r="L28" i="4"/>
  <c r="Y28" i="4" s="1"/>
  <c r="L20" i="4"/>
  <c r="Y20" i="4" s="1"/>
  <c r="S27" i="4"/>
  <c r="AE27" i="4" s="1"/>
  <c r="S19" i="4"/>
  <c r="AE19" i="4" s="1"/>
  <c r="K32" i="4"/>
  <c r="W32" i="4" s="1"/>
  <c r="K28" i="4"/>
  <c r="W28" i="4" s="1"/>
  <c r="K24" i="4"/>
  <c r="W24" i="4" s="1"/>
  <c r="K20" i="4"/>
  <c r="W20" i="4" s="1"/>
  <c r="K16" i="4"/>
  <c r="W16" i="4" s="1"/>
  <c r="K12" i="4"/>
  <c r="W12" i="4" s="1"/>
  <c r="K8" i="4"/>
  <c r="W8" i="4" s="1"/>
  <c r="K31" i="4"/>
  <c r="W31" i="4" s="1"/>
  <c r="K7" i="4"/>
  <c r="W7" i="4" s="1"/>
  <c r="K27" i="4"/>
  <c r="W27" i="4" s="1"/>
  <c r="K15" i="4"/>
  <c r="W15" i="4" s="1"/>
  <c r="K6" i="4"/>
  <c r="W6" i="4" s="1"/>
  <c r="K30" i="4"/>
  <c r="W30" i="4" s="1"/>
  <c r="K26" i="4"/>
  <c r="W26" i="4" s="1"/>
  <c r="K22" i="4"/>
  <c r="W22" i="4" s="1"/>
  <c r="K18" i="4"/>
  <c r="W18" i="4" s="1"/>
  <c r="K14" i="4"/>
  <c r="W14" i="4" s="1"/>
  <c r="K10" i="4"/>
  <c r="W10" i="4" s="1"/>
  <c r="K19" i="4"/>
  <c r="W19" i="4" s="1"/>
  <c r="K23" i="4"/>
  <c r="W23" i="4" s="1"/>
  <c r="K11" i="4"/>
  <c r="W11" i="4" s="1"/>
  <c r="K33" i="4"/>
  <c r="W33" i="4" s="1"/>
  <c r="K29" i="4"/>
  <c r="W29" i="4" s="1"/>
  <c r="K25" i="4"/>
  <c r="W25" i="4" s="1"/>
  <c r="K21" i="4"/>
  <c r="W21" i="4" s="1"/>
  <c r="K17" i="4"/>
  <c r="W17" i="4" s="1"/>
  <c r="K13" i="4"/>
  <c r="W13" i="4" s="1"/>
  <c r="R26" i="4"/>
  <c r="AC26" i="4" s="1"/>
  <c r="R18" i="4"/>
  <c r="AC18" i="4" s="1"/>
  <c r="R14" i="4"/>
  <c r="AC14" i="4" s="1"/>
  <c r="R6" i="4"/>
  <c r="AC6" i="4" s="1"/>
  <c r="R30" i="4"/>
  <c r="AC30" i="4" s="1"/>
  <c r="R10" i="4"/>
  <c r="AC10" i="4" s="1"/>
  <c r="R22" i="4"/>
  <c r="AC22" i="4" s="1"/>
  <c r="R33" i="4"/>
  <c r="AC33" i="4" s="1"/>
  <c r="R29" i="4"/>
  <c r="AC29" i="4" s="1"/>
  <c r="R25" i="4"/>
  <c r="AC25" i="4" s="1"/>
  <c r="R21" i="4"/>
  <c r="AC21" i="4" s="1"/>
  <c r="R17" i="4"/>
  <c r="AC17" i="4" s="1"/>
  <c r="R13" i="4"/>
  <c r="AC13" i="4" s="1"/>
  <c r="R9" i="4"/>
  <c r="AC9" i="4" s="1"/>
  <c r="R32" i="4"/>
  <c r="AC32" i="4" s="1"/>
  <c r="R28" i="4"/>
  <c r="AC28" i="4" s="1"/>
  <c r="R24" i="4"/>
  <c r="AC24" i="4" s="1"/>
  <c r="R20" i="4"/>
  <c r="AC20" i="4" s="1"/>
  <c r="R16" i="4"/>
  <c r="AC16" i="4" s="1"/>
  <c r="R12" i="4"/>
  <c r="AC12" i="4" s="1"/>
  <c r="R8" i="4"/>
  <c r="AC8" i="4" s="1"/>
  <c r="R31" i="4"/>
  <c r="AC31" i="4" s="1"/>
  <c r="R27" i="4"/>
  <c r="AC27" i="4" s="1"/>
  <c r="R23" i="4"/>
  <c r="AC23" i="4" s="1"/>
  <c r="R19" i="4"/>
  <c r="AC19" i="4" s="1"/>
  <c r="R15" i="4"/>
  <c r="AC15" i="4" s="1"/>
  <c r="R11" i="4"/>
  <c r="AC11" i="4" s="1"/>
  <c r="D35" i="13"/>
  <c r="C10" i="15"/>
  <c r="B34" i="13"/>
  <c r="B9" i="15"/>
  <c r="B35" i="13"/>
  <c r="B10" i="15"/>
  <c r="C9" i="15"/>
  <c r="D34" i="13"/>
  <c r="C8" i="15"/>
  <c r="C11" i="15"/>
  <c r="B11" i="15"/>
  <c r="F9" i="12"/>
  <c r="O23" i="1"/>
  <c r="O9" i="1"/>
  <c r="O22" i="1"/>
  <c r="O13" i="1"/>
  <c r="O14" i="1"/>
  <c r="O27" i="1"/>
  <c r="O18" i="1"/>
  <c r="O26" i="1"/>
  <c r="O17" i="1"/>
  <c r="O19" i="1"/>
  <c r="O21" i="1"/>
  <c r="O25" i="1"/>
  <c r="O11" i="1"/>
  <c r="O5" i="1"/>
  <c r="O7" i="1"/>
  <c r="O29" i="1"/>
  <c r="O15" i="1"/>
  <c r="O6" i="1"/>
  <c r="O28" i="1"/>
  <c r="O24" i="1"/>
  <c r="O20" i="1"/>
  <c r="O16" i="1"/>
  <c r="O12" i="1"/>
  <c r="O8" i="1"/>
  <c r="O4" i="1"/>
  <c r="Q5" i="1"/>
  <c r="Q7" i="1"/>
  <c r="W18" i="1"/>
  <c r="W17" i="1"/>
  <c r="W15" i="1"/>
  <c r="W28" i="1"/>
  <c r="W20" i="1"/>
  <c r="W27" i="1"/>
  <c r="W19" i="1"/>
  <c r="W30" i="1"/>
  <c r="W22" i="1"/>
  <c r="W12" i="1"/>
  <c r="W26" i="1"/>
  <c r="W25" i="1"/>
  <c r="W24" i="1"/>
  <c r="W23" i="1"/>
  <c r="W14" i="1"/>
  <c r="W29" i="1"/>
  <c r="W21" i="1"/>
  <c r="W13" i="1"/>
  <c r="W31" i="1"/>
  <c r="W16" i="1"/>
  <c r="O3" i="18"/>
  <c r="M3" i="18" s="1"/>
</calcChain>
</file>

<file path=xl/sharedStrings.xml><?xml version="1.0" encoding="utf-8"?>
<sst xmlns="http://schemas.openxmlformats.org/spreadsheetml/2006/main" count="628" uniqueCount="295">
  <si>
    <t>Year</t>
  </si>
  <si>
    <t>Efficiency</t>
  </si>
  <si>
    <t>% w.r.t. 2020, MJ/Km
Lower Limit</t>
  </si>
  <si>
    <t>% w.r.t. 2020, MJ/Km
Upper Limit</t>
  </si>
  <si>
    <t>Energy efficiency to all powertrains type (C)</t>
  </si>
  <si>
    <t>Fuel Cell Efficiency-Hydrogen (F)</t>
  </si>
  <si>
    <t>%
Lower limit</t>
  </si>
  <si>
    <t>%
Upper limit</t>
  </si>
  <si>
    <t>lineal</t>
  </si>
  <si>
    <t>Lineal</t>
  </si>
  <si>
    <t>Curve</t>
  </si>
  <si>
    <t>Electric drivetrain costs
(D). Electric powertrain costs (motors, inverters, thermal management);</t>
  </si>
  <si>
    <t>Lower limit
EUR/kw</t>
  </si>
  <si>
    <t>Upper limit
EUR/kw</t>
  </si>
  <si>
    <t>Battery Pack Costs (I)
Average global Lithium-ion
battery pack costs;</t>
  </si>
  <si>
    <t>Battery Energy Density (K). Battery pack energy density;</t>
  </si>
  <si>
    <t>Wh/Kg
Lower Limit</t>
  </si>
  <si>
    <t>Wh/Kg
Upper Limit</t>
  </si>
  <si>
    <t>Hydrogen Fuel Cell cost (E)</t>
  </si>
  <si>
    <t>Hydrogen Fuel tank cost (G)</t>
  </si>
  <si>
    <t>Lower limit
EUR/kg</t>
  </si>
  <si>
    <t>Upper limit
EUR/kg</t>
  </si>
  <si>
    <t>% Residual Value vehicle
Lower Limit</t>
  </si>
  <si>
    <t>% Residual Value vehicle
Upper Limit</t>
  </si>
  <si>
    <t>% Residual Value Battery
Lower Limit</t>
  </si>
  <si>
    <t>% Residual Value Battery
Upper Limit</t>
  </si>
  <si>
    <t>Residual Value (P) Residual value of vehicles and batteries after seven years of use.</t>
  </si>
  <si>
    <t>Upper bound</t>
  </si>
  <si>
    <t>Lower bound</t>
  </si>
  <si>
    <t>Diesel</t>
  </si>
  <si>
    <t>Electric</t>
  </si>
  <si>
    <t>Gas</t>
  </si>
  <si>
    <t>Hydrogen</t>
  </si>
  <si>
    <t>Hydro</t>
  </si>
  <si>
    <t>1. Decarbonising Europe’s Trucks How to Minimise Cost Uncertainty</t>
  </si>
  <si>
    <t>LAMBDA</t>
  </si>
  <si>
    <t>GAMMA</t>
  </si>
  <si>
    <t>RESALE</t>
  </si>
  <si>
    <t>EVOL</t>
  </si>
  <si>
    <t>BETA</t>
  </si>
  <si>
    <t>2. PEN_documento_para_consulta</t>
  </si>
  <si>
    <t>SF</t>
  </si>
  <si>
    <t>SA</t>
  </si>
  <si>
    <t>3. Giro Zero roadmap</t>
  </si>
  <si>
    <t>INF</t>
  </si>
  <si>
    <t>3. Tasas inflacionarias en Colombia</t>
  </si>
  <si>
    <t>4. 1.1.12.TCM_Serie historica promedio mensual</t>
  </si>
  <si>
    <t>DEV</t>
  </si>
  <si>
    <t>Tasa de cambio representativa del mercado (TRM)</t>
  </si>
  <si>
    <t>1.1.11. Serie histórica_periodicidad mensual</t>
  </si>
  <si>
    <t>Información disponible desde el año 1991.</t>
  </si>
  <si>
    <t xml:space="preserve"> </t>
  </si>
  <si>
    <t>Año - Mes (aaaa -mm)</t>
  </si>
  <si>
    <t>Promedio mensual</t>
  </si>
  <si>
    <t>Fin de mes</t>
  </si>
  <si>
    <t/>
  </si>
  <si>
    <r>
      <rPr>
        <b/>
        <sz val="9"/>
        <color theme="1"/>
        <rFont val="Helvetica"/>
        <family val="2"/>
      </rPr>
      <t>Fuente:</t>
    </r>
    <r>
      <rPr>
        <sz val="9"/>
        <color theme="1"/>
        <rFont val="Helvetica"/>
        <family val="2"/>
      </rPr>
      <t xml:space="preserve"> Superintendencia Financiera de Colombia (</t>
    </r>
    <r>
      <rPr>
        <u/>
        <sz val="9"/>
        <color rgb="FF0000FF"/>
        <rFont val="Helvetica"/>
        <family val="2"/>
      </rPr>
      <t>www.superfinanciera.gov.co</t>
    </r>
    <r>
      <rPr>
        <sz val="9"/>
        <color theme="1"/>
        <rFont val="Helvetica"/>
        <family val="2"/>
      </rPr>
      <t>)</t>
    </r>
  </si>
  <si>
    <r>
      <rPr>
        <sz val="9"/>
        <color theme="1"/>
        <rFont val="Helvetica"/>
        <family val="2"/>
      </rPr>
      <t xml:space="preserve"> </t>
    </r>
    <r>
      <rPr>
        <b/>
        <i/>
        <sz val="9"/>
        <color theme="1"/>
        <rFont val="Helvetica"/>
        <family val="2"/>
      </rPr>
      <t xml:space="preserve">(-) </t>
    </r>
    <r>
      <rPr>
        <i/>
        <sz val="9"/>
        <color theme="1"/>
        <rFont val="Helvetica"/>
        <family val="2"/>
      </rPr>
      <t>Indica que no hay dato disponible.</t>
    </r>
  </si>
  <si>
    <r>
      <rPr>
        <sz val="9"/>
        <color theme="1"/>
        <rFont val="Helvetica"/>
        <family val="2"/>
      </rPr>
      <t xml:space="preserve"> </t>
    </r>
    <r>
      <rPr>
        <i/>
        <sz val="9"/>
        <color theme="1"/>
        <rFont val="Helvetica"/>
        <family val="2"/>
      </rPr>
      <t>Banco de la República - Gerencia Técnica - información extraída de la bodega de datos -Serankua- el 22/11/2022 05:58:42</t>
    </r>
    <r>
      <rPr>
        <sz val="9"/>
        <color theme="1"/>
        <rFont val="Helvetica"/>
        <family val="2"/>
      </rPr>
      <t xml:space="preserve"> br/]</t>
    </r>
  </si>
  <si>
    <t>YEAR</t>
  </si>
  <si>
    <t>EFF</t>
  </si>
  <si>
    <t>6. Spatial and Temporal Analysis of the Total Cost of Ownership for Class 8 Tractors and Class 4 Parcel Delivery Trucks</t>
  </si>
  <si>
    <t>HIDRO</t>
  </si>
  <si>
    <t>ELECT</t>
  </si>
  <si>
    <t>GAS</t>
  </si>
  <si>
    <t>DIESEL</t>
  </si>
  <si>
    <t>C2</t>
  </si>
  <si>
    <t>3S3</t>
  </si>
  <si>
    <t>mi/gde</t>
  </si>
  <si>
    <t>km/mi</t>
  </si>
  <si>
    <t>km/gde</t>
  </si>
  <si>
    <t>7. Alternative Fuels Data Center</t>
  </si>
  <si>
    <t>dge/kwh</t>
  </si>
  <si>
    <t>dge/gal</t>
  </si>
  <si>
    <t>dge/kg</t>
  </si>
  <si>
    <t>dge/lb</t>
  </si>
  <si>
    <t>km/kg</t>
  </si>
  <si>
    <t>km/kwh</t>
  </si>
  <si>
    <t>km/gal</t>
  </si>
  <si>
    <t>kg/km</t>
  </si>
  <si>
    <t>kwh/km</t>
  </si>
  <si>
    <t>gal/km</t>
  </si>
  <si>
    <t>CF_0</t>
  </si>
  <si>
    <t>COP/kg</t>
  </si>
  <si>
    <t>COP/kwh</t>
  </si>
  <si>
    <t>COP/lb</t>
  </si>
  <si>
    <t>COP/gal</t>
  </si>
  <si>
    <t>5. Decarbonising Transport</t>
  </si>
  <si>
    <t>https://www.xm.com.co/precios-derivex  para el mes de nov/2022</t>
  </si>
  <si>
    <t>Electrico</t>
  </si>
  <si>
    <t>USD/kg</t>
  </si>
  <si>
    <t>COP/USD</t>
  </si>
  <si>
    <t>2021 Hoja de Ruta H2 Colombia_Borrador[9700]</t>
  </si>
  <si>
    <t>Hdrogen</t>
  </si>
  <si>
    <t>https://www.minenergia.gov.co/es/misional/hidrocarburos/funcionamiento-del-sector/downstream/</t>
  </si>
  <si>
    <t>https://www.grupovanti.com/gas-natural-vehicular-gnv/precio-historico-del-gas-natural-vehicular/</t>
  </si>
  <si>
    <t>GNV</t>
  </si>
  <si>
    <t>COP/m3</t>
  </si>
  <si>
    <t>kg/M³</t>
  </si>
  <si>
    <t>lb/kg</t>
  </si>
  <si>
    <t>lb/m3</t>
  </si>
  <si>
    <t>https://transport.delhi.gov.in/content/alternate-fuel-control-pollution-compressed-natural-gas-cng</t>
  </si>
  <si>
    <t>km/m3</t>
  </si>
  <si>
    <t>COP/KM</t>
  </si>
  <si>
    <t>m3/KM</t>
  </si>
  <si>
    <t>LIM1</t>
  </si>
  <si>
    <t>Documento_Tecnico_FE_2020 emisiones electricas Scope 2</t>
  </si>
  <si>
    <t>WTW</t>
  </si>
  <si>
    <t>WTT</t>
  </si>
  <si>
    <t>TTW</t>
  </si>
  <si>
    <t>ELE</t>
  </si>
  <si>
    <t>Hidro</t>
  </si>
  <si>
    <t xml:space="preserve"> g CO2eq/KWh</t>
  </si>
  <si>
    <t>Ele</t>
  </si>
  <si>
    <t>CONCEPTUAL_DESIGN_ANALYSIS_AND_OPTIMIZATION_OF_NUC%20(1).pdf</t>
  </si>
  <si>
    <t xml:space="preserve">Kg CO2 / Kg </t>
  </si>
  <si>
    <t>(kg CO2e/liter</t>
  </si>
  <si>
    <t xml:space="preserve"> g CO2eq/Kg</t>
  </si>
  <si>
    <t>gal/lit</t>
  </si>
  <si>
    <t xml:space="preserve"> g CO2eq/gallon</t>
  </si>
  <si>
    <t>Gris</t>
  </si>
  <si>
    <t>Azul</t>
  </si>
  <si>
    <t>Verde</t>
  </si>
  <si>
    <t>DECRETO 926 DEL 01 DE JUNIO DE 2017 impuesto al carbono</t>
  </si>
  <si>
    <t xml:space="preserve"> g CO2eq/m3</t>
  </si>
  <si>
    <t>1 kg = 0.9 DGE</t>
  </si>
  <si>
    <t>kWh = 0.027</t>
  </si>
  <si>
    <t>DGE</t>
  </si>
  <si>
    <t>kwh/kg</t>
  </si>
  <si>
    <t xml:space="preserve"> g CO2eq/Km</t>
  </si>
  <si>
    <t>2021 09_TE_LNG_trucks_a_dead_end_bridge_final[9706]</t>
  </si>
  <si>
    <t>CM_0</t>
  </si>
  <si>
    <t>FM</t>
  </si>
  <si>
    <t>PLAN ESTRATÉGICO DE NEGOCIOS - PROYECTO GIRO ZERO</t>
  </si>
  <si>
    <t>https://www.andi.com.co/Uploads/2022-08-28%20Segundo%20Taller%20Escenarios%20Eficientes%20SICETAC%20ANDI%20VF.pdf</t>
  </si>
  <si>
    <t>DELTA</t>
  </si>
  <si>
    <t>DIE</t>
  </si>
  <si>
    <t>HID</t>
  </si>
  <si>
    <t>param INF:=;</t>
  </si>
  <si>
    <t>param DEV:=;</t>
  </si>
  <si>
    <t>L</t>
  </si>
  <si>
    <t>M</t>
  </si>
  <si>
    <t>P</t>
  </si>
  <si>
    <t>2021 Hoja de Ruta H2 Colombia_Borrador</t>
  </si>
  <si>
    <t>BSV</t>
  </si>
  <si>
    <t>CV</t>
  </si>
  <si>
    <t>BEV</t>
  </si>
  <si>
    <t>purchase-cost-ze-trucks-feb22-1</t>
  </si>
  <si>
    <t>Medium</t>
  </si>
  <si>
    <t>Bogota-Cali</t>
  </si>
  <si>
    <t>km ruta</t>
  </si>
  <si>
    <t>VARIABLE</t>
  </si>
  <si>
    <t>Llantas</t>
  </si>
  <si>
    <t>$0.00</t>
  </si>
  <si>
    <t>$8,409.80</t>
  </si>
  <si>
    <t>4.91%</t>
  </si>
  <si>
    <t>Lubricantes</t>
  </si>
  <si>
    <t>$3,944.18</t>
  </si>
  <si>
    <t>2.30%</t>
  </si>
  <si>
    <t>Filtros</t>
  </si>
  <si>
    <t>$1,761.11</t>
  </si>
  <si>
    <t>1.03%</t>
  </si>
  <si>
    <t>Mantenimiento y Reparación</t>
  </si>
  <si>
    <t>$15,615.20</t>
  </si>
  <si>
    <t>9.11%</t>
  </si>
  <si>
    <t>Suma Mtto ruta</t>
  </si>
  <si>
    <t>13 años</t>
  </si>
  <si>
    <t>C3</t>
  </si>
  <si>
    <t>$7,928.83</t>
  </si>
  <si>
    <t>5.70%</t>
  </si>
  <si>
    <t>$3,100.63</t>
  </si>
  <si>
    <t>2.23%</t>
  </si>
  <si>
    <t>$887.01</t>
  </si>
  <si>
    <t>0.64%</t>
  </si>
  <si>
    <t>$12,655.65</t>
  </si>
  <si>
    <t>9.10%</t>
  </si>
  <si>
    <t>Lavado y Engrase</t>
  </si>
  <si>
    <t>$832.47</t>
  </si>
  <si>
    <t>0.60%</t>
  </si>
  <si>
    <t>C3S3</t>
  </si>
  <si>
    <t>$6,891.42</t>
  </si>
  <si>
    <t>7.97%</t>
  </si>
  <si>
    <t>$1,467.94</t>
  </si>
  <si>
    <t>1.70%</t>
  </si>
  <si>
    <t>$670.10</t>
  </si>
  <si>
    <t>0.78%</t>
  </si>
  <si>
    <t>$6,068.58</t>
  </si>
  <si>
    <t>7.02%</t>
  </si>
  <si>
    <t>$518.91</t>
  </si>
  <si>
    <t>https://plc.mintransporte.gov.co/Runtime/empresa/ctl/SiceTAC/mid/417</t>
  </si>
  <si>
    <t>OMEGA</t>
  </si>
  <si>
    <t>2021-08-06 R. No. 20213040034405-06-08-21 (ACTUALIZACION SICE TAC)</t>
  </si>
  <si>
    <t>Tipo de costo</t>
  </si>
  <si>
    <t>Concepto</t>
  </si>
  <si>
    <t>Valor Mes</t>
  </si>
  <si>
    <t>Valor por viaje</t>
  </si>
  <si>
    <t>Valor por tonelada</t>
  </si>
  <si>
    <t>Participación</t>
  </si>
  <si>
    <t>FIJO</t>
  </si>
  <si>
    <t>Capital</t>
  </si>
  <si>
    <t>Comunicaciones</t>
  </si>
  <si>
    <t>Impuestos Rodamiento</t>
  </si>
  <si>
    <t>Parqueaderos</t>
  </si>
  <si>
    <t>Revisión Técnico Mecánica</t>
  </si>
  <si>
    <t>Seguros Soat</t>
  </si>
  <si>
    <t>Seguros Todo Riesgo</t>
  </si>
  <si>
    <t>320620,43</t>
  </si>
  <si>
    <t>9430,01</t>
  </si>
  <si>
    <t>10,91%</t>
  </si>
  <si>
    <t>12255,21</t>
  </si>
  <si>
    <t>360,45</t>
  </si>
  <si>
    <t>0,42%</t>
  </si>
  <si>
    <t>9851,83</t>
  </si>
  <si>
    <t>289,76</t>
  </si>
  <si>
    <t>0,34%</t>
  </si>
  <si>
    <t>23469,11</t>
  </si>
  <si>
    <t>690,27</t>
  </si>
  <si>
    <t>0,8%</t>
  </si>
  <si>
    <t>2009,77</t>
  </si>
  <si>
    <t>59,11</t>
  </si>
  <si>
    <t>0,07%</t>
  </si>
  <si>
    <t>Salarios(1,5 SMV) + Prestaciones(55,69%) + Vacaciones(0,5 SMV/12)</t>
  </si>
  <si>
    <t>2400066,67</t>
  </si>
  <si>
    <t>142083,1</t>
  </si>
  <si>
    <t>4178,91</t>
  </si>
  <si>
    <t>4,84%</t>
  </si>
  <si>
    <t>6595,85</t>
  </si>
  <si>
    <t>0,22%</t>
  </si>
  <si>
    <t>43164,77</t>
  </si>
  <si>
    <t>1269,55</t>
  </si>
  <si>
    <t>1,47%</t>
  </si>
  <si>
    <t>214841,92</t>
  </si>
  <si>
    <t>23871,32</t>
  </si>
  <si>
    <t>13,93%</t>
  </si>
  <si>
    <t>15379,25</t>
  </si>
  <si>
    <t>1708,81</t>
  </si>
  <si>
    <t>5926,23</t>
  </si>
  <si>
    <t>658,47</t>
  </si>
  <si>
    <t>0,38%</t>
  </si>
  <si>
    <t>12280,22</t>
  </si>
  <si>
    <t>1364,47</t>
  </si>
  <si>
    <t>2522,09</t>
  </si>
  <si>
    <t>280,23</t>
  </si>
  <si>
    <t>0,16%</t>
  </si>
  <si>
    <t>178302,12</t>
  </si>
  <si>
    <t>19811,35</t>
  </si>
  <si>
    <t>11,56%</t>
  </si>
  <si>
    <t>6546,85</t>
  </si>
  <si>
    <t>727,43</t>
  </si>
  <si>
    <t>19444,27</t>
  </si>
  <si>
    <t>2160,47</t>
  </si>
  <si>
    <t>1,26%</t>
  </si>
  <si>
    <t>232441,7</t>
  </si>
  <si>
    <t>14527,61</t>
  </si>
  <si>
    <t>10,44%</t>
  </si>
  <si>
    <t>13549,2</t>
  </si>
  <si>
    <t>846,82</t>
  </si>
  <si>
    <t>0,61%</t>
  </si>
  <si>
    <t>7254,06</t>
  </si>
  <si>
    <t>453,38</t>
  </si>
  <si>
    <t>0,33%</t>
  </si>
  <si>
    <t>17217,69</t>
  </si>
  <si>
    <t>1076,11</t>
  </si>
  <si>
    <t>0,77%</t>
  </si>
  <si>
    <t>2221,97</t>
  </si>
  <si>
    <t>138,87</t>
  </si>
  <si>
    <t>0,1%</t>
  </si>
  <si>
    <t>157085,13</t>
  </si>
  <si>
    <t>9817,82</t>
  </si>
  <si>
    <t>7,06%</t>
  </si>
  <si>
    <t>7292,28</t>
  </si>
  <si>
    <t>455,77</t>
  </si>
  <si>
    <t>39393,43</t>
  </si>
  <si>
    <t>2462,09</t>
  </si>
  <si>
    <t>1,77%</t>
  </si>
  <si>
    <t>i</t>
  </si>
  <si>
    <t>n</t>
  </si>
  <si>
    <t>F</t>
  </si>
  <si>
    <t>Omega</t>
  </si>
  <si>
    <t>Valor vehiculo</t>
  </si>
  <si>
    <t>Admin</t>
  </si>
  <si>
    <t>$COP/tCO2</t>
  </si>
  <si>
    <t>Tecnología según peso (PBV) y autonomía (Rango km)</t>
  </si>
  <si>
    <t>Urbana 
(&lt; a 100 km)</t>
  </si>
  <si>
    <t>Regional 
(100 a 200 km)</t>
  </si>
  <si>
    <t>Nacional 
(mayor a 400 km)</t>
  </si>
  <si>
    <t>Eléctricos (BEV)</t>
  </si>
  <si>
    <t>Eléctricos (BEV) / Hidrógeno (FCEV)</t>
  </si>
  <si>
    <t>Camiones medianos 
(10,5 ton a 17 ton)</t>
  </si>
  <si>
    <t>Camiones pesados 
(10,5 ton a 76 ton)</t>
  </si>
  <si>
    <t>Hidrógeno (FCEV)</t>
  </si>
  <si>
    <t>Camiones ligeros 
(3,5 a 10,5 ton)</t>
  </si>
  <si>
    <t>Opt</t>
  </si>
  <si>
    <t>Pes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</si>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</sst>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"/>
    <numFmt numFmtId="165" formatCode="yyyy\-mm"/>
    <numFmt numFmtId="166" formatCode="0.0000%"/>
    <numFmt numFmtId="167" formatCode="0.000000"/>
    <numFmt numFmtId="168" formatCode="0.000%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00000"/>
      <name val="Verdana"/>
      <family val="2"/>
    </font>
    <font>
      <sz val="11"/>
      <color theme="1"/>
      <name val="Calibri"/>
      <family val="2"/>
    </font>
    <font>
      <b/>
      <sz val="12"/>
      <color rgb="FF004677"/>
      <name val="Helvetica"/>
      <family val="2"/>
    </font>
    <font>
      <sz val="11"/>
      <color theme="1"/>
      <name val="Helvetica"/>
      <family val="2"/>
    </font>
    <font>
      <sz val="9"/>
      <color theme="1"/>
      <name val="Helvetica"/>
      <family val="2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b/>
      <sz val="9"/>
      <color theme="1"/>
      <name val="Helvetica"/>
      <family val="2"/>
    </font>
    <font>
      <u/>
      <sz val="9"/>
      <color rgb="FF0000FF"/>
      <name val="Helvetica"/>
      <family val="2"/>
    </font>
    <font>
      <b/>
      <i/>
      <sz val="9"/>
      <color theme="1"/>
      <name val="Helvetica"/>
      <family val="2"/>
    </font>
    <font>
      <i/>
      <sz val="9"/>
      <color theme="1"/>
      <name val="Helvetica"/>
      <family val="2"/>
    </font>
    <font>
      <sz val="10"/>
      <color rgb="FF000000"/>
      <name val="Arial"/>
      <family val="2"/>
    </font>
    <font>
      <b/>
      <sz val="8"/>
      <color rgb="FF202124"/>
      <name val="Arial"/>
      <family val="2"/>
    </font>
    <font>
      <sz val="10"/>
      <color rgb="FF202124"/>
      <name val="Arial"/>
      <family val="2"/>
    </font>
    <font>
      <sz val="10"/>
      <color rgb="FF000000"/>
      <name val="Calibri Light"/>
      <family val="2"/>
    </font>
    <font>
      <sz val="7"/>
      <color rgb="FF333333"/>
      <name val="Open Sans"/>
      <family val="2"/>
    </font>
    <font>
      <b/>
      <sz val="7"/>
      <color rgb="FF333333"/>
      <name val="Open Sans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EFA"/>
        <bgColor indexed="64"/>
      </patternFill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78EF6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DDDDD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</cellStyleXfs>
  <cellXfs count="9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9" fontId="0" fillId="0" borderId="1" xfId="0" applyNumberFormat="1" applyBorder="1" applyAlignment="1">
      <alignment horizontal="center"/>
    </xf>
    <xf numFmtId="0" fontId="0" fillId="0" borderId="1" xfId="0" applyBorder="1"/>
    <xf numFmtId="9" fontId="0" fillId="0" borderId="1" xfId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/>
    <xf numFmtId="2" fontId="0" fillId="2" borderId="1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9" fontId="0" fillId="3" borderId="0" xfId="0" applyNumberFormat="1" applyFill="1" applyAlignment="1">
      <alignment horizontal="center"/>
    </xf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>
      <alignment horizontal="left"/>
    </xf>
    <xf numFmtId="0" fontId="3" fillId="5" borderId="6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10" fontId="3" fillId="5" borderId="6" xfId="0" applyNumberFormat="1" applyFont="1" applyFill="1" applyBorder="1" applyAlignment="1">
      <alignment horizontal="right" vertical="top" wrapText="1"/>
    </xf>
    <xf numFmtId="10" fontId="3" fillId="4" borderId="6" xfId="0" applyNumberFormat="1" applyFont="1" applyFill="1" applyBorder="1" applyAlignment="1">
      <alignment horizontal="right" vertical="top" wrapText="1"/>
    </xf>
    <xf numFmtId="10" fontId="0" fillId="0" borderId="0" xfId="1" applyNumberFormat="1" applyFont="1"/>
    <xf numFmtId="10" fontId="0" fillId="0" borderId="0" xfId="0" applyNumberFormat="1"/>
    <xf numFmtId="0" fontId="5" fillId="0" borderId="0" xfId="3" applyFont="1" applyAlignment="1">
      <alignment horizontal="left" vertical="top" wrapText="1"/>
    </xf>
    <xf numFmtId="0" fontId="4" fillId="0" borderId="0" xfId="3"/>
    <xf numFmtId="0" fontId="6" fillId="0" borderId="0" xfId="3" applyFont="1" applyAlignment="1">
      <alignment horizontal="left" vertical="top" wrapText="1"/>
    </xf>
    <xf numFmtId="0" fontId="7" fillId="0" borderId="0" xfId="3" applyFont="1" applyAlignment="1">
      <alignment horizontal="left" vertical="center" wrapText="1"/>
    </xf>
    <xf numFmtId="0" fontId="8" fillId="6" borderId="7" xfId="3" applyFont="1" applyFill="1" applyBorder="1" applyAlignment="1">
      <alignment horizontal="center" vertical="center" wrapText="1"/>
    </xf>
    <xf numFmtId="0" fontId="8" fillId="6" borderId="8" xfId="3" applyFont="1" applyFill="1" applyBorder="1" applyAlignment="1">
      <alignment horizontal="center" vertical="center" wrapText="1"/>
    </xf>
    <xf numFmtId="0" fontId="8" fillId="6" borderId="9" xfId="3" applyFont="1" applyFill="1" applyBorder="1" applyAlignment="1">
      <alignment horizontal="center" vertical="center" wrapText="1"/>
    </xf>
    <xf numFmtId="165" fontId="9" fillId="6" borderId="8" xfId="3" applyNumberFormat="1" applyFont="1" applyFill="1" applyBorder="1" applyAlignment="1">
      <alignment horizontal="left" vertical="top" wrapText="1"/>
    </xf>
    <xf numFmtId="4" fontId="9" fillId="7" borderId="8" xfId="3" applyNumberFormat="1" applyFont="1" applyFill="1" applyBorder="1" applyAlignment="1">
      <alignment horizontal="right" vertical="top" wrapText="1"/>
    </xf>
    <xf numFmtId="4" fontId="9" fillId="7" borderId="9" xfId="3" applyNumberFormat="1" applyFont="1" applyFill="1" applyBorder="1" applyAlignment="1">
      <alignment horizontal="right" vertical="top" wrapText="1"/>
    </xf>
    <xf numFmtId="165" fontId="9" fillId="8" borderId="8" xfId="3" applyNumberFormat="1" applyFont="1" applyFill="1" applyBorder="1" applyAlignment="1">
      <alignment horizontal="left" vertical="top" wrapText="1"/>
    </xf>
    <xf numFmtId="4" fontId="9" fillId="8" borderId="8" xfId="3" applyNumberFormat="1" applyFont="1" applyFill="1" applyBorder="1" applyAlignment="1">
      <alignment horizontal="right" vertical="top" wrapText="1"/>
    </xf>
    <xf numFmtId="4" fontId="9" fillId="8" borderId="9" xfId="3" applyNumberFormat="1" applyFont="1" applyFill="1" applyBorder="1" applyAlignment="1">
      <alignment horizontal="right" vertical="top" wrapText="1"/>
    </xf>
    <xf numFmtId="0" fontId="4" fillId="0" borderId="0" xfId="3" applyAlignment="1">
      <alignment horizontal="center" vertical="top" wrapText="1"/>
    </xf>
    <xf numFmtId="0" fontId="4" fillId="0" borderId="0" xfId="3" applyAlignment="1">
      <alignment horizontal="left" vertical="center" wrapText="1"/>
    </xf>
    <xf numFmtId="10" fontId="9" fillId="7" borderId="8" xfId="1" applyNumberFormat="1" applyFont="1" applyFill="1" applyBorder="1" applyAlignment="1">
      <alignment horizontal="right" vertical="top" wrapText="1"/>
    </xf>
    <xf numFmtId="10" fontId="4" fillId="0" borderId="0" xfId="3" applyNumberFormat="1"/>
    <xf numFmtId="10" fontId="4" fillId="0" borderId="0" xfId="1" applyNumberFormat="1" applyFont="1"/>
    <xf numFmtId="2" fontId="0" fillId="0" borderId="0" xfId="0" applyNumberFormat="1"/>
    <xf numFmtId="0" fontId="14" fillId="0" borderId="0" xfId="0" applyFont="1"/>
    <xf numFmtId="0" fontId="15" fillId="0" borderId="0" xfId="0" applyFont="1"/>
    <xf numFmtId="0" fontId="16" fillId="0" borderId="0" xfId="0" applyFont="1"/>
    <xf numFmtId="44" fontId="0" fillId="0" borderId="0" xfId="2" applyFont="1"/>
    <xf numFmtId="1" fontId="0" fillId="0" borderId="0" xfId="0" applyNumberFormat="1"/>
    <xf numFmtId="0" fontId="17" fillId="0" borderId="0" xfId="0" applyFont="1"/>
    <xf numFmtId="166" fontId="0" fillId="0" borderId="0" xfId="0" applyNumberFormat="1"/>
    <xf numFmtId="167" fontId="0" fillId="0" borderId="0" xfId="0" applyNumberFormat="1"/>
    <xf numFmtId="168" fontId="0" fillId="0" borderId="0" xfId="1" applyNumberFormat="1" applyFont="1"/>
    <xf numFmtId="0" fontId="18" fillId="9" borderId="10" xfId="0" applyFont="1" applyFill="1" applyBorder="1" applyAlignment="1">
      <alignment vertical="top" wrapText="1"/>
    </xf>
    <xf numFmtId="0" fontId="18" fillId="9" borderId="10" xfId="0" applyFont="1" applyFill="1" applyBorder="1" applyAlignment="1">
      <alignment horizontal="right" vertical="top" wrapText="1"/>
    </xf>
    <xf numFmtId="0" fontId="19" fillId="9" borderId="10" xfId="0" applyFont="1" applyFill="1" applyBorder="1" applyAlignment="1">
      <alignment horizontal="right" vertical="top" wrapText="1"/>
    </xf>
    <xf numFmtId="0" fontId="18" fillId="4" borderId="10" xfId="0" applyFont="1" applyFill="1" applyBorder="1" applyAlignment="1">
      <alignment vertical="top" wrapText="1"/>
    </xf>
    <xf numFmtId="0" fontId="18" fillId="4" borderId="10" xfId="0" applyFont="1" applyFill="1" applyBorder="1" applyAlignment="1">
      <alignment horizontal="right" vertical="top" wrapText="1"/>
    </xf>
    <xf numFmtId="0" fontId="19" fillId="4" borderId="10" xfId="0" applyFont="1" applyFill="1" applyBorder="1" applyAlignment="1">
      <alignment horizontal="right" vertical="top" wrapText="1"/>
    </xf>
    <xf numFmtId="0" fontId="18" fillId="10" borderId="10" xfId="0" applyFont="1" applyFill="1" applyBorder="1" applyAlignment="1">
      <alignment vertical="top" wrapText="1"/>
    </xf>
    <xf numFmtId="0" fontId="18" fillId="10" borderId="10" xfId="0" applyFont="1" applyFill="1" applyBorder="1" applyAlignment="1">
      <alignment horizontal="right" vertical="top" wrapText="1"/>
    </xf>
    <xf numFmtId="0" fontId="19" fillId="10" borderId="10" xfId="0" applyFont="1" applyFill="1" applyBorder="1" applyAlignment="1">
      <alignment horizontal="right" vertical="top" wrapText="1"/>
    </xf>
    <xf numFmtId="0" fontId="19" fillId="9" borderId="10" xfId="0" applyFont="1" applyFill="1" applyBorder="1" applyAlignment="1">
      <alignment horizontal="left" vertical="top" wrapText="1"/>
    </xf>
    <xf numFmtId="8" fontId="18" fillId="4" borderId="10" xfId="0" applyNumberFormat="1" applyFont="1" applyFill="1" applyBorder="1" applyAlignment="1">
      <alignment horizontal="right" vertical="top" wrapText="1"/>
    </xf>
    <xf numFmtId="10" fontId="18" fillId="4" borderId="10" xfId="0" applyNumberFormat="1" applyFont="1" applyFill="1" applyBorder="1" applyAlignment="1">
      <alignment horizontal="right" vertical="top" wrapText="1"/>
    </xf>
    <xf numFmtId="8" fontId="18" fillId="9" borderId="10" xfId="0" applyNumberFormat="1" applyFont="1" applyFill="1" applyBorder="1" applyAlignment="1">
      <alignment horizontal="right" vertical="top" wrapText="1"/>
    </xf>
    <xf numFmtId="10" fontId="18" fillId="9" borderId="10" xfId="0" applyNumberFormat="1" applyFont="1" applyFill="1" applyBorder="1" applyAlignment="1">
      <alignment horizontal="right" vertical="top" wrapText="1"/>
    </xf>
    <xf numFmtId="8" fontId="18" fillId="10" borderId="10" xfId="0" applyNumberFormat="1" applyFont="1" applyFill="1" applyBorder="1" applyAlignment="1">
      <alignment horizontal="right" vertical="top" wrapText="1"/>
    </xf>
    <xf numFmtId="10" fontId="18" fillId="10" borderId="10" xfId="0" applyNumberFormat="1" applyFont="1" applyFill="1" applyBorder="1" applyAlignment="1">
      <alignment horizontal="right" vertical="top" wrapText="1"/>
    </xf>
    <xf numFmtId="0" fontId="19" fillId="9" borderId="0" xfId="0" applyFont="1" applyFill="1" applyAlignment="1">
      <alignment horizontal="left" vertical="top" wrapText="1"/>
    </xf>
    <xf numFmtId="8" fontId="18" fillId="4" borderId="0" xfId="0" applyNumberFormat="1" applyFont="1" applyFill="1" applyAlignment="1">
      <alignment horizontal="right" vertical="top" wrapText="1"/>
    </xf>
    <xf numFmtId="8" fontId="18" fillId="9" borderId="0" xfId="0" applyNumberFormat="1" applyFont="1" applyFill="1" applyAlignment="1">
      <alignment horizontal="right" vertical="top" wrapText="1"/>
    </xf>
    <xf numFmtId="8" fontId="0" fillId="0" borderId="0" xfId="0" applyNumberFormat="1"/>
    <xf numFmtId="9" fontId="0" fillId="0" borderId="0" xfId="1" applyFont="1"/>
    <xf numFmtId="10" fontId="0" fillId="3" borderId="0" xfId="1" applyNumberFormat="1" applyFont="1" applyFill="1"/>
    <xf numFmtId="0" fontId="0" fillId="0" borderId="1" xfId="0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20" fillId="0" borderId="1" xfId="0" applyFont="1" applyBorder="1"/>
    <xf numFmtId="0" fontId="21" fillId="0" borderId="1" xfId="0" applyFont="1" applyBorder="1" applyAlignment="1">
      <alignment horizontal="center"/>
    </xf>
    <xf numFmtId="2" fontId="20" fillId="0" borderId="1" xfId="0" applyNumberFormat="1" applyFont="1" applyBorder="1"/>
    <xf numFmtId="2" fontId="21" fillId="0" borderId="1" xfId="0" applyNumberFormat="1" applyFont="1" applyBorder="1" applyAlignment="1">
      <alignment horizontal="center"/>
    </xf>
    <xf numFmtId="1" fontId="2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</cellXfs>
  <cellStyles count="4">
    <cellStyle name="Currency" xfId="2" builtinId="4"/>
    <cellStyle name="Normal" xfId="0" builtinId="0"/>
    <cellStyle name="Normal 2" xfId="3" xr:uid="{96C61965-CC46-421C-9624-807E2C67D0C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8</xdr:row>
      <xdr:rowOff>0</xdr:rowOff>
    </xdr:from>
    <xdr:to>
      <xdr:col>16</xdr:col>
      <xdr:colOff>552698</xdr:colOff>
      <xdr:row>24</xdr:row>
      <xdr:rowOff>57307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BB77D6-FDE9-5388-9214-765CC4D91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1600" y="1504950"/>
          <a:ext cx="4819898" cy="3060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120650</xdr:rowOff>
    </xdr:to>
    <xdr:sp macro="" textlink="">
      <xdr:nvSpPr>
        <xdr:cNvPr id="14337" name="AutoShape 1">
          <a:extLst>
            <a:ext uri="{FF2B5EF4-FFF2-40B4-BE49-F238E27FC236}">
              <a16:creationId xmlns:a16="http://schemas.microsoft.com/office/drawing/2014/main" id="{B354A45C-E48D-DD60-ADC6-C569F4E886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120650</xdr:rowOff>
    </xdr:to>
    <xdr:sp macro="" textlink="">
      <xdr:nvSpPr>
        <xdr:cNvPr id="14338" name="AutoShape 2">
          <a:extLst>
            <a:ext uri="{FF2B5EF4-FFF2-40B4-BE49-F238E27FC236}">
              <a16:creationId xmlns:a16="http://schemas.microsoft.com/office/drawing/2014/main" id="{2D231559-88C3-A260-C680-EDC1657B98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120650</xdr:rowOff>
    </xdr:to>
    <xdr:sp macro="" textlink="">
      <xdr:nvSpPr>
        <xdr:cNvPr id="14339" name="AutoShape 3">
          <a:extLst>
            <a:ext uri="{FF2B5EF4-FFF2-40B4-BE49-F238E27FC236}">
              <a16:creationId xmlns:a16="http://schemas.microsoft.com/office/drawing/2014/main" id="{6B9A6016-8AE7-46E5-9337-8C8D362E2D2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290344</xdr:colOff>
      <xdr:row>0</xdr:row>
      <xdr:rowOff>0</xdr:rowOff>
    </xdr:from>
    <xdr:to>
      <xdr:col>14</xdr:col>
      <xdr:colOff>125473</xdr:colOff>
      <xdr:row>21</xdr:row>
      <xdr:rowOff>46545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2BB363-33C1-7D0E-83D1-95AF2C2AF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2630" y="0"/>
          <a:ext cx="3481843" cy="3951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perfinanciera.gov.co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B318-1A44-4FF5-B49B-9F031B85BDCF}">
  <sheetPr codeName="Sheet1"/>
  <dimension ref="A1:C46"/>
  <sheetViews>
    <sheetView topLeftCell="A31" workbookViewId="0">
      <selection activeCell="B37" sqref="B37"/>
    </sheetView>
  </sheetViews>
  <sheetFormatPr defaultRowHeight="14.5" x14ac:dyDescent="0.35"/>
  <sheetData>
    <row r="1" spans="1:2" x14ac:dyDescent="0.35">
      <c r="A1" t="s">
        <v>34</v>
      </c>
    </row>
    <row r="2" spans="1:2" x14ac:dyDescent="0.35">
      <c r="A2" t="s">
        <v>35</v>
      </c>
    </row>
    <row r="3" spans="1:2" x14ac:dyDescent="0.35">
      <c r="A3" s="19" t="s">
        <v>36</v>
      </c>
      <c r="B3" t="s">
        <v>147</v>
      </c>
    </row>
    <row r="4" spans="1:2" x14ac:dyDescent="0.35">
      <c r="A4" t="s">
        <v>37</v>
      </c>
    </row>
    <row r="5" spans="1:2" x14ac:dyDescent="0.35">
      <c r="A5" t="s">
        <v>38</v>
      </c>
    </row>
    <row r="7" spans="1:2" x14ac:dyDescent="0.35">
      <c r="A7" t="s">
        <v>40</v>
      </c>
    </row>
    <row r="8" spans="1:2" x14ac:dyDescent="0.35">
      <c r="A8" s="19" t="s">
        <v>39</v>
      </c>
    </row>
    <row r="10" spans="1:2" x14ac:dyDescent="0.35">
      <c r="A10" t="s">
        <v>43</v>
      </c>
    </row>
    <row r="11" spans="1:2" x14ac:dyDescent="0.35">
      <c r="A11" t="s">
        <v>41</v>
      </c>
    </row>
    <row r="12" spans="1:2" x14ac:dyDescent="0.35">
      <c r="A12" t="s">
        <v>42</v>
      </c>
    </row>
    <row r="13" spans="1:2" x14ac:dyDescent="0.35">
      <c r="A13" t="s">
        <v>105</v>
      </c>
    </row>
    <row r="15" spans="1:2" x14ac:dyDescent="0.35">
      <c r="A15" t="s">
        <v>45</v>
      </c>
    </row>
    <row r="16" spans="1:2" x14ac:dyDescent="0.35">
      <c r="A16" t="s">
        <v>44</v>
      </c>
    </row>
    <row r="18" spans="1:2" x14ac:dyDescent="0.35">
      <c r="A18" t="s">
        <v>46</v>
      </c>
    </row>
    <row r="19" spans="1:2" x14ac:dyDescent="0.35">
      <c r="A19" t="s">
        <v>47</v>
      </c>
    </row>
    <row r="21" spans="1:2" x14ac:dyDescent="0.35">
      <c r="A21" t="s">
        <v>87</v>
      </c>
    </row>
    <row r="22" spans="1:2" x14ac:dyDescent="0.35">
      <c r="A22" t="s">
        <v>59</v>
      </c>
    </row>
    <row r="24" spans="1:2" x14ac:dyDescent="0.35">
      <c r="A24" t="s">
        <v>61</v>
      </c>
    </row>
    <row r="25" spans="1:2" x14ac:dyDescent="0.35">
      <c r="A25" t="s">
        <v>71</v>
      </c>
    </row>
    <row r="26" spans="1:2" x14ac:dyDescent="0.35">
      <c r="A26" t="s">
        <v>60</v>
      </c>
    </row>
    <row r="28" spans="1:2" x14ac:dyDescent="0.35">
      <c r="A28" t="s">
        <v>82</v>
      </c>
    </row>
    <row r="29" spans="1:2" x14ac:dyDescent="0.35">
      <c r="A29" t="s">
        <v>89</v>
      </c>
      <c r="B29" s="47" t="s">
        <v>88</v>
      </c>
    </row>
    <row r="30" spans="1:2" x14ac:dyDescent="0.35">
      <c r="A30" t="s">
        <v>93</v>
      </c>
      <c r="B30" t="s">
        <v>92</v>
      </c>
    </row>
    <row r="31" spans="1:2" x14ac:dyDescent="0.35">
      <c r="A31" t="s">
        <v>29</v>
      </c>
      <c r="B31" t="s">
        <v>94</v>
      </c>
    </row>
    <row r="32" spans="1:2" x14ac:dyDescent="0.35">
      <c r="A32" t="s">
        <v>96</v>
      </c>
      <c r="B32" t="s">
        <v>95</v>
      </c>
    </row>
    <row r="34" spans="1:3" x14ac:dyDescent="0.35">
      <c r="A34" t="s">
        <v>107</v>
      </c>
    </row>
    <row r="35" spans="1:3" x14ac:dyDescent="0.35">
      <c r="A35" t="s">
        <v>113</v>
      </c>
      <c r="B35" t="s">
        <v>106</v>
      </c>
    </row>
    <row r="36" spans="1:3" x14ac:dyDescent="0.35">
      <c r="A36" t="s">
        <v>111</v>
      </c>
      <c r="B36" t="s">
        <v>114</v>
      </c>
      <c r="C36" t="s">
        <v>143</v>
      </c>
    </row>
    <row r="37" spans="1:3" x14ac:dyDescent="0.35">
      <c r="A37" t="s">
        <v>29</v>
      </c>
      <c r="B37" t="s">
        <v>130</v>
      </c>
      <c r="C37" t="s">
        <v>123</v>
      </c>
    </row>
    <row r="38" spans="1:3" x14ac:dyDescent="0.35">
      <c r="A38" t="s">
        <v>96</v>
      </c>
      <c r="B38" t="s">
        <v>130</v>
      </c>
      <c r="C38" t="s">
        <v>123</v>
      </c>
    </row>
    <row r="40" spans="1:3" x14ac:dyDescent="0.35">
      <c r="A40" t="s">
        <v>132</v>
      </c>
      <c r="B40" t="s">
        <v>133</v>
      </c>
      <c r="C40" t="s">
        <v>34</v>
      </c>
    </row>
    <row r="43" spans="1:3" x14ac:dyDescent="0.35">
      <c r="A43" t="s">
        <v>131</v>
      </c>
      <c r="B43" t="s">
        <v>189</v>
      </c>
    </row>
    <row r="44" spans="1:3" x14ac:dyDescent="0.35">
      <c r="A44" t="s">
        <v>135</v>
      </c>
      <c r="B44" t="s">
        <v>134</v>
      </c>
    </row>
    <row r="46" spans="1:3" x14ac:dyDescent="0.35">
      <c r="A46" t="s">
        <v>190</v>
      </c>
      <c r="B46" t="s">
        <v>191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EFC6-14A0-42E8-A93D-607811FF624F}">
  <dimension ref="B2:E5"/>
  <sheetViews>
    <sheetView workbookViewId="0">
      <selection activeCell="E6" sqref="E6"/>
    </sheetView>
  </sheetViews>
  <sheetFormatPr defaultColWidth="11.453125" defaultRowHeight="14.5" x14ac:dyDescent="0.35"/>
  <cols>
    <col min="2" max="2" width="29.7265625" bestFit="1" customWidth="1"/>
    <col min="3" max="4" width="13.6328125" bestFit="1" customWidth="1"/>
    <col min="5" max="5" width="15.453125" bestFit="1" customWidth="1"/>
    <col min="7" max="7" width="15.54296875" bestFit="1" customWidth="1"/>
    <col min="8" max="8" width="21.7265625" bestFit="1" customWidth="1"/>
    <col min="9" max="9" width="28.453125" bestFit="1" customWidth="1"/>
  </cols>
  <sheetData>
    <row r="2" spans="2:5" ht="43.5" x14ac:dyDescent="0.35">
      <c r="B2" s="5" t="s">
        <v>282</v>
      </c>
      <c r="C2" s="5" t="s">
        <v>283</v>
      </c>
      <c r="D2" s="5" t="s">
        <v>284</v>
      </c>
      <c r="E2" s="5" t="s">
        <v>285</v>
      </c>
    </row>
    <row r="3" spans="2:5" ht="29" x14ac:dyDescent="0.35">
      <c r="B3" s="78" t="s">
        <v>291</v>
      </c>
      <c r="C3" s="79" t="s">
        <v>286</v>
      </c>
      <c r="D3" s="79" t="s">
        <v>286</v>
      </c>
      <c r="E3" s="80" t="s">
        <v>287</v>
      </c>
    </row>
    <row r="4" spans="2:5" ht="29" x14ac:dyDescent="0.35">
      <c r="B4" s="78" t="s">
        <v>288</v>
      </c>
      <c r="C4" s="79" t="s">
        <v>286</v>
      </c>
      <c r="D4" s="79" t="s">
        <v>286</v>
      </c>
      <c r="E4" s="80" t="s">
        <v>287</v>
      </c>
    </row>
    <row r="5" spans="2:5" ht="43.5" x14ac:dyDescent="0.35">
      <c r="B5" s="78" t="s">
        <v>289</v>
      </c>
      <c r="C5" s="79" t="s">
        <v>286</v>
      </c>
      <c r="D5" s="80" t="s">
        <v>287</v>
      </c>
      <c r="E5" s="81" t="s">
        <v>290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4D16-86B2-43CC-8D8A-297AB45D6080}">
  <dimension ref="A1:J4"/>
  <sheetViews>
    <sheetView workbookViewId="0">
      <selection activeCell="C4" sqref="C4"/>
    </sheetView>
  </sheetViews>
  <sheetFormatPr defaultRowHeight="14.5" x14ac:dyDescent="0.35"/>
  <cols>
    <col min="2" max="2" width="0" hidden="1" customWidth="1"/>
    <col min="3" max="3" width="9.36328125" bestFit="1" customWidth="1"/>
    <col min="8" max="8" width="8.81640625" bestFit="1" customWidth="1"/>
  </cols>
  <sheetData>
    <row r="1" spans="1:10" x14ac:dyDescent="0.35">
      <c r="A1" t="s">
        <v>136</v>
      </c>
      <c r="B1">
        <v>87</v>
      </c>
      <c r="C1" s="46">
        <f>B1/$B$1</f>
        <v>1</v>
      </c>
    </row>
    <row r="2" spans="1:10" x14ac:dyDescent="0.35">
      <c r="A2" t="s">
        <v>110</v>
      </c>
      <c r="B2">
        <v>51</v>
      </c>
      <c r="C2" s="46">
        <f t="shared" ref="C2:C4" si="0">B2/$B$1</f>
        <v>0.58620689655172409</v>
      </c>
      <c r="H2" s="53">
        <f>(1-I2)^J2</f>
        <v>1.3462743344628911E-2</v>
      </c>
      <c r="I2" s="14">
        <v>0.35</v>
      </c>
      <c r="J2">
        <v>10</v>
      </c>
    </row>
    <row r="3" spans="1:10" x14ac:dyDescent="0.35">
      <c r="A3" t="s">
        <v>137</v>
      </c>
      <c r="B3">
        <v>91</v>
      </c>
      <c r="C3" s="46">
        <f t="shared" si="0"/>
        <v>1.0459770114942528</v>
      </c>
    </row>
    <row r="4" spans="1:10" x14ac:dyDescent="0.35">
      <c r="A4" t="s">
        <v>64</v>
      </c>
      <c r="B4">
        <v>79</v>
      </c>
      <c r="C4" s="46">
        <f t="shared" si="0"/>
        <v>0.90804597701149425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BCF50-EACD-471B-BFE2-1B1B1C533A54}">
  <dimension ref="B1:O23"/>
  <sheetViews>
    <sheetView tabSelected="1" workbookViewId="0">
      <selection activeCell="L1" sqref="L1"/>
    </sheetView>
  </sheetViews>
  <sheetFormatPr defaultRowHeight="14.5" x14ac:dyDescent="0.35"/>
  <cols>
    <col min="2" max="2" width="8.7265625" style="1"/>
    <col min="4" max="4" width="22.54296875" customWidth="1"/>
  </cols>
  <sheetData>
    <row r="1" spans="2:15" ht="15" thickBot="1" x14ac:dyDescent="0.4">
      <c r="D1" t="s">
        <v>149</v>
      </c>
      <c r="E1" t="s">
        <v>150</v>
      </c>
      <c r="F1">
        <v>468</v>
      </c>
      <c r="L1" s="51">
        <f>L2-L5</f>
        <v>242.53813559322037</v>
      </c>
      <c r="M1" s="51">
        <f t="shared" ref="M1:N1" si="0">M2-M5</f>
        <v>368.22316384180795</v>
      </c>
      <c r="N1" s="51">
        <f t="shared" si="0"/>
        <v>481</v>
      </c>
      <c r="O1">
        <v>0</v>
      </c>
    </row>
    <row r="2" spans="2:15" ht="15" thickBot="1" x14ac:dyDescent="0.4">
      <c r="B2" s="1" t="s">
        <v>66</v>
      </c>
      <c r="C2" s="56" t="s">
        <v>151</v>
      </c>
      <c r="D2" s="56" t="s">
        <v>152</v>
      </c>
      <c r="E2" s="57" t="s">
        <v>153</v>
      </c>
      <c r="F2" s="58">
        <v>75688.22</v>
      </c>
      <c r="G2" s="57" t="s">
        <v>154</v>
      </c>
      <c r="H2" s="57" t="s">
        <v>155</v>
      </c>
      <c r="L2">
        <v>357</v>
      </c>
      <c r="M2">
        <v>542</v>
      </c>
      <c r="N2">
        <v>708</v>
      </c>
      <c r="O2">
        <v>1</v>
      </c>
    </row>
    <row r="3" spans="2:15" ht="15" thickBot="1" x14ac:dyDescent="0.4">
      <c r="B3" s="1" t="s">
        <v>66</v>
      </c>
      <c r="C3" s="59" t="s">
        <v>151</v>
      </c>
      <c r="D3" s="59" t="s">
        <v>156</v>
      </c>
      <c r="E3" s="60" t="s">
        <v>153</v>
      </c>
      <c r="F3" s="61">
        <v>35497.620000000003</v>
      </c>
      <c r="G3" s="60" t="s">
        <v>157</v>
      </c>
      <c r="H3" s="60" t="s">
        <v>158</v>
      </c>
      <c r="L3" s="51">
        <f>O3*L2</f>
        <v>465.41101694915255</v>
      </c>
      <c r="M3" s="51">
        <f>M2*O3</f>
        <v>706.59039548022599</v>
      </c>
      <c r="N3">
        <v>923</v>
      </c>
      <c r="O3">
        <f>N3/N2</f>
        <v>1.3036723163841808</v>
      </c>
    </row>
    <row r="4" spans="2:15" ht="15" thickBot="1" x14ac:dyDescent="0.4">
      <c r="B4" s="1" t="s">
        <v>66</v>
      </c>
      <c r="C4" s="56" t="s">
        <v>151</v>
      </c>
      <c r="D4" s="56" t="s">
        <v>159</v>
      </c>
      <c r="E4" s="57" t="s">
        <v>153</v>
      </c>
      <c r="F4" s="58">
        <v>15850.02</v>
      </c>
      <c r="G4" s="57" t="s">
        <v>160</v>
      </c>
      <c r="H4" s="57" t="s">
        <v>161</v>
      </c>
      <c r="L4" s="51">
        <f>O4*L2</f>
        <v>585.92372881355925</v>
      </c>
      <c r="M4" s="51">
        <f>M2*O4</f>
        <v>889.55367231638411</v>
      </c>
      <c r="N4">
        <v>1162</v>
      </c>
      <c r="O4">
        <f>N4/N2</f>
        <v>1.6412429378531073</v>
      </c>
    </row>
    <row r="5" spans="2:15" x14ac:dyDescent="0.35">
      <c r="B5" s="1" t="s">
        <v>66</v>
      </c>
      <c r="C5" s="62" t="s">
        <v>151</v>
      </c>
      <c r="D5" s="62" t="s">
        <v>162</v>
      </c>
      <c r="E5" s="63" t="s">
        <v>153</v>
      </c>
      <c r="F5" s="64">
        <v>140536.79999999999</v>
      </c>
      <c r="G5" s="63" t="s">
        <v>163</v>
      </c>
      <c r="H5" s="63" t="s">
        <v>164</v>
      </c>
      <c r="L5" s="51">
        <f>(L4-L2)/2</f>
        <v>114.46186440677963</v>
      </c>
      <c r="M5" s="51">
        <f t="shared" ref="M5:N5" si="1">(M4-M2)/2</f>
        <v>173.77683615819205</v>
      </c>
      <c r="N5" s="51">
        <f t="shared" si="1"/>
        <v>227</v>
      </c>
    </row>
    <row r="6" spans="2:15" x14ac:dyDescent="0.35">
      <c r="E6" t="s">
        <v>165</v>
      </c>
      <c r="F6">
        <f>SUM(F2:F5)</f>
        <v>267572.65999999997</v>
      </c>
    </row>
    <row r="7" spans="2:15" x14ac:dyDescent="0.35">
      <c r="E7" t="s">
        <v>166</v>
      </c>
      <c r="F7" s="51">
        <f>+F6/$F$1</f>
        <v>571.73645299145289</v>
      </c>
      <c r="G7">
        <f>F7/K7</f>
        <v>408.02912604431629</v>
      </c>
      <c r="H7">
        <f>G7/G23</f>
        <v>0.50392559731266451</v>
      </c>
      <c r="I7">
        <f>708*H7</f>
        <v>356.77932289736646</v>
      </c>
      <c r="J7">
        <v>2.6288810056430911E-2</v>
      </c>
      <c r="K7">
        <f>+(1+J7)^13</f>
        <v>1.4012148067325867</v>
      </c>
    </row>
    <row r="8" spans="2:15" ht="15" thickBot="1" x14ac:dyDescent="0.4"/>
    <row r="9" spans="2:15" ht="15" thickBot="1" x14ac:dyDescent="0.4">
      <c r="B9" s="1" t="s">
        <v>167</v>
      </c>
      <c r="C9" s="56" t="s">
        <v>151</v>
      </c>
      <c r="D9" s="56" t="s">
        <v>152</v>
      </c>
      <c r="E9" s="57" t="s">
        <v>153</v>
      </c>
      <c r="F9" s="57">
        <v>126861.27</v>
      </c>
      <c r="G9" s="57" t="s">
        <v>168</v>
      </c>
      <c r="H9" s="57" t="s">
        <v>169</v>
      </c>
    </row>
    <row r="10" spans="2:15" ht="15" thickBot="1" x14ac:dyDescent="0.4">
      <c r="B10" s="1" t="s">
        <v>167</v>
      </c>
      <c r="C10" s="59" t="s">
        <v>151</v>
      </c>
      <c r="D10" s="59" t="s">
        <v>156</v>
      </c>
      <c r="E10" s="60" t="s">
        <v>153</v>
      </c>
      <c r="F10" s="60">
        <v>49610.09</v>
      </c>
      <c r="G10" s="60" t="s">
        <v>170</v>
      </c>
      <c r="H10" s="60" t="s">
        <v>171</v>
      </c>
    </row>
    <row r="11" spans="2:15" ht="15" thickBot="1" x14ac:dyDescent="0.4">
      <c r="B11" s="1" t="s">
        <v>167</v>
      </c>
      <c r="C11" s="56" t="s">
        <v>151</v>
      </c>
      <c r="D11" s="56" t="s">
        <v>159</v>
      </c>
      <c r="E11" s="57" t="s">
        <v>153</v>
      </c>
      <c r="F11" s="57">
        <v>14192.1</v>
      </c>
      <c r="G11" s="57" t="s">
        <v>172</v>
      </c>
      <c r="H11" s="57" t="s">
        <v>173</v>
      </c>
    </row>
    <row r="12" spans="2:15" ht="15" thickBot="1" x14ac:dyDescent="0.4">
      <c r="B12" s="1" t="s">
        <v>167</v>
      </c>
      <c r="C12" s="59" t="s">
        <v>151</v>
      </c>
      <c r="D12" s="59" t="s">
        <v>162</v>
      </c>
      <c r="E12" s="60" t="s">
        <v>153</v>
      </c>
      <c r="F12" s="60">
        <v>202490.37</v>
      </c>
      <c r="G12" s="60" t="s">
        <v>174</v>
      </c>
      <c r="H12" s="60" t="s">
        <v>175</v>
      </c>
    </row>
    <row r="13" spans="2:15" x14ac:dyDescent="0.35">
      <c r="B13" s="1" t="s">
        <v>167</v>
      </c>
      <c r="C13" s="62" t="s">
        <v>151</v>
      </c>
      <c r="D13" s="62" t="s">
        <v>176</v>
      </c>
      <c r="E13" s="63" t="s">
        <v>153</v>
      </c>
      <c r="F13" s="63">
        <v>13319.57</v>
      </c>
      <c r="G13" s="63" t="s">
        <v>177</v>
      </c>
      <c r="H13" s="63" t="s">
        <v>178</v>
      </c>
    </row>
    <row r="14" spans="2:15" x14ac:dyDescent="0.35">
      <c r="E14" t="s">
        <v>165</v>
      </c>
      <c r="F14">
        <f>SUM(F9:F13)</f>
        <v>406473.39999999997</v>
      </c>
    </row>
    <row r="15" spans="2:15" x14ac:dyDescent="0.35">
      <c r="E15" t="s">
        <v>166</v>
      </c>
      <c r="F15" s="51">
        <f>+F14/$F$1</f>
        <v>868.53290598290596</v>
      </c>
      <c r="G15">
        <f>F15/K7</f>
        <v>619.84279769936813</v>
      </c>
      <c r="H15">
        <f>G15/G23</f>
        <v>0.76552047913531096</v>
      </c>
      <c r="I15">
        <f>708*H15</f>
        <v>541.98849922780016</v>
      </c>
    </row>
    <row r="16" spans="2:15" ht="15" thickBot="1" x14ac:dyDescent="0.4"/>
    <row r="17" spans="2:8" ht="15" thickBot="1" x14ac:dyDescent="0.4">
      <c r="B17" s="1" t="s">
        <v>179</v>
      </c>
      <c r="C17" s="56" t="s">
        <v>151</v>
      </c>
      <c r="D17" s="56" t="s">
        <v>152</v>
      </c>
      <c r="E17" s="57" t="s">
        <v>153</v>
      </c>
      <c r="F17" s="57">
        <v>234308.13</v>
      </c>
      <c r="G17" s="57" t="s">
        <v>180</v>
      </c>
      <c r="H17" s="57" t="s">
        <v>181</v>
      </c>
    </row>
    <row r="18" spans="2:8" ht="15" thickBot="1" x14ac:dyDescent="0.4">
      <c r="B18" s="1" t="s">
        <v>179</v>
      </c>
      <c r="C18" s="59" t="s">
        <v>151</v>
      </c>
      <c r="D18" s="59" t="s">
        <v>156</v>
      </c>
      <c r="E18" s="60" t="s">
        <v>153</v>
      </c>
      <c r="F18" s="60">
        <v>49910.11</v>
      </c>
      <c r="G18" s="60" t="s">
        <v>182</v>
      </c>
      <c r="H18" s="60" t="s">
        <v>183</v>
      </c>
    </row>
    <row r="19" spans="2:8" ht="15" thickBot="1" x14ac:dyDescent="0.4">
      <c r="B19" s="1" t="s">
        <v>179</v>
      </c>
      <c r="C19" s="56" t="s">
        <v>151</v>
      </c>
      <c r="D19" s="56" t="s">
        <v>159</v>
      </c>
      <c r="E19" s="57" t="s">
        <v>153</v>
      </c>
      <c r="F19" s="57">
        <v>22783.4</v>
      </c>
      <c r="G19" s="57" t="s">
        <v>184</v>
      </c>
      <c r="H19" s="57" t="s">
        <v>185</v>
      </c>
    </row>
    <row r="20" spans="2:8" ht="15" thickBot="1" x14ac:dyDescent="0.4">
      <c r="B20" s="1" t="s">
        <v>179</v>
      </c>
      <c r="C20" s="59" t="s">
        <v>151</v>
      </c>
      <c r="D20" s="59" t="s">
        <v>162</v>
      </c>
      <c r="E20" s="60" t="s">
        <v>153</v>
      </c>
      <c r="F20" s="60">
        <v>206331.86</v>
      </c>
      <c r="G20" s="60" t="s">
        <v>186</v>
      </c>
      <c r="H20" s="60" t="s">
        <v>187</v>
      </c>
    </row>
    <row r="21" spans="2:8" x14ac:dyDescent="0.35">
      <c r="B21" s="1" t="s">
        <v>179</v>
      </c>
      <c r="C21" s="62" t="s">
        <v>151</v>
      </c>
      <c r="D21" s="62" t="s">
        <v>176</v>
      </c>
      <c r="E21" s="63" t="s">
        <v>153</v>
      </c>
      <c r="F21" s="63">
        <v>17643.02</v>
      </c>
      <c r="G21" s="63" t="s">
        <v>188</v>
      </c>
      <c r="H21" s="63" t="s">
        <v>178</v>
      </c>
    </row>
    <row r="22" spans="2:8" x14ac:dyDescent="0.35">
      <c r="E22" t="s">
        <v>165</v>
      </c>
      <c r="F22">
        <f>SUM(F17:F21)</f>
        <v>530976.52</v>
      </c>
    </row>
    <row r="23" spans="2:8" x14ac:dyDescent="0.35">
      <c r="E23" t="s">
        <v>166</v>
      </c>
      <c r="F23" s="51">
        <f>+F22/$F$1</f>
        <v>1134.5652136752137</v>
      </c>
      <c r="G23">
        <f>F23/K7</f>
        <v>809.70113092141946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00A7-2941-4CB7-B5FA-9F8475AF8376}">
  <dimension ref="A1:H10"/>
  <sheetViews>
    <sheetView zoomScaleNormal="100" workbookViewId="0">
      <selection activeCell="G5" sqref="G5"/>
    </sheetView>
  </sheetViews>
  <sheetFormatPr defaultRowHeight="14.5" x14ac:dyDescent="0.35"/>
  <sheetData>
    <row r="1" spans="1:8" x14ac:dyDescent="0.35">
      <c r="A1">
        <v>1</v>
      </c>
      <c r="B1">
        <f>640-595</f>
        <v>45</v>
      </c>
      <c r="C1">
        <v>640</v>
      </c>
      <c r="F1">
        <v>1</v>
      </c>
      <c r="G1">
        <v>640</v>
      </c>
    </row>
    <row r="2" spans="1:8" x14ac:dyDescent="0.35">
      <c r="A2">
        <v>20</v>
      </c>
      <c r="B2">
        <f>1057-595</f>
        <v>462</v>
      </c>
      <c r="C2">
        <f>1057/(1+INF!B13)^(A2-A1)</f>
        <v>538.3255490119659</v>
      </c>
      <c r="F2">
        <v>5</v>
      </c>
      <c r="G2">
        <v>710</v>
      </c>
    </row>
    <row r="4" spans="1:8" x14ac:dyDescent="0.35">
      <c r="A4" t="s">
        <v>131</v>
      </c>
      <c r="B4">
        <v>640</v>
      </c>
      <c r="C4" t="s">
        <v>103</v>
      </c>
    </row>
    <row r="5" spans="1:8" x14ac:dyDescent="0.35">
      <c r="A5" t="s">
        <v>135</v>
      </c>
      <c r="B5" s="26">
        <f>POWER(B2/B1,1/(A2-A1))-1</f>
        <v>0.1304025526802528</v>
      </c>
      <c r="C5" s="26">
        <f>POWER(C2/C1,1/(A2-A1))-1</f>
        <v>-9.0641803557737211E-3</v>
      </c>
      <c r="F5" t="s">
        <v>135</v>
      </c>
      <c r="G5" s="26">
        <f>POWER(G2/G1,1/(F2-F1))-1</f>
        <v>2.6288810056430911E-2</v>
      </c>
    </row>
    <row r="8" spans="1:8" x14ac:dyDescent="0.35">
      <c r="A8">
        <v>1</v>
      </c>
      <c r="B8">
        <v>672</v>
      </c>
      <c r="D8">
        <v>1</v>
      </c>
      <c r="E8">
        <v>696</v>
      </c>
      <c r="G8">
        <v>1</v>
      </c>
      <c r="H8">
        <v>760</v>
      </c>
    </row>
    <row r="9" spans="1:8" x14ac:dyDescent="0.35">
      <c r="A9">
        <v>5</v>
      </c>
      <c r="B9">
        <v>767</v>
      </c>
      <c r="D9">
        <v>5</v>
      </c>
      <c r="E9">
        <v>856</v>
      </c>
      <c r="G9">
        <v>5</v>
      </c>
      <c r="H9">
        <v>1057</v>
      </c>
    </row>
    <row r="10" spans="1:8" x14ac:dyDescent="0.35">
      <c r="A10" t="s">
        <v>135</v>
      </c>
      <c r="B10" s="26">
        <f>POWER(B9/B8,1/(A9-A8))-1</f>
        <v>3.3609572384290187E-2</v>
      </c>
      <c r="D10" t="s">
        <v>135</v>
      </c>
      <c r="E10" s="26">
        <f>POWER(E9/E8,1/(D9-D8))-1</f>
        <v>5.3091557907621878E-2</v>
      </c>
      <c r="G10" t="s">
        <v>135</v>
      </c>
      <c r="H10" s="26">
        <f>POWER(H9/H8,1/(G9-G8))-1</f>
        <v>8.5963800569721416E-2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10B9-C96A-4874-8B31-47D006B86275}">
  <dimension ref="A1:H5"/>
  <sheetViews>
    <sheetView workbookViewId="0">
      <selection activeCell="G18" sqref="G18"/>
    </sheetView>
  </sheetViews>
  <sheetFormatPr defaultRowHeight="14.5" x14ac:dyDescent="0.35"/>
  <sheetData>
    <row r="1" spans="1:8" x14ac:dyDescent="0.35">
      <c r="A1" t="s">
        <v>82</v>
      </c>
      <c r="B1">
        <v>2022</v>
      </c>
    </row>
    <row r="2" spans="1:8" x14ac:dyDescent="0.35">
      <c r="A2" t="s">
        <v>62</v>
      </c>
      <c r="B2" s="51">
        <f>E2*G2</f>
        <v>23737.727999999999</v>
      </c>
      <c r="C2" t="s">
        <v>83</v>
      </c>
      <c r="E2">
        <v>4945.3599999999997</v>
      </c>
      <c r="F2" t="s">
        <v>91</v>
      </c>
      <c r="G2">
        <v>4.8</v>
      </c>
      <c r="H2" t="s">
        <v>90</v>
      </c>
    </row>
    <row r="3" spans="1:8" x14ac:dyDescent="0.35">
      <c r="A3" t="s">
        <v>63</v>
      </c>
      <c r="B3" s="51">
        <v>253.45</v>
      </c>
      <c r="C3" t="s">
        <v>84</v>
      </c>
    </row>
    <row r="4" spans="1:8" x14ac:dyDescent="0.35">
      <c r="A4" t="s">
        <v>64</v>
      </c>
      <c r="B4" s="51">
        <v>1986</v>
      </c>
      <c r="C4" t="s">
        <v>97</v>
      </c>
      <c r="D4">
        <f>B4/EFF!H24</f>
        <v>1373.2248752121654</v>
      </c>
      <c r="E4" t="s">
        <v>85</v>
      </c>
      <c r="H4" t="s">
        <v>97</v>
      </c>
    </row>
    <row r="5" spans="1:8" x14ac:dyDescent="0.35">
      <c r="A5" t="s">
        <v>65</v>
      </c>
      <c r="B5" s="51">
        <v>9018</v>
      </c>
      <c r="C5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6A14-AAC2-4D78-8FAA-00CD13D3768B}">
  <dimension ref="A1:J36"/>
  <sheetViews>
    <sheetView topLeftCell="A13" workbookViewId="0">
      <selection activeCell="G19" sqref="G19"/>
    </sheetView>
  </sheetViews>
  <sheetFormatPr defaultRowHeight="14.5" x14ac:dyDescent="0.35"/>
  <cols>
    <col min="2" max="2" width="12.08984375" bestFit="1" customWidth="1"/>
    <col min="3" max="3" width="12.08984375" customWidth="1"/>
    <col min="4" max="4" width="13.6328125" bestFit="1" customWidth="1"/>
    <col min="7" max="7" width="11.08984375" bestFit="1" customWidth="1"/>
  </cols>
  <sheetData>
    <row r="1" spans="1:8" x14ac:dyDescent="0.35">
      <c r="B1" t="s">
        <v>140</v>
      </c>
      <c r="C1" t="s">
        <v>141</v>
      </c>
      <c r="D1" t="s">
        <v>142</v>
      </c>
      <c r="F1" t="s">
        <v>68</v>
      </c>
    </row>
    <row r="2" spans="1:8" x14ac:dyDescent="0.35">
      <c r="A2" t="s">
        <v>62</v>
      </c>
      <c r="B2">
        <v>22</v>
      </c>
      <c r="C2">
        <v>12.1</v>
      </c>
      <c r="D2">
        <v>12</v>
      </c>
    </row>
    <row r="3" spans="1:8" x14ac:dyDescent="0.35">
      <c r="A3" t="s">
        <v>63</v>
      </c>
      <c r="B3">
        <v>28.4</v>
      </c>
      <c r="C3">
        <v>15.9</v>
      </c>
      <c r="D3">
        <v>15.2</v>
      </c>
    </row>
    <row r="4" spans="1:8" x14ac:dyDescent="0.35">
      <c r="A4" t="s">
        <v>64</v>
      </c>
      <c r="B4">
        <v>8.9</v>
      </c>
      <c r="C4">
        <v>5.2</v>
      </c>
      <c r="D4">
        <v>6.6</v>
      </c>
    </row>
    <row r="5" spans="1:8" x14ac:dyDescent="0.35">
      <c r="A5" t="s">
        <v>65</v>
      </c>
      <c r="B5">
        <v>10.1</v>
      </c>
      <c r="C5">
        <v>6.6</v>
      </c>
      <c r="D5">
        <v>8.4</v>
      </c>
    </row>
    <row r="7" spans="1:8" x14ac:dyDescent="0.35">
      <c r="A7">
        <v>1.60934</v>
      </c>
      <c r="B7" t="s">
        <v>69</v>
      </c>
    </row>
    <row r="9" spans="1:8" x14ac:dyDescent="0.35">
      <c r="B9" t="s">
        <v>66</v>
      </c>
      <c r="D9" t="s">
        <v>67</v>
      </c>
      <c r="H9" t="s">
        <v>70</v>
      </c>
    </row>
    <row r="10" spans="1:8" x14ac:dyDescent="0.35">
      <c r="A10" t="s">
        <v>62</v>
      </c>
      <c r="B10" s="46">
        <f>B2*$A$7</f>
        <v>35.405479999999997</v>
      </c>
      <c r="C10" s="46">
        <f>C2*$A$7</f>
        <v>19.473013999999999</v>
      </c>
      <c r="D10" s="46">
        <f>D2*$A$7</f>
        <v>19.312080000000002</v>
      </c>
      <c r="E10" s="46"/>
      <c r="F10" s="46"/>
    </row>
    <row r="11" spans="1:8" x14ac:dyDescent="0.35">
      <c r="A11" t="s">
        <v>63</v>
      </c>
      <c r="B11" s="46">
        <f t="shared" ref="B11:D11" si="0">B3*$A$7</f>
        <v>45.705255999999999</v>
      </c>
      <c r="C11" s="46">
        <f t="shared" ref="C11" si="1">C3*$A$7</f>
        <v>25.588505999999999</v>
      </c>
      <c r="D11" s="46">
        <f t="shared" si="0"/>
        <v>24.461967999999999</v>
      </c>
      <c r="E11" s="46"/>
      <c r="F11" s="46"/>
    </row>
    <row r="12" spans="1:8" x14ac:dyDescent="0.35">
      <c r="A12" t="s">
        <v>64</v>
      </c>
      <c r="B12" s="46">
        <f t="shared" ref="B12:D12" si="2">B4*$A$7</f>
        <v>14.323126</v>
      </c>
      <c r="C12" s="46">
        <f t="shared" ref="C12" si="3">C4*$A$7</f>
        <v>8.3685679999999998</v>
      </c>
      <c r="D12" s="46">
        <f t="shared" si="2"/>
        <v>10.621644</v>
      </c>
      <c r="E12" s="46"/>
      <c r="F12" s="46"/>
    </row>
    <row r="13" spans="1:8" x14ac:dyDescent="0.35">
      <c r="A13" t="s">
        <v>65</v>
      </c>
      <c r="B13" s="46">
        <f t="shared" ref="B13:D13" si="4">B5*$A$7</f>
        <v>16.254334</v>
      </c>
      <c r="C13" s="46">
        <f t="shared" ref="C13" si="5">C5*$A$7</f>
        <v>10.621644</v>
      </c>
      <c r="D13" s="46">
        <f t="shared" si="4"/>
        <v>13.518456</v>
      </c>
      <c r="E13" s="46"/>
      <c r="F13" s="46"/>
    </row>
    <row r="15" spans="1:8" x14ac:dyDescent="0.35">
      <c r="A15" t="s">
        <v>62</v>
      </c>
      <c r="B15">
        <v>0.9</v>
      </c>
      <c r="C15" t="s">
        <v>74</v>
      </c>
    </row>
    <row r="16" spans="1:8" x14ac:dyDescent="0.35">
      <c r="A16" t="s">
        <v>63</v>
      </c>
      <c r="B16">
        <v>2.7E-2</v>
      </c>
      <c r="C16" t="s">
        <v>72</v>
      </c>
    </row>
    <row r="17" spans="1:10" x14ac:dyDescent="0.35">
      <c r="A17" t="s">
        <v>64</v>
      </c>
      <c r="B17">
        <v>0.17</v>
      </c>
      <c r="C17" t="s">
        <v>75</v>
      </c>
    </row>
    <row r="18" spans="1:10" x14ac:dyDescent="0.35">
      <c r="A18" t="s">
        <v>65</v>
      </c>
      <c r="B18">
        <v>1</v>
      </c>
      <c r="C18" t="s">
        <v>73</v>
      </c>
    </row>
    <row r="20" spans="1:10" x14ac:dyDescent="0.35">
      <c r="A20" t="s">
        <v>60</v>
      </c>
      <c r="B20" t="s">
        <v>140</v>
      </c>
      <c r="C20" t="s">
        <v>141</v>
      </c>
      <c r="D20" t="s">
        <v>142</v>
      </c>
    </row>
    <row r="21" spans="1:10" x14ac:dyDescent="0.35">
      <c r="A21" t="s">
        <v>62</v>
      </c>
      <c r="B21" s="46">
        <f t="shared" ref="B21:D22" si="6">B10*$B15</f>
        <v>31.864932</v>
      </c>
      <c r="C21" s="46">
        <f t="shared" si="6"/>
        <v>17.525712599999999</v>
      </c>
      <c r="D21" s="46">
        <f t="shared" si="6"/>
        <v>17.380872000000004</v>
      </c>
      <c r="E21" t="s">
        <v>76</v>
      </c>
    </row>
    <row r="22" spans="1:10" x14ac:dyDescent="0.35">
      <c r="A22" t="s">
        <v>63</v>
      </c>
      <c r="B22" s="46">
        <f t="shared" si="6"/>
        <v>1.2340419119999999</v>
      </c>
      <c r="C22" s="46">
        <f t="shared" si="6"/>
        <v>0.69088966200000002</v>
      </c>
      <c r="D22" s="46">
        <f t="shared" si="6"/>
        <v>0.66047313600000002</v>
      </c>
      <c r="E22" t="s">
        <v>77</v>
      </c>
      <c r="H22" s="48">
        <v>2.2046199999999998</v>
      </c>
      <c r="I22" t="s">
        <v>99</v>
      </c>
    </row>
    <row r="23" spans="1:10" x14ac:dyDescent="0.35">
      <c r="A23" t="s">
        <v>64</v>
      </c>
      <c r="B23" s="46">
        <f>B12*$B17*$H$24</f>
        <v>3.5214726206972227</v>
      </c>
      <c r="C23" s="46">
        <f>C12*$B17*$H$24</f>
        <v>2.0574896210815234</v>
      </c>
      <c r="D23" s="46">
        <f>D12*$B17*$H$24</f>
        <v>2.6114291344496254</v>
      </c>
      <c r="E23" t="s">
        <v>102</v>
      </c>
      <c r="H23" s="49">
        <v>0.65600000000000003</v>
      </c>
      <c r="I23" t="s">
        <v>98</v>
      </c>
      <c r="J23" t="s">
        <v>101</v>
      </c>
    </row>
    <row r="24" spans="1:10" x14ac:dyDescent="0.35">
      <c r="A24" t="s">
        <v>65</v>
      </c>
      <c r="B24" s="46">
        <f>B13*$B18</f>
        <v>16.254334</v>
      </c>
      <c r="C24" s="46">
        <f>C13*$B18</f>
        <v>10.621644</v>
      </c>
      <c r="D24" s="46">
        <f>D13*$B18</f>
        <v>13.518456</v>
      </c>
      <c r="E24" t="s">
        <v>78</v>
      </c>
      <c r="H24">
        <f>EFF!H23*EFF!H22</f>
        <v>1.44623072</v>
      </c>
      <c r="I24" t="s">
        <v>100</v>
      </c>
    </row>
    <row r="26" spans="1:10" x14ac:dyDescent="0.35">
      <c r="B26" t="s">
        <v>66</v>
      </c>
      <c r="D26" t="s">
        <v>67</v>
      </c>
    </row>
    <row r="27" spans="1:10" x14ac:dyDescent="0.35">
      <c r="A27" t="s">
        <v>62</v>
      </c>
      <c r="B27" s="51">
        <f t="shared" ref="B27:D30" si="7">1000/B21</f>
        <v>31.382461446959937</v>
      </c>
      <c r="C27" s="51">
        <f t="shared" si="7"/>
        <v>57.059020812654438</v>
      </c>
      <c r="D27" s="51">
        <f t="shared" si="7"/>
        <v>57.534512652759872</v>
      </c>
      <c r="E27" t="s">
        <v>79</v>
      </c>
    </row>
    <row r="28" spans="1:10" x14ac:dyDescent="0.35">
      <c r="A28" t="s">
        <v>63</v>
      </c>
      <c r="B28" s="51">
        <f t="shared" si="7"/>
        <v>810.345248630421</v>
      </c>
      <c r="C28" s="51">
        <f t="shared" si="7"/>
        <v>1447.4091233398713</v>
      </c>
      <c r="D28" s="51">
        <f t="shared" si="7"/>
        <v>1514.0661224410496</v>
      </c>
      <c r="E28" t="s">
        <v>80</v>
      </c>
    </row>
    <row r="29" spans="1:10" x14ac:dyDescent="0.35">
      <c r="A29" t="s">
        <v>64</v>
      </c>
      <c r="B29" s="51">
        <f t="shared" si="7"/>
        <v>283.97210704481017</v>
      </c>
      <c r="C29" s="51">
        <f t="shared" si="7"/>
        <v>486.02918321130971</v>
      </c>
      <c r="D29" s="51">
        <f t="shared" si="7"/>
        <v>382.93208374224412</v>
      </c>
      <c r="E29" t="s">
        <v>104</v>
      </c>
    </row>
    <row r="30" spans="1:10" x14ac:dyDescent="0.35">
      <c r="A30" t="s">
        <v>65</v>
      </c>
      <c r="B30" s="51">
        <f t="shared" si="7"/>
        <v>61.522053133644235</v>
      </c>
      <c r="C30" s="51">
        <f t="shared" si="7"/>
        <v>94.14738434087981</v>
      </c>
      <c r="D30" s="51">
        <f t="shared" si="7"/>
        <v>73.972944839262709</v>
      </c>
      <c r="E30" t="s">
        <v>81</v>
      </c>
    </row>
    <row r="32" spans="1:10" x14ac:dyDescent="0.35">
      <c r="A32" t="s">
        <v>60</v>
      </c>
      <c r="B32" t="s">
        <v>66</v>
      </c>
      <c r="D32" t="s">
        <v>67</v>
      </c>
    </row>
    <row r="33" spans="1:5" x14ac:dyDescent="0.35">
      <c r="A33" t="s">
        <v>62</v>
      </c>
      <c r="B33" s="50">
        <f>B27*CF_0!$B2/1000</f>
        <v>744.94833379842146</v>
      </c>
      <c r="C33" s="50">
        <f>C27*CF_0!$B2/1000</f>
        <v>1354.4515159971299</v>
      </c>
      <c r="D33" s="50">
        <f>D27*CF_0!$B2/1000</f>
        <v>1365.7386119637722</v>
      </c>
      <c r="E33" t="s">
        <v>103</v>
      </c>
    </row>
    <row r="34" spans="1:5" x14ac:dyDescent="0.35">
      <c r="A34" t="s">
        <v>63</v>
      </c>
      <c r="B34" s="50">
        <f>B28*CF_0!$B3/1000</f>
        <v>205.38200326538018</v>
      </c>
      <c r="C34" s="50">
        <f>C28*CF_0!$B3/1000</f>
        <v>366.84584231049035</v>
      </c>
      <c r="D34" s="50">
        <f>D28*CF_0!$B3/1000</f>
        <v>383.74005873268402</v>
      </c>
      <c r="E34" t="s">
        <v>103</v>
      </c>
    </row>
    <row r="35" spans="1:5" x14ac:dyDescent="0.35">
      <c r="A35" t="s">
        <v>64</v>
      </c>
      <c r="B35" s="50">
        <f>B29*CF_0!$B4/1000</f>
        <v>563.96860459099298</v>
      </c>
      <c r="C35" s="50">
        <f>C29*CF_0!$B4/1000</f>
        <v>965.25395785766102</v>
      </c>
      <c r="D35" s="50">
        <f>D29*CF_0!$B4/1000</f>
        <v>760.50311831209683</v>
      </c>
      <c r="E35" t="s">
        <v>103</v>
      </c>
    </row>
    <row r="36" spans="1:5" x14ac:dyDescent="0.35">
      <c r="A36" t="s">
        <v>65</v>
      </c>
      <c r="B36" s="50">
        <f>B30*CF_0!$B5/1000</f>
        <v>554.80587515920365</v>
      </c>
      <c r="C36" s="50">
        <f>C30*CF_0!$B5/1000</f>
        <v>849.02111198605405</v>
      </c>
      <c r="D36" s="50">
        <f>D30*CF_0!$B5/1000</f>
        <v>667.08801656047115</v>
      </c>
      <c r="E36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8440-A831-4863-90B8-A8BAB148A815}">
  <sheetPr codeName="Sheet2"/>
  <dimension ref="A1:G17"/>
  <sheetViews>
    <sheetView workbookViewId="0">
      <selection activeCell="D12" sqref="D1:D12"/>
    </sheetView>
  </sheetViews>
  <sheetFormatPr defaultRowHeight="14.5" x14ac:dyDescent="0.35"/>
  <cols>
    <col min="6" max="6" width="9.36328125" bestFit="1" customWidth="1"/>
  </cols>
  <sheetData>
    <row r="1" spans="1:7" ht="15" thickBot="1" x14ac:dyDescent="0.4">
      <c r="A1" s="22">
        <v>2021</v>
      </c>
      <c r="B1" s="24">
        <v>3.5000000000000003E-2</v>
      </c>
      <c r="C1" s="24">
        <v>2.5499999999999998E-2</v>
      </c>
      <c r="D1" s="24">
        <v>4.7E-2</v>
      </c>
      <c r="E1" s="24">
        <v>3.4200000000000001E-2</v>
      </c>
    </row>
    <row r="2" spans="1:7" ht="15" thickBot="1" x14ac:dyDescent="0.4">
      <c r="A2" s="23">
        <v>2020</v>
      </c>
      <c r="B2" s="25">
        <v>2.52E-2</v>
      </c>
      <c r="C2" s="25">
        <v>5.0000000000000001E-3</v>
      </c>
      <c r="D2" s="25">
        <v>1.23E-2</v>
      </c>
      <c r="E2" s="25">
        <v>1.9199999999999998E-2</v>
      </c>
    </row>
    <row r="3" spans="1:7" ht="15" thickBot="1" x14ac:dyDescent="0.4">
      <c r="A3" s="23">
        <v>2019</v>
      </c>
      <c r="B3" s="25">
        <v>3.5299999999999998E-2</v>
      </c>
      <c r="C3" s="25">
        <v>1.6299999999999999E-2</v>
      </c>
      <c r="D3" s="25">
        <v>1.8100000000000002E-2</v>
      </c>
      <c r="E3" s="25">
        <v>2.1899999999999999E-2</v>
      </c>
    </row>
    <row r="4" spans="1:7" ht="15" thickBot="1" x14ac:dyDescent="0.4">
      <c r="A4" s="23">
        <v>2018</v>
      </c>
      <c r="B4" s="25">
        <v>3.2399999999999998E-2</v>
      </c>
      <c r="C4" s="25">
        <v>1.7399999999999999E-2</v>
      </c>
      <c r="D4" s="25">
        <v>2.4400000000000002E-2</v>
      </c>
      <c r="E4" s="25">
        <v>2.4400000000000002E-2</v>
      </c>
    </row>
    <row r="5" spans="1:7" ht="15" thickBot="1" x14ac:dyDescent="0.4">
      <c r="A5" s="23">
        <v>2017</v>
      </c>
      <c r="B5" s="25">
        <v>4.3099999999999999E-2</v>
      </c>
      <c r="C5" s="25">
        <v>1.43E-2</v>
      </c>
      <c r="D5" s="25">
        <v>2.1299999999999999E-2</v>
      </c>
      <c r="E5" s="25">
        <v>2.1899999999999999E-2</v>
      </c>
    </row>
    <row r="6" spans="1:7" ht="15" thickBot="1" x14ac:dyDescent="0.4">
      <c r="A6" s="23">
        <v>2016</v>
      </c>
      <c r="B6" s="25">
        <v>7.51E-2</v>
      </c>
      <c r="C6" s="25">
        <v>1.8E-3</v>
      </c>
      <c r="D6" s="25">
        <v>1.26E-2</v>
      </c>
      <c r="E6" s="25">
        <v>1.55E-2</v>
      </c>
    </row>
    <row r="7" spans="1:7" ht="15" thickBot="1" x14ac:dyDescent="0.4">
      <c r="A7" s="23">
        <v>2015</v>
      </c>
      <c r="B7" s="25">
        <v>4.99E-2</v>
      </c>
      <c r="C7" s="25">
        <v>-5.9999999999999995E-4</v>
      </c>
      <c r="D7" s="25">
        <v>1.1999999999999999E-3</v>
      </c>
      <c r="E7" s="25">
        <v>1.43E-2</v>
      </c>
    </row>
    <row r="8" spans="1:7" ht="15" thickBot="1" x14ac:dyDescent="0.4">
      <c r="A8" s="23">
        <v>2014</v>
      </c>
      <c r="B8" s="25">
        <v>2.9000000000000001E-2</v>
      </c>
      <c r="C8" s="25">
        <v>2E-3</v>
      </c>
      <c r="D8" s="25">
        <v>1.6199999999999999E-2</v>
      </c>
      <c r="E8" s="25">
        <v>2.35E-2</v>
      </c>
    </row>
    <row r="9" spans="1:7" ht="15" thickBot="1" x14ac:dyDescent="0.4">
      <c r="A9" s="23">
        <v>2013</v>
      </c>
      <c r="B9" s="25">
        <v>2.0199999999999999E-2</v>
      </c>
      <c r="C9" s="25">
        <v>1.2200000000000001E-2</v>
      </c>
      <c r="D9" s="25">
        <v>1.46E-2</v>
      </c>
      <c r="E9" s="25">
        <v>2.6200000000000001E-2</v>
      </c>
    </row>
    <row r="10" spans="1:7" ht="15" thickBot="1" x14ac:dyDescent="0.4">
      <c r="A10" s="23">
        <v>2012</v>
      </c>
      <c r="B10" s="25">
        <v>3.1699999999999999E-2</v>
      </c>
      <c r="C10" s="25">
        <v>2.6599999999999999E-2</v>
      </c>
      <c r="D10" s="25">
        <v>2.07E-2</v>
      </c>
      <c r="E10" s="25">
        <v>3.73E-2</v>
      </c>
    </row>
    <row r="11" spans="1:7" ht="15" thickBot="1" x14ac:dyDescent="0.4">
      <c r="A11" s="23">
        <v>2011</v>
      </c>
      <c r="B11" s="25">
        <v>3.4200000000000001E-2</v>
      </c>
      <c r="C11" s="25">
        <v>3.2899999999999999E-2</v>
      </c>
      <c r="D11" s="25">
        <v>3.1600000000000003E-2</v>
      </c>
      <c r="E11" s="25">
        <v>4.82E-2</v>
      </c>
    </row>
    <row r="12" spans="1:7" ht="15" thickBot="1" x14ac:dyDescent="0.4">
      <c r="A12" s="23">
        <v>2010</v>
      </c>
      <c r="B12" s="25">
        <v>2.2700000000000001E-2</v>
      </c>
      <c r="C12" s="25">
        <v>1.5299999999999999E-2</v>
      </c>
      <c r="D12" s="25">
        <v>1.6400000000000001E-2</v>
      </c>
      <c r="E12" s="25">
        <v>3.3500000000000002E-2</v>
      </c>
    </row>
    <row r="13" spans="1:7" x14ac:dyDescent="0.35">
      <c r="B13" s="26">
        <f>AVERAGE(B1:B12)</f>
        <v>3.6150000000000009E-2</v>
      </c>
    </row>
    <row r="14" spans="1:7" x14ac:dyDescent="0.35">
      <c r="B14" s="27">
        <f>B13+STDEV(B1:B12)</f>
        <v>5.0922548250663523E-2</v>
      </c>
      <c r="C14" s="26">
        <f>(B13+B15)/2</f>
        <v>5.3360018712023005E-2</v>
      </c>
      <c r="E14">
        <v>5.0900000000000001E-2</v>
      </c>
      <c r="F14" s="54">
        <f>(1+E14)^(1/12)-1</f>
        <v>4.1458152037889828E-3</v>
      </c>
    </row>
    <row r="15" spans="1:7" x14ac:dyDescent="0.35">
      <c r="B15" s="26">
        <f>B13+2.33*STDEV(B1:B12)</f>
        <v>7.0570037424045995E-2</v>
      </c>
      <c r="E15">
        <v>0.1163</v>
      </c>
      <c r="F15" s="54">
        <f>(1+E15)^(1/12)-1</f>
        <v>9.2104613895775955E-3</v>
      </c>
    </row>
    <row r="16" spans="1:7" x14ac:dyDescent="0.35">
      <c r="D16" t="s">
        <v>138</v>
      </c>
      <c r="E16">
        <v>3.6200000000000003E-2</v>
      </c>
      <c r="F16" s="54">
        <f t="shared" ref="F16:F17" si="0">(1+E16)^(1/12)-1</f>
        <v>2.9677430057029053E-3</v>
      </c>
      <c r="G16">
        <f>(F14+F16)/2</f>
        <v>3.5567791047459441E-3</v>
      </c>
    </row>
    <row r="17" spans="4:7" x14ac:dyDescent="0.35">
      <c r="D17" t="s">
        <v>139</v>
      </c>
      <c r="E17">
        <v>7.8200000000000006E-2</v>
      </c>
      <c r="F17" s="54">
        <f t="shared" si="0"/>
        <v>6.2941407136822836E-3</v>
      </c>
      <c r="G17">
        <f>(F15+F17)/2</f>
        <v>7.7523010516299395E-3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7BB9-897E-484C-8C52-3CE1DA75589A}">
  <sheetPr codeName="Sheet10"/>
  <dimension ref="A1:F387"/>
  <sheetViews>
    <sheetView showGridLines="0" workbookViewId="0">
      <selection activeCell="D9" sqref="D9:D113"/>
    </sheetView>
  </sheetViews>
  <sheetFormatPr defaultRowHeight="14.5" x14ac:dyDescent="0.35"/>
  <cols>
    <col min="1" max="1" width="54.6328125" style="29" customWidth="1"/>
    <col min="2" max="12" width="13" style="29" customWidth="1"/>
    <col min="13" max="16384" width="8.7265625" style="29"/>
  </cols>
  <sheetData>
    <row r="1" spans="1:6" ht="15.5" x14ac:dyDescent="0.35">
      <c r="A1" s="28" t="s">
        <v>48</v>
      </c>
    </row>
    <row r="2" spans="1:6" x14ac:dyDescent="0.35">
      <c r="A2" s="30" t="s">
        <v>49</v>
      </c>
    </row>
    <row r="4" spans="1:6" x14ac:dyDescent="0.35">
      <c r="A4" s="31" t="s">
        <v>50</v>
      </c>
    </row>
    <row r="5" spans="1:6" x14ac:dyDescent="0.35">
      <c r="A5" s="31" t="s">
        <v>51</v>
      </c>
    </row>
    <row r="6" spans="1:6" x14ac:dyDescent="0.35">
      <c r="A6" s="31" t="s">
        <v>51</v>
      </c>
    </row>
    <row r="7" spans="1:6" x14ac:dyDescent="0.35">
      <c r="E7" s="45">
        <f>POWER((D162-D9)/D162,1/13)-1</f>
        <v>9.0728173882187013E-2</v>
      </c>
    </row>
    <row r="8" spans="1:6" ht="16.25" customHeight="1" x14ac:dyDescent="0.35">
      <c r="A8" s="32" t="s">
        <v>52</v>
      </c>
      <c r="B8" s="33" t="s">
        <v>53</v>
      </c>
      <c r="C8" s="34" t="s">
        <v>54</v>
      </c>
      <c r="D8" s="33"/>
      <c r="E8" s="34"/>
      <c r="F8" s="44">
        <f>POWER(1+AVERAGE(D9:D162),12)-1</f>
        <v>7.8219417907468669E-2</v>
      </c>
    </row>
    <row r="9" spans="1:6" x14ac:dyDescent="0.35">
      <c r="A9" s="35">
        <v>44865</v>
      </c>
      <c r="B9" s="36">
        <v>4714.96</v>
      </c>
      <c r="C9" s="37">
        <v>4819.42</v>
      </c>
      <c r="D9" s="43">
        <f>(C9-C10)/C10</f>
        <v>6.3403698530693567E-2</v>
      </c>
      <c r="E9" s="37"/>
      <c r="F9" s="27">
        <f>STDEV((D9:D162))+F8</f>
        <v>0.11628681454425994</v>
      </c>
    </row>
    <row r="10" spans="1:6" x14ac:dyDescent="0.35">
      <c r="A10" s="38">
        <v>44834</v>
      </c>
      <c r="B10" s="39">
        <v>4437.3100000000004</v>
      </c>
      <c r="C10" s="40">
        <v>4532.07</v>
      </c>
      <c r="D10" s="43">
        <f t="shared" ref="D10:D73" si="0">(C10-C11)/C11</f>
        <v>2.9978455328897098E-2</v>
      </c>
      <c r="E10" s="40"/>
      <c r="F10" s="26">
        <f>2.33*STDEV((D9:D162))+F8</f>
        <v>0.16691645207119235</v>
      </c>
    </row>
    <row r="11" spans="1:6" x14ac:dyDescent="0.35">
      <c r="A11" s="35">
        <v>44804</v>
      </c>
      <c r="B11" s="36">
        <v>4326.7700000000004</v>
      </c>
      <c r="C11" s="37">
        <v>4400.16</v>
      </c>
      <c r="D11" s="43">
        <f t="shared" si="0"/>
        <v>2.3221635699834819E-2</v>
      </c>
      <c r="E11" s="37"/>
    </row>
    <row r="12" spans="1:6" x14ac:dyDescent="0.35">
      <c r="A12" s="38">
        <v>44773</v>
      </c>
      <c r="B12" s="39">
        <v>4394.01</v>
      </c>
      <c r="C12" s="40">
        <v>4300.3</v>
      </c>
      <c r="D12" s="43">
        <f t="shared" si="0"/>
        <v>4.1873108708240139E-2</v>
      </c>
      <c r="E12" s="40"/>
    </row>
    <row r="13" spans="1:6" x14ac:dyDescent="0.35">
      <c r="A13" s="35">
        <v>44742</v>
      </c>
      <c r="B13" s="36">
        <v>3922.5</v>
      </c>
      <c r="C13" s="37">
        <v>4127.47</v>
      </c>
      <c r="D13" s="43">
        <f t="shared" si="0"/>
        <v>5.4987552206607837E-2</v>
      </c>
      <c r="E13" s="37"/>
    </row>
    <row r="14" spans="1:6" x14ac:dyDescent="0.35">
      <c r="A14" s="38">
        <v>44712</v>
      </c>
      <c r="B14" s="39">
        <v>4027.6</v>
      </c>
      <c r="C14" s="40">
        <v>3912.34</v>
      </c>
      <c r="D14" s="43">
        <f t="shared" si="0"/>
        <v>-1.3597158035131203E-2</v>
      </c>
      <c r="E14" s="40"/>
    </row>
    <row r="15" spans="1:6" x14ac:dyDescent="0.35">
      <c r="A15" s="35">
        <v>44681</v>
      </c>
      <c r="B15" s="36">
        <v>3796.39</v>
      </c>
      <c r="C15" s="37">
        <v>3966.27</v>
      </c>
      <c r="D15" s="43">
        <f t="shared" si="0"/>
        <v>5.8194042394247796E-2</v>
      </c>
      <c r="E15" s="37"/>
    </row>
    <row r="16" spans="1:6" x14ac:dyDescent="0.35">
      <c r="A16" s="38">
        <v>44651</v>
      </c>
      <c r="B16" s="39">
        <v>3805.52</v>
      </c>
      <c r="C16" s="40">
        <v>3748.15</v>
      </c>
      <c r="D16" s="43">
        <f t="shared" si="0"/>
        <v>-4.1550743612298699E-2</v>
      </c>
      <c r="E16" s="40"/>
    </row>
    <row r="17" spans="1:5" x14ac:dyDescent="0.35">
      <c r="A17" s="35">
        <v>44620</v>
      </c>
      <c r="B17" s="36">
        <v>3938.36</v>
      </c>
      <c r="C17" s="37">
        <v>3910.64</v>
      </c>
      <c r="D17" s="43">
        <f t="shared" si="0"/>
        <v>-1.806859840305329E-2</v>
      </c>
      <c r="E17" s="37"/>
    </row>
    <row r="18" spans="1:5" x14ac:dyDescent="0.35">
      <c r="A18" s="38">
        <v>44592</v>
      </c>
      <c r="B18" s="39">
        <v>4000.72</v>
      </c>
      <c r="C18" s="40">
        <v>3982.6</v>
      </c>
      <c r="D18" s="43">
        <f t="shared" si="0"/>
        <v>3.6170362406938043E-4</v>
      </c>
      <c r="E18" s="40"/>
    </row>
    <row r="19" spans="1:5" x14ac:dyDescent="0.35">
      <c r="A19" s="35">
        <v>44561</v>
      </c>
      <c r="B19" s="36">
        <v>3967.77</v>
      </c>
      <c r="C19" s="37">
        <v>3981.16</v>
      </c>
      <c r="D19" s="43">
        <f t="shared" si="0"/>
        <v>-7.4345920448369634E-3</v>
      </c>
      <c r="E19" s="37"/>
    </row>
    <row r="20" spans="1:5" x14ac:dyDescent="0.35">
      <c r="A20" s="38">
        <v>44530</v>
      </c>
      <c r="B20" s="39">
        <v>3900.51</v>
      </c>
      <c r="C20" s="40">
        <v>4010.98</v>
      </c>
      <c r="D20" s="43">
        <f t="shared" si="0"/>
        <v>5.9860904123199193E-2</v>
      </c>
      <c r="E20" s="40"/>
    </row>
    <row r="21" spans="1:5" x14ac:dyDescent="0.35">
      <c r="A21" s="35">
        <v>44500</v>
      </c>
      <c r="B21" s="36">
        <v>3771.68</v>
      </c>
      <c r="C21" s="37">
        <v>3784.44</v>
      </c>
      <c r="D21" s="43">
        <f t="shared" si="0"/>
        <v>-1.3101484348107217E-2</v>
      </c>
      <c r="E21" s="37"/>
    </row>
    <row r="22" spans="1:5" x14ac:dyDescent="0.35">
      <c r="A22" s="38">
        <v>44469</v>
      </c>
      <c r="B22" s="39">
        <v>3820.28</v>
      </c>
      <c r="C22" s="40">
        <v>3834.68</v>
      </c>
      <c r="D22" s="43">
        <f t="shared" si="0"/>
        <v>7.3052139946990433E-3</v>
      </c>
      <c r="E22" s="40"/>
    </row>
    <row r="23" spans="1:5" x14ac:dyDescent="0.35">
      <c r="A23" s="35">
        <v>44439</v>
      </c>
      <c r="B23" s="36">
        <v>3887.68</v>
      </c>
      <c r="C23" s="37">
        <v>3806.87</v>
      </c>
      <c r="D23" s="43">
        <f t="shared" si="0"/>
        <v>-1.5773498660765127E-2</v>
      </c>
      <c r="E23" s="37"/>
    </row>
    <row r="24" spans="1:5" x14ac:dyDescent="0.35">
      <c r="A24" s="38">
        <v>44408</v>
      </c>
      <c r="B24" s="39">
        <v>3832.24</v>
      </c>
      <c r="C24" s="40">
        <v>3867.88</v>
      </c>
      <c r="D24" s="43">
        <f t="shared" si="0"/>
        <v>2.960334551610869E-2</v>
      </c>
      <c r="E24" s="40"/>
    </row>
    <row r="25" spans="1:5" x14ac:dyDescent="0.35">
      <c r="A25" s="35">
        <v>44377</v>
      </c>
      <c r="B25" s="36">
        <v>3693</v>
      </c>
      <c r="C25" s="37">
        <v>3756.67</v>
      </c>
      <c r="D25" s="43">
        <f t="shared" si="0"/>
        <v>1.1140479317844112E-2</v>
      </c>
      <c r="E25" s="37"/>
    </row>
    <row r="26" spans="1:5" x14ac:dyDescent="0.35">
      <c r="A26" s="38">
        <v>44347</v>
      </c>
      <c r="B26" s="39">
        <v>3741.96</v>
      </c>
      <c r="C26" s="40">
        <v>3715.28</v>
      </c>
      <c r="D26" s="43">
        <f t="shared" si="0"/>
        <v>6.4370342240150594E-4</v>
      </c>
      <c r="E26" s="40"/>
    </row>
    <row r="27" spans="1:5" x14ac:dyDescent="0.35">
      <c r="A27" s="35">
        <v>44316</v>
      </c>
      <c r="B27" s="36">
        <v>3651.85</v>
      </c>
      <c r="C27" s="37">
        <v>3712.89</v>
      </c>
      <c r="D27" s="43">
        <f t="shared" si="0"/>
        <v>-6.4277705376902259E-3</v>
      </c>
      <c r="E27" s="37"/>
    </row>
    <row r="28" spans="1:5" x14ac:dyDescent="0.35">
      <c r="A28" s="38">
        <v>44286</v>
      </c>
      <c r="B28" s="39">
        <v>3617</v>
      </c>
      <c r="C28" s="40">
        <v>3736.91</v>
      </c>
      <c r="D28" s="43">
        <f t="shared" si="0"/>
        <v>3.1045224161858957E-2</v>
      </c>
      <c r="E28" s="40"/>
    </row>
    <row r="29" spans="1:5" x14ac:dyDescent="0.35">
      <c r="A29" s="35">
        <v>44255</v>
      </c>
      <c r="B29" s="36">
        <v>3552.43</v>
      </c>
      <c r="C29" s="37">
        <v>3624.39</v>
      </c>
      <c r="D29" s="43">
        <f t="shared" si="0"/>
        <v>1.8241531018749989E-2</v>
      </c>
      <c r="E29" s="37"/>
    </row>
    <row r="30" spans="1:5" x14ac:dyDescent="0.35">
      <c r="A30" s="38">
        <v>44227</v>
      </c>
      <c r="B30" s="39">
        <v>3494.53</v>
      </c>
      <c r="C30" s="40">
        <v>3559.46</v>
      </c>
      <c r="D30" s="43">
        <f t="shared" si="0"/>
        <v>3.6987618353969423E-2</v>
      </c>
      <c r="E30" s="40"/>
    </row>
    <row r="31" spans="1:5" x14ac:dyDescent="0.35">
      <c r="A31" s="35">
        <v>44196</v>
      </c>
      <c r="B31" s="36">
        <v>3468.5</v>
      </c>
      <c r="C31" s="37">
        <v>3432.5</v>
      </c>
      <c r="D31" s="43">
        <f t="shared" si="0"/>
        <v>-4.9548102695877561E-2</v>
      </c>
      <c r="E31" s="37"/>
    </row>
    <row r="32" spans="1:5" x14ac:dyDescent="0.35">
      <c r="A32" s="38">
        <v>44165</v>
      </c>
      <c r="B32" s="39">
        <v>3680.67</v>
      </c>
      <c r="C32" s="40">
        <v>3611.44</v>
      </c>
      <c r="D32" s="43">
        <f t="shared" si="0"/>
        <v>-6.4044617681207464E-2</v>
      </c>
      <c r="E32" s="40"/>
    </row>
    <row r="33" spans="1:5" x14ac:dyDescent="0.35">
      <c r="A33" s="35">
        <v>44135</v>
      </c>
      <c r="B33" s="36">
        <v>3833.06</v>
      </c>
      <c r="C33" s="37">
        <v>3858.56</v>
      </c>
      <c r="D33" s="43">
        <f t="shared" si="0"/>
        <v>-5.2540126941896777E-3</v>
      </c>
      <c r="E33" s="37"/>
    </row>
    <row r="34" spans="1:5" x14ac:dyDescent="0.35">
      <c r="A34" s="38">
        <v>44104</v>
      </c>
      <c r="B34" s="39">
        <v>3749.86</v>
      </c>
      <c r="C34" s="40">
        <v>3878.94</v>
      </c>
      <c r="D34" s="43">
        <f t="shared" si="0"/>
        <v>3.1528728479568537E-2</v>
      </c>
      <c r="E34" s="40"/>
    </row>
    <row r="35" spans="1:5" x14ac:dyDescent="0.35">
      <c r="A35" s="35">
        <v>44074</v>
      </c>
      <c r="B35" s="36">
        <v>3788.1</v>
      </c>
      <c r="C35" s="37">
        <v>3760.38</v>
      </c>
      <c r="D35" s="43">
        <f t="shared" si="0"/>
        <v>5.586323268681111E-3</v>
      </c>
      <c r="E35" s="37"/>
    </row>
    <row r="36" spans="1:5" x14ac:dyDescent="0.35">
      <c r="A36" s="38">
        <v>44043</v>
      </c>
      <c r="B36" s="39">
        <v>3660.6</v>
      </c>
      <c r="C36" s="40">
        <v>3739.49</v>
      </c>
      <c r="D36" s="43">
        <f t="shared" si="0"/>
        <v>-5.1663913208882554E-3</v>
      </c>
      <c r="E36" s="40"/>
    </row>
    <row r="37" spans="1:5" x14ac:dyDescent="0.35">
      <c r="A37" s="35">
        <v>44012</v>
      </c>
      <c r="B37" s="36">
        <v>3693</v>
      </c>
      <c r="C37" s="37">
        <v>3758.91</v>
      </c>
      <c r="D37" s="43">
        <f t="shared" si="0"/>
        <v>1.0780301278362407E-2</v>
      </c>
      <c r="E37" s="37"/>
    </row>
    <row r="38" spans="1:5" x14ac:dyDescent="0.35">
      <c r="A38" s="38">
        <v>43982</v>
      </c>
      <c r="B38" s="39">
        <v>3863.34</v>
      </c>
      <c r="C38" s="40">
        <v>3718.82</v>
      </c>
      <c r="D38" s="43">
        <f t="shared" si="0"/>
        <v>-6.6394864546643548E-2</v>
      </c>
      <c r="E38" s="40"/>
    </row>
    <row r="39" spans="1:5" x14ac:dyDescent="0.35">
      <c r="A39" s="35">
        <v>43951</v>
      </c>
      <c r="B39" s="36">
        <v>3986.56</v>
      </c>
      <c r="C39" s="37">
        <v>3983.29</v>
      </c>
      <c r="D39" s="43">
        <f t="shared" si="0"/>
        <v>-2.0055057923986604E-2</v>
      </c>
      <c r="E39" s="37"/>
    </row>
    <row r="40" spans="1:5" x14ac:dyDescent="0.35">
      <c r="A40" s="38">
        <v>43921</v>
      </c>
      <c r="B40" s="39">
        <v>3870.01</v>
      </c>
      <c r="C40" s="40">
        <v>4064.81</v>
      </c>
      <c r="D40" s="43">
        <f t="shared" si="0"/>
        <v>0.14829682529817559</v>
      </c>
      <c r="E40" s="40"/>
    </row>
    <row r="41" spans="1:5" x14ac:dyDescent="0.35">
      <c r="A41" s="35">
        <v>43890</v>
      </c>
      <c r="B41" s="36">
        <v>3408.24</v>
      </c>
      <c r="C41" s="37">
        <v>3539.86</v>
      </c>
      <c r="D41" s="43">
        <f t="shared" si="0"/>
        <v>3.7640885840331914E-2</v>
      </c>
      <c r="E41" s="37"/>
    </row>
    <row r="42" spans="1:5" x14ac:dyDescent="0.35">
      <c r="A42" s="38">
        <v>43861</v>
      </c>
      <c r="B42" s="39">
        <v>3317.37</v>
      </c>
      <c r="C42" s="40">
        <v>3411.45</v>
      </c>
      <c r="D42" s="43">
        <f t="shared" si="0"/>
        <v>4.0983906699133987E-2</v>
      </c>
      <c r="E42" s="40"/>
    </row>
    <row r="43" spans="1:5" x14ac:dyDescent="0.35">
      <c r="A43" s="35">
        <v>43830</v>
      </c>
      <c r="B43" s="36">
        <v>3383</v>
      </c>
      <c r="C43" s="37">
        <v>3277.14</v>
      </c>
      <c r="D43" s="43">
        <f t="shared" si="0"/>
        <v>-6.9649792191864859E-2</v>
      </c>
      <c r="E43" s="37"/>
    </row>
    <row r="44" spans="1:5" x14ac:dyDescent="0.35">
      <c r="A44" s="38">
        <v>43799</v>
      </c>
      <c r="B44" s="39">
        <v>3411.42</v>
      </c>
      <c r="C44" s="40">
        <v>3522.48</v>
      </c>
      <c r="D44" s="43">
        <f t="shared" si="0"/>
        <v>3.9098037133400577E-2</v>
      </c>
      <c r="E44" s="40"/>
    </row>
    <row r="45" spans="1:5" x14ac:dyDescent="0.35">
      <c r="A45" s="35">
        <v>43769</v>
      </c>
      <c r="B45" s="36">
        <v>3437.73</v>
      </c>
      <c r="C45" s="37">
        <v>3389.94</v>
      </c>
      <c r="D45" s="43">
        <f t="shared" si="0"/>
        <v>-2.0817386431581698E-2</v>
      </c>
      <c r="E45" s="37"/>
    </row>
    <row r="46" spans="1:5" x14ac:dyDescent="0.35">
      <c r="A46" s="38">
        <v>43738</v>
      </c>
      <c r="B46" s="39">
        <v>3399.62</v>
      </c>
      <c r="C46" s="40">
        <v>3462.01</v>
      </c>
      <c r="D46" s="43">
        <f t="shared" si="0"/>
        <v>1.013045292344688E-2</v>
      </c>
      <c r="E46" s="40"/>
    </row>
    <row r="47" spans="1:5" x14ac:dyDescent="0.35">
      <c r="A47" s="35">
        <v>43708</v>
      </c>
      <c r="B47" s="36">
        <v>3412.65</v>
      </c>
      <c r="C47" s="37">
        <v>3427.29</v>
      </c>
      <c r="D47" s="43">
        <f t="shared" si="0"/>
        <v>3.9565039355748684E-2</v>
      </c>
      <c r="E47" s="37"/>
    </row>
    <row r="48" spans="1:5" x14ac:dyDescent="0.35">
      <c r="A48" s="38">
        <v>43677</v>
      </c>
      <c r="B48" s="39">
        <v>3208.11</v>
      </c>
      <c r="C48" s="40">
        <v>3296.85</v>
      </c>
      <c r="D48" s="43">
        <f t="shared" si="0"/>
        <v>2.8443351935788723E-2</v>
      </c>
      <c r="E48" s="40"/>
    </row>
    <row r="49" spans="1:5" x14ac:dyDescent="0.35">
      <c r="A49" s="35">
        <v>43646</v>
      </c>
      <c r="B49" s="36">
        <v>3256.02</v>
      </c>
      <c r="C49" s="37">
        <v>3205.67</v>
      </c>
      <c r="D49" s="43">
        <f t="shared" si="0"/>
        <v>-4.5312137041294671E-2</v>
      </c>
      <c r="E49" s="37"/>
    </row>
    <row r="50" spans="1:5" x14ac:dyDescent="0.35">
      <c r="A50" s="38">
        <v>43616</v>
      </c>
      <c r="B50" s="39">
        <v>3310.49</v>
      </c>
      <c r="C50" s="40">
        <v>3357.82</v>
      </c>
      <c r="D50" s="43">
        <f t="shared" si="0"/>
        <v>3.3900705725863178E-2</v>
      </c>
      <c r="E50" s="40"/>
    </row>
    <row r="51" spans="1:5" x14ac:dyDescent="0.35">
      <c r="A51" s="35">
        <v>43585</v>
      </c>
      <c r="B51" s="36">
        <v>3155.22</v>
      </c>
      <c r="C51" s="37">
        <v>3247.72</v>
      </c>
      <c r="D51" s="43">
        <f t="shared" si="0"/>
        <v>2.2971598121450502E-2</v>
      </c>
      <c r="E51" s="37"/>
    </row>
    <row r="52" spans="1:5" x14ac:dyDescent="0.35">
      <c r="A52" s="38">
        <v>43555</v>
      </c>
      <c r="B52" s="39">
        <v>3125.34</v>
      </c>
      <c r="C52" s="40">
        <v>3174.79</v>
      </c>
      <c r="D52" s="43">
        <f t="shared" si="0"/>
        <v>3.3456922340747507E-2</v>
      </c>
      <c r="E52" s="40"/>
    </row>
    <row r="53" spans="1:5" x14ac:dyDescent="0.35">
      <c r="A53" s="35">
        <v>43524</v>
      </c>
      <c r="B53" s="36">
        <v>3115.15</v>
      </c>
      <c r="C53" s="37">
        <v>3072.01</v>
      </c>
      <c r="D53" s="43">
        <f t="shared" si="0"/>
        <v>-2.8908220745639212E-2</v>
      </c>
      <c r="E53" s="37"/>
    </row>
    <row r="54" spans="1:5" x14ac:dyDescent="0.35">
      <c r="A54" s="38">
        <v>43496</v>
      </c>
      <c r="B54" s="39">
        <v>3161.91</v>
      </c>
      <c r="C54" s="40">
        <v>3163.46</v>
      </c>
      <c r="D54" s="43">
        <f t="shared" si="0"/>
        <v>-2.6552811754750355E-2</v>
      </c>
      <c r="E54" s="40"/>
    </row>
    <row r="55" spans="1:5" x14ac:dyDescent="0.35">
      <c r="A55" s="35">
        <v>43465</v>
      </c>
      <c r="B55" s="36">
        <v>3212.48</v>
      </c>
      <c r="C55" s="37">
        <v>3249.75</v>
      </c>
      <c r="D55" s="43">
        <f t="shared" si="0"/>
        <v>3.0030678822970283E-3</v>
      </c>
      <c r="E55" s="37"/>
    </row>
    <row r="56" spans="1:5" x14ac:dyDescent="0.35">
      <c r="A56" s="38">
        <v>43434</v>
      </c>
      <c r="B56" s="39">
        <v>3198.13</v>
      </c>
      <c r="C56" s="40">
        <v>3240.02</v>
      </c>
      <c r="D56" s="43">
        <f t="shared" si="0"/>
        <v>1.1734802213312327E-2</v>
      </c>
      <c r="E56" s="40"/>
    </row>
    <row r="57" spans="1:5" x14ac:dyDescent="0.35">
      <c r="A57" s="35">
        <v>43404</v>
      </c>
      <c r="B57" s="36">
        <v>3080.48</v>
      </c>
      <c r="C57" s="37">
        <v>3202.44</v>
      </c>
      <c r="D57" s="43">
        <f t="shared" si="0"/>
        <v>7.7471754738945908E-2</v>
      </c>
      <c r="E57" s="37"/>
    </row>
    <row r="58" spans="1:5" x14ac:dyDescent="0.35">
      <c r="A58" s="38">
        <v>43373</v>
      </c>
      <c r="B58" s="39">
        <v>3037.8</v>
      </c>
      <c r="C58" s="40">
        <v>2972.18</v>
      </c>
      <c r="D58" s="43">
        <f t="shared" si="0"/>
        <v>-1.8236831065703472E-2</v>
      </c>
      <c r="E58" s="40"/>
    </row>
    <row r="59" spans="1:5" x14ac:dyDescent="0.35">
      <c r="A59" s="35">
        <v>43343</v>
      </c>
      <c r="B59" s="36">
        <v>2959.57</v>
      </c>
      <c r="C59" s="37">
        <v>3027.39</v>
      </c>
      <c r="D59" s="43">
        <f t="shared" si="0"/>
        <v>5.2741574284005423E-2</v>
      </c>
      <c r="E59" s="37"/>
    </row>
    <row r="60" spans="1:5" x14ac:dyDescent="0.35">
      <c r="A60" s="38">
        <v>43312</v>
      </c>
      <c r="B60" s="39">
        <v>2885.55</v>
      </c>
      <c r="C60" s="40">
        <v>2875.72</v>
      </c>
      <c r="D60" s="43">
        <f t="shared" si="0"/>
        <v>-1.8793503480278553E-2</v>
      </c>
      <c r="E60" s="40"/>
    </row>
    <row r="61" spans="1:5" x14ac:dyDescent="0.35">
      <c r="A61" s="35">
        <v>43281</v>
      </c>
      <c r="B61" s="36">
        <v>2893.22</v>
      </c>
      <c r="C61" s="37">
        <v>2930.8</v>
      </c>
      <c r="D61" s="43">
        <f t="shared" si="0"/>
        <v>1.7879221482850122E-2</v>
      </c>
      <c r="E61" s="37"/>
    </row>
    <row r="62" spans="1:5" x14ac:dyDescent="0.35">
      <c r="A62" s="38">
        <v>43251</v>
      </c>
      <c r="B62" s="39">
        <v>2862.95</v>
      </c>
      <c r="C62" s="40">
        <v>2879.32</v>
      </c>
      <c r="D62" s="43">
        <f t="shared" si="0"/>
        <v>2.6027338683239008E-2</v>
      </c>
      <c r="E62" s="40"/>
    </row>
    <row r="63" spans="1:5" x14ac:dyDescent="0.35">
      <c r="A63" s="35">
        <v>43220</v>
      </c>
      <c r="B63" s="36">
        <v>2765.96</v>
      </c>
      <c r="C63" s="37">
        <v>2806.28</v>
      </c>
      <c r="D63" s="43">
        <f t="shared" si="0"/>
        <v>9.2826033008809317E-3</v>
      </c>
      <c r="E63" s="37"/>
    </row>
    <row r="64" spans="1:5" x14ac:dyDescent="0.35">
      <c r="A64" s="38">
        <v>43190</v>
      </c>
      <c r="B64" s="39">
        <v>2852.46</v>
      </c>
      <c r="C64" s="40">
        <v>2780.47</v>
      </c>
      <c r="D64" s="43">
        <f t="shared" si="0"/>
        <v>-2.6422216230789986E-2</v>
      </c>
      <c r="E64" s="40"/>
    </row>
    <row r="65" spans="1:5" x14ac:dyDescent="0.35">
      <c r="A65" s="35">
        <v>43159</v>
      </c>
      <c r="B65" s="36">
        <v>2860</v>
      </c>
      <c r="C65" s="37">
        <v>2855.93</v>
      </c>
      <c r="D65" s="43">
        <f t="shared" si="0"/>
        <v>4.1453655586574378E-3</v>
      </c>
      <c r="E65" s="37"/>
    </row>
    <row r="66" spans="1:5" x14ac:dyDescent="0.35">
      <c r="A66" s="38">
        <v>43131</v>
      </c>
      <c r="B66" s="39">
        <v>2867.68</v>
      </c>
      <c r="C66" s="40">
        <v>2844.14</v>
      </c>
      <c r="D66" s="43">
        <f t="shared" si="0"/>
        <v>-4.6869973190348566E-2</v>
      </c>
      <c r="E66" s="40"/>
    </row>
    <row r="67" spans="1:5" x14ac:dyDescent="0.35">
      <c r="A67" s="35">
        <v>43100</v>
      </c>
      <c r="B67" s="36">
        <v>2991.42</v>
      </c>
      <c r="C67" s="37">
        <v>2984</v>
      </c>
      <c r="D67" s="43">
        <f t="shared" si="0"/>
        <v>-7.3484160487544102E-3</v>
      </c>
      <c r="E67" s="37"/>
    </row>
    <row r="68" spans="1:5" x14ac:dyDescent="0.35">
      <c r="A68" s="38">
        <v>43069</v>
      </c>
      <c r="B68" s="39">
        <v>3013.17</v>
      </c>
      <c r="C68" s="40">
        <v>3006.09</v>
      </c>
      <c r="D68" s="43">
        <f t="shared" si="0"/>
        <v>-1.7765587227372649E-3</v>
      </c>
      <c r="E68" s="40"/>
    </row>
    <row r="69" spans="1:5" x14ac:dyDescent="0.35">
      <c r="A69" s="35">
        <v>43039</v>
      </c>
      <c r="B69" s="36">
        <v>2955.06</v>
      </c>
      <c r="C69" s="37">
        <v>3011.44</v>
      </c>
      <c r="D69" s="43">
        <f t="shared" si="0"/>
        <v>2.5460811054698003E-2</v>
      </c>
      <c r="E69" s="37"/>
    </row>
    <row r="70" spans="1:5" x14ac:dyDescent="0.35">
      <c r="A70" s="38">
        <v>43008</v>
      </c>
      <c r="B70" s="39">
        <v>2918.49</v>
      </c>
      <c r="C70" s="40">
        <v>2936.67</v>
      </c>
      <c r="D70" s="43">
        <f t="shared" si="0"/>
        <v>-1.4299868236930866E-4</v>
      </c>
      <c r="E70" s="40"/>
    </row>
    <row r="71" spans="1:5" x14ac:dyDescent="0.35">
      <c r="A71" s="35">
        <v>42978</v>
      </c>
      <c r="B71" s="36">
        <v>2972.62</v>
      </c>
      <c r="C71" s="37">
        <v>2937.09</v>
      </c>
      <c r="D71" s="43">
        <f t="shared" si="0"/>
        <v>-1.9410863272603395E-2</v>
      </c>
      <c r="E71" s="37"/>
    </row>
    <row r="72" spans="1:5" x14ac:dyDescent="0.35">
      <c r="A72" s="38">
        <v>42947</v>
      </c>
      <c r="B72" s="39">
        <v>3038.76</v>
      </c>
      <c r="C72" s="40">
        <v>2995.23</v>
      </c>
      <c r="D72" s="43">
        <f t="shared" si="0"/>
        <v>-1.4162711552006806E-2</v>
      </c>
      <c r="E72" s="40"/>
    </row>
    <row r="73" spans="1:5" x14ac:dyDescent="0.35">
      <c r="A73" s="35">
        <v>42916</v>
      </c>
      <c r="B73" s="36">
        <v>2958.36</v>
      </c>
      <c r="C73" s="37">
        <v>3038.26</v>
      </c>
      <c r="D73" s="43">
        <f t="shared" si="0"/>
        <v>4.0350360564576374E-2</v>
      </c>
      <c r="E73" s="37"/>
    </row>
    <row r="74" spans="1:5" x14ac:dyDescent="0.35">
      <c r="A74" s="38">
        <v>42886</v>
      </c>
      <c r="B74" s="39">
        <v>2924</v>
      </c>
      <c r="C74" s="40">
        <v>2920.42</v>
      </c>
      <c r="D74" s="43">
        <f t="shared" ref="D74:D137" si="1">(C74-C75)/C75</f>
        <v>-9.3050867581457117E-3</v>
      </c>
      <c r="E74" s="40"/>
    </row>
    <row r="75" spans="1:5" x14ac:dyDescent="0.35">
      <c r="A75" s="35">
        <v>42855</v>
      </c>
      <c r="B75" s="36">
        <v>2873.55</v>
      </c>
      <c r="C75" s="37">
        <v>2947.85</v>
      </c>
      <c r="D75" s="43">
        <f t="shared" si="1"/>
        <v>2.347373829958619E-2</v>
      </c>
      <c r="E75" s="37"/>
    </row>
    <row r="76" spans="1:5" x14ac:dyDescent="0.35">
      <c r="A76" s="38">
        <v>42825</v>
      </c>
      <c r="B76" s="39">
        <v>2943.49</v>
      </c>
      <c r="C76" s="40">
        <v>2880.24</v>
      </c>
      <c r="D76" s="43">
        <f t="shared" si="1"/>
        <v>-5.5347049826156404E-3</v>
      </c>
      <c r="E76" s="40"/>
    </row>
    <row r="77" spans="1:5" x14ac:dyDescent="0.35">
      <c r="A77" s="35">
        <v>42794</v>
      </c>
      <c r="B77" s="36">
        <v>2881.68</v>
      </c>
      <c r="C77" s="37">
        <v>2896.27</v>
      </c>
      <c r="D77" s="43">
        <f t="shared" si="1"/>
        <v>-1.3753720212758669E-2</v>
      </c>
      <c r="E77" s="37"/>
    </row>
    <row r="78" spans="1:5" x14ac:dyDescent="0.35">
      <c r="A78" s="38">
        <v>42766</v>
      </c>
      <c r="B78" s="39">
        <v>2944.65</v>
      </c>
      <c r="C78" s="40">
        <v>2936.66</v>
      </c>
      <c r="D78" s="43">
        <f t="shared" si="1"/>
        <v>-2.1344948362221002E-2</v>
      </c>
      <c r="E78" s="40"/>
    </row>
    <row r="79" spans="1:5" x14ac:dyDescent="0.35">
      <c r="A79" s="35">
        <v>42735</v>
      </c>
      <c r="B79" s="36">
        <v>3009.53</v>
      </c>
      <c r="C79" s="37">
        <v>3000.71</v>
      </c>
      <c r="D79" s="43">
        <f t="shared" si="1"/>
        <v>-5.1935332012675819E-2</v>
      </c>
      <c r="E79" s="37"/>
    </row>
    <row r="80" spans="1:5" x14ac:dyDescent="0.35">
      <c r="A80" s="38">
        <v>42704</v>
      </c>
      <c r="B80" s="39">
        <v>3106.4</v>
      </c>
      <c r="C80" s="40">
        <v>3165.09</v>
      </c>
      <c r="D80" s="43">
        <f t="shared" si="1"/>
        <v>6.6527162815147395E-2</v>
      </c>
      <c r="E80" s="40"/>
    </row>
    <row r="81" spans="1:5" x14ac:dyDescent="0.35">
      <c r="A81" s="35">
        <v>42674</v>
      </c>
      <c r="B81" s="36">
        <v>2932.61</v>
      </c>
      <c r="C81" s="37">
        <v>2967.66</v>
      </c>
      <c r="D81" s="43">
        <f t="shared" si="1"/>
        <v>3.0455389850518252E-2</v>
      </c>
      <c r="E81" s="37"/>
    </row>
    <row r="82" spans="1:5" x14ac:dyDescent="0.35">
      <c r="A82" s="38">
        <v>42643</v>
      </c>
      <c r="B82" s="39">
        <v>2921.15</v>
      </c>
      <c r="C82" s="40">
        <v>2879.95</v>
      </c>
      <c r="D82" s="43">
        <f t="shared" si="1"/>
        <v>-1.8361726349946601E-2</v>
      </c>
      <c r="E82" s="40"/>
    </row>
    <row r="83" spans="1:5" x14ac:dyDescent="0.35">
      <c r="A83" s="35">
        <v>42613</v>
      </c>
      <c r="B83" s="36">
        <v>2963.82</v>
      </c>
      <c r="C83" s="37">
        <v>2933.82</v>
      </c>
      <c r="D83" s="43">
        <f t="shared" si="1"/>
        <v>-4.8001946945728832E-2</v>
      </c>
      <c r="E83" s="37"/>
    </row>
    <row r="84" spans="1:5" x14ac:dyDescent="0.35">
      <c r="A84" s="38">
        <v>42582</v>
      </c>
      <c r="B84" s="39">
        <v>2963.99</v>
      </c>
      <c r="C84" s="40">
        <v>3081.75</v>
      </c>
      <c r="D84" s="43">
        <f t="shared" si="1"/>
        <v>5.6787202304408174E-2</v>
      </c>
      <c r="E84" s="40"/>
    </row>
    <row r="85" spans="1:5" x14ac:dyDescent="0.35">
      <c r="A85" s="35">
        <v>42551</v>
      </c>
      <c r="B85" s="36">
        <v>2991.68</v>
      </c>
      <c r="C85" s="37">
        <v>2916.15</v>
      </c>
      <c r="D85" s="43">
        <f t="shared" si="1"/>
        <v>-4.9857127497010587E-2</v>
      </c>
      <c r="E85" s="37"/>
    </row>
    <row r="86" spans="1:5" x14ac:dyDescent="0.35">
      <c r="A86" s="38">
        <v>42521</v>
      </c>
      <c r="B86" s="39">
        <v>2988.38</v>
      </c>
      <c r="C86" s="40">
        <v>3069.17</v>
      </c>
      <c r="D86" s="43">
        <f t="shared" si="1"/>
        <v>7.6471165919597142E-2</v>
      </c>
      <c r="E86" s="40"/>
    </row>
    <row r="87" spans="1:5" x14ac:dyDescent="0.35">
      <c r="A87" s="35">
        <v>42490</v>
      </c>
      <c r="B87" s="36">
        <v>2998.71</v>
      </c>
      <c r="C87" s="37">
        <v>2851.14</v>
      </c>
      <c r="D87" s="43">
        <f t="shared" si="1"/>
        <v>-5.664797260409947E-2</v>
      </c>
      <c r="E87" s="37"/>
    </row>
    <row r="88" spans="1:5" x14ac:dyDescent="0.35">
      <c r="A88" s="38">
        <v>42460</v>
      </c>
      <c r="B88" s="39">
        <v>3145.26</v>
      </c>
      <c r="C88" s="40">
        <v>3022.35</v>
      </c>
      <c r="D88" s="43">
        <f t="shared" si="1"/>
        <v>-8.57985480943739E-2</v>
      </c>
      <c r="E88" s="40"/>
    </row>
    <row r="89" spans="1:5" x14ac:dyDescent="0.35">
      <c r="A89" s="35">
        <v>42429</v>
      </c>
      <c r="B89" s="36">
        <v>3357.5</v>
      </c>
      <c r="C89" s="37">
        <v>3306</v>
      </c>
      <c r="D89" s="43">
        <f t="shared" si="1"/>
        <v>5.6854996942789253E-3</v>
      </c>
      <c r="E89" s="37"/>
    </row>
    <row r="90" spans="1:5" x14ac:dyDescent="0.35">
      <c r="A90" s="38">
        <v>42400</v>
      </c>
      <c r="B90" s="39">
        <v>3284.03</v>
      </c>
      <c r="C90" s="40">
        <v>3287.31</v>
      </c>
      <c r="D90" s="43">
        <f t="shared" si="1"/>
        <v>4.3766093977716934E-2</v>
      </c>
      <c r="E90" s="40"/>
    </row>
    <row r="91" spans="1:5" x14ac:dyDescent="0.35">
      <c r="A91" s="35">
        <v>42369</v>
      </c>
      <c r="B91" s="36">
        <v>3244.51</v>
      </c>
      <c r="C91" s="37">
        <v>3149.47</v>
      </c>
      <c r="D91" s="43">
        <f t="shared" si="1"/>
        <v>1.5597691141852856E-2</v>
      </c>
      <c r="E91" s="37"/>
    </row>
    <row r="92" spans="1:5" x14ac:dyDescent="0.35">
      <c r="A92" s="38">
        <v>42338</v>
      </c>
      <c r="B92" s="39">
        <v>2996.67</v>
      </c>
      <c r="C92" s="40">
        <v>3101.1</v>
      </c>
      <c r="D92" s="43">
        <f t="shared" si="1"/>
        <v>7.0145591701376547E-2</v>
      </c>
      <c r="E92" s="40"/>
    </row>
    <row r="93" spans="1:5" x14ac:dyDescent="0.35">
      <c r="A93" s="35">
        <v>42308</v>
      </c>
      <c r="B93" s="36">
        <v>2937.85</v>
      </c>
      <c r="C93" s="37">
        <v>2897.83</v>
      </c>
      <c r="D93" s="43">
        <f t="shared" si="1"/>
        <v>-7.178549235411319E-2</v>
      </c>
      <c r="E93" s="37"/>
    </row>
    <row r="94" spans="1:5" x14ac:dyDescent="0.35">
      <c r="A94" s="38">
        <v>42277</v>
      </c>
      <c r="B94" s="39">
        <v>3073.12</v>
      </c>
      <c r="C94" s="40">
        <v>3121.94</v>
      </c>
      <c r="D94" s="43">
        <f t="shared" si="1"/>
        <v>6.7201960594628187E-3</v>
      </c>
      <c r="E94" s="40"/>
    </row>
    <row r="95" spans="1:5" x14ac:dyDescent="0.35">
      <c r="A95" s="35">
        <v>42247</v>
      </c>
      <c r="B95" s="36">
        <v>3023.29</v>
      </c>
      <c r="C95" s="37">
        <v>3101.1</v>
      </c>
      <c r="D95" s="43">
        <f t="shared" si="1"/>
        <v>8.2015603410978202E-2</v>
      </c>
      <c r="E95" s="37"/>
    </row>
    <row r="96" spans="1:5" x14ac:dyDescent="0.35">
      <c r="A96" s="38">
        <v>42216</v>
      </c>
      <c r="B96" s="39">
        <v>2731.9</v>
      </c>
      <c r="C96" s="40">
        <v>2866.04</v>
      </c>
      <c r="D96" s="43">
        <f t="shared" si="1"/>
        <v>0.10867235823620651</v>
      </c>
      <c r="E96" s="40"/>
    </row>
    <row r="97" spans="1:5" x14ac:dyDescent="0.35">
      <c r="A97" s="35">
        <v>42185</v>
      </c>
      <c r="B97" s="36">
        <v>2554.94</v>
      </c>
      <c r="C97" s="37">
        <v>2585.11</v>
      </c>
      <c r="D97" s="43">
        <f t="shared" si="1"/>
        <v>2.0254243642922328E-2</v>
      </c>
      <c r="E97" s="37"/>
    </row>
    <row r="98" spans="1:5" x14ac:dyDescent="0.35">
      <c r="A98" s="38">
        <v>42155</v>
      </c>
      <c r="B98" s="39">
        <v>2439.09</v>
      </c>
      <c r="C98" s="40">
        <v>2533.79</v>
      </c>
      <c r="D98" s="43">
        <f t="shared" si="1"/>
        <v>6.1024429871946277E-2</v>
      </c>
      <c r="E98" s="40"/>
    </row>
    <row r="99" spans="1:5" x14ac:dyDescent="0.35">
      <c r="A99" s="35">
        <v>42124</v>
      </c>
      <c r="B99" s="36">
        <v>2495.36</v>
      </c>
      <c r="C99" s="37">
        <v>2388.06</v>
      </c>
      <c r="D99" s="43">
        <f t="shared" si="1"/>
        <v>-7.297606801110236E-2</v>
      </c>
      <c r="E99" s="37"/>
    </row>
    <row r="100" spans="1:5" x14ac:dyDescent="0.35">
      <c r="A100" s="38">
        <v>42094</v>
      </c>
      <c r="B100" s="39">
        <v>2586.58</v>
      </c>
      <c r="C100" s="40">
        <v>2576.0500000000002</v>
      </c>
      <c r="D100" s="43">
        <f t="shared" si="1"/>
        <v>3.166212119391764E-2</v>
      </c>
      <c r="E100" s="40"/>
    </row>
    <row r="101" spans="1:5" x14ac:dyDescent="0.35">
      <c r="A101" s="35">
        <v>42063</v>
      </c>
      <c r="B101" s="36">
        <v>2420.38</v>
      </c>
      <c r="C101" s="37">
        <v>2496.9899999999998</v>
      </c>
      <c r="D101" s="43">
        <f t="shared" si="1"/>
        <v>2.2895416000983111E-2</v>
      </c>
      <c r="E101" s="37"/>
    </row>
    <row r="102" spans="1:5" x14ac:dyDescent="0.35">
      <c r="A102" s="38">
        <v>42035</v>
      </c>
      <c r="B102" s="39">
        <v>2397.69</v>
      </c>
      <c r="C102" s="40">
        <v>2441.1</v>
      </c>
      <c r="D102" s="43">
        <f t="shared" si="1"/>
        <v>2.0330538441603985E-2</v>
      </c>
      <c r="E102" s="40"/>
    </row>
    <row r="103" spans="1:5" x14ac:dyDescent="0.35">
      <c r="A103" s="35">
        <v>42004</v>
      </c>
      <c r="B103" s="36">
        <v>2344.23</v>
      </c>
      <c r="C103" s="37">
        <v>2392.46</v>
      </c>
      <c r="D103" s="43">
        <f t="shared" si="1"/>
        <v>8.4430624742202615E-2</v>
      </c>
      <c r="E103" s="37"/>
    </row>
    <row r="104" spans="1:5" x14ac:dyDescent="0.35">
      <c r="A104" s="38">
        <v>41973</v>
      </c>
      <c r="B104" s="39">
        <v>2127.25</v>
      </c>
      <c r="C104" s="40">
        <v>2206.19</v>
      </c>
      <c r="D104" s="43">
        <f t="shared" si="1"/>
        <v>7.5917328287458827E-2</v>
      </c>
      <c r="E104" s="40"/>
    </row>
    <row r="105" spans="1:5" x14ac:dyDescent="0.35">
      <c r="A105" s="35">
        <v>41943</v>
      </c>
      <c r="B105" s="36">
        <v>2047.03</v>
      </c>
      <c r="C105" s="37">
        <v>2050.52</v>
      </c>
      <c r="D105" s="43">
        <f t="shared" si="1"/>
        <v>1.0865278435084381E-2</v>
      </c>
      <c r="E105" s="37"/>
    </row>
    <row r="106" spans="1:5" x14ac:dyDescent="0.35">
      <c r="A106" s="38">
        <v>41912</v>
      </c>
      <c r="B106" s="39">
        <v>1971.34</v>
      </c>
      <c r="C106" s="40">
        <v>2028.48</v>
      </c>
      <c r="D106" s="43">
        <f t="shared" si="1"/>
        <v>5.7259905557119246E-2</v>
      </c>
      <c r="E106" s="40"/>
    </row>
    <row r="107" spans="1:5" x14ac:dyDescent="0.35">
      <c r="A107" s="35">
        <v>41882</v>
      </c>
      <c r="B107" s="36">
        <v>1899.07</v>
      </c>
      <c r="C107" s="37">
        <v>1918.62</v>
      </c>
      <c r="D107" s="43">
        <f t="shared" si="1"/>
        <v>2.4668478928451171E-2</v>
      </c>
      <c r="E107" s="37"/>
    </row>
    <row r="108" spans="1:5" x14ac:dyDescent="0.35">
      <c r="A108" s="38">
        <v>41851</v>
      </c>
      <c r="B108" s="39">
        <v>1858.4</v>
      </c>
      <c r="C108" s="40">
        <v>1872.43</v>
      </c>
      <c r="D108" s="43">
        <f t="shared" si="1"/>
        <v>-4.656626922320441E-3</v>
      </c>
      <c r="E108" s="40"/>
    </row>
    <row r="109" spans="1:5" x14ac:dyDescent="0.35">
      <c r="A109" s="35">
        <v>41820</v>
      </c>
      <c r="B109" s="36">
        <v>1888.1</v>
      </c>
      <c r="C109" s="37">
        <v>1881.19</v>
      </c>
      <c r="D109" s="43">
        <f t="shared" si="1"/>
        <v>-1.0233395066924849E-2</v>
      </c>
      <c r="E109" s="37"/>
    </row>
    <row r="110" spans="1:5" x14ac:dyDescent="0.35">
      <c r="A110" s="38">
        <v>41790</v>
      </c>
      <c r="B110" s="39">
        <v>1915.46</v>
      </c>
      <c r="C110" s="40">
        <v>1900.64</v>
      </c>
      <c r="D110" s="43">
        <f t="shared" si="1"/>
        <v>-1.7828167471087362E-2</v>
      </c>
      <c r="E110" s="40"/>
    </row>
    <row r="111" spans="1:5" x14ac:dyDescent="0.35">
      <c r="A111" s="35">
        <v>41759</v>
      </c>
      <c r="B111" s="36">
        <v>1939.27</v>
      </c>
      <c r="C111" s="37">
        <v>1935.14</v>
      </c>
      <c r="D111" s="43">
        <f t="shared" si="1"/>
        <v>-1.5356277858058655E-2</v>
      </c>
      <c r="E111" s="37"/>
    </row>
    <row r="112" spans="1:5" x14ac:dyDescent="0.35">
      <c r="A112" s="38">
        <v>41729</v>
      </c>
      <c r="B112" s="39">
        <v>2022.19</v>
      </c>
      <c r="C112" s="40">
        <v>1965.32</v>
      </c>
      <c r="D112" s="43">
        <f t="shared" si="1"/>
        <v>-4.3593362207406762E-2</v>
      </c>
      <c r="E112" s="40"/>
    </row>
    <row r="113" spans="1:5" x14ac:dyDescent="0.35">
      <c r="A113" s="35">
        <v>41698</v>
      </c>
      <c r="B113" s="36">
        <v>2040.51</v>
      </c>
      <c r="C113" s="37">
        <v>2054.9</v>
      </c>
      <c r="D113" s="43">
        <f t="shared" si="1"/>
        <v>2.3224084530887486E-2</v>
      </c>
      <c r="E113" s="37"/>
    </row>
    <row r="114" spans="1:5" x14ac:dyDescent="0.35">
      <c r="A114" s="38">
        <v>41670</v>
      </c>
      <c r="B114" s="39">
        <v>1960.41</v>
      </c>
      <c r="C114" s="40">
        <v>2008.26</v>
      </c>
      <c r="D114" s="43">
        <f t="shared" si="1"/>
        <v>4.226112319197857E-2</v>
      </c>
      <c r="E114" s="40"/>
    </row>
    <row r="115" spans="1:5" x14ac:dyDescent="0.35">
      <c r="A115" s="35">
        <v>41639</v>
      </c>
      <c r="B115" s="36">
        <v>1934.08</v>
      </c>
      <c r="C115" s="37">
        <v>1926.83</v>
      </c>
      <c r="D115" s="43">
        <f t="shared" si="1"/>
        <v>-2.6140339979709823E-3</v>
      </c>
      <c r="E115" s="37"/>
    </row>
    <row r="116" spans="1:5" x14ac:dyDescent="0.35">
      <c r="A116" s="38">
        <v>41608</v>
      </c>
      <c r="B116" s="39">
        <v>1922.14</v>
      </c>
      <c r="C116" s="40">
        <v>1931.88</v>
      </c>
      <c r="D116" s="43">
        <f t="shared" si="1"/>
        <v>2.5381357281615322E-2</v>
      </c>
      <c r="E116" s="40"/>
    </row>
    <row r="117" spans="1:5" x14ac:dyDescent="0.35">
      <c r="A117" s="35">
        <v>41578</v>
      </c>
      <c r="B117" s="36">
        <v>1885.91</v>
      </c>
      <c r="C117" s="37">
        <v>1884.06</v>
      </c>
      <c r="D117" s="43">
        <f t="shared" si="1"/>
        <v>-1.5976810383098814E-2</v>
      </c>
      <c r="E117" s="37"/>
    </row>
    <row r="118" spans="1:5" x14ac:dyDescent="0.35">
      <c r="A118" s="38">
        <v>41547</v>
      </c>
      <c r="B118" s="39">
        <v>1919.4</v>
      </c>
      <c r="C118" s="40">
        <v>1914.65</v>
      </c>
      <c r="D118" s="43">
        <f t="shared" si="1"/>
        <v>-1.0736632169595372E-2</v>
      </c>
      <c r="E118" s="40"/>
    </row>
    <row r="119" spans="1:5" x14ac:dyDescent="0.35">
      <c r="A119" s="35">
        <v>41517</v>
      </c>
      <c r="B119" s="36">
        <v>1903.66</v>
      </c>
      <c r="C119" s="37">
        <v>1935.43</v>
      </c>
      <c r="D119" s="43">
        <f t="shared" si="1"/>
        <v>2.3858268133077367E-2</v>
      </c>
      <c r="E119" s="37"/>
    </row>
    <row r="120" spans="1:5" x14ac:dyDescent="0.35">
      <c r="A120" s="38">
        <v>41486</v>
      </c>
      <c r="B120" s="39">
        <v>1900.59</v>
      </c>
      <c r="C120" s="40">
        <v>1890.33</v>
      </c>
      <c r="D120" s="43">
        <f t="shared" si="1"/>
        <v>-2.0046656298600349E-2</v>
      </c>
      <c r="E120" s="40"/>
    </row>
    <row r="121" spans="1:5" x14ac:dyDescent="0.35">
      <c r="A121" s="35">
        <v>41455</v>
      </c>
      <c r="B121" s="36">
        <v>1909.5</v>
      </c>
      <c r="C121" s="37">
        <v>1929</v>
      </c>
      <c r="D121" s="43">
        <f t="shared" si="1"/>
        <v>1.9836318649946064E-2</v>
      </c>
      <c r="E121" s="37"/>
    </row>
    <row r="122" spans="1:5" x14ac:dyDescent="0.35">
      <c r="A122" s="38">
        <v>41425</v>
      </c>
      <c r="B122" s="39">
        <v>1850.12</v>
      </c>
      <c r="C122" s="40">
        <v>1891.48</v>
      </c>
      <c r="D122" s="43">
        <f t="shared" si="1"/>
        <v>3.4279496278960438E-2</v>
      </c>
      <c r="E122" s="40"/>
    </row>
    <row r="123" spans="1:5" x14ac:dyDescent="0.35">
      <c r="A123" s="35">
        <v>41394</v>
      </c>
      <c r="B123" s="36">
        <v>1829.96</v>
      </c>
      <c r="C123" s="37">
        <v>1828.79</v>
      </c>
      <c r="D123" s="43">
        <f t="shared" si="1"/>
        <v>-1.8611505294182304E-3</v>
      </c>
      <c r="E123" s="37"/>
    </row>
    <row r="124" spans="1:5" x14ac:dyDescent="0.35">
      <c r="A124" s="38">
        <v>41364</v>
      </c>
      <c r="B124" s="39">
        <v>1809.89</v>
      </c>
      <c r="C124" s="40">
        <v>1832.2</v>
      </c>
      <c r="D124" s="43">
        <f t="shared" si="1"/>
        <v>8.6874181081467786E-3</v>
      </c>
      <c r="E124" s="40"/>
    </row>
    <row r="125" spans="1:5" x14ac:dyDescent="0.35">
      <c r="A125" s="35">
        <v>41333</v>
      </c>
      <c r="B125" s="36">
        <v>1791.48</v>
      </c>
      <c r="C125" s="37">
        <v>1816.42</v>
      </c>
      <c r="D125" s="43">
        <f t="shared" si="1"/>
        <v>2.4350905686765505E-2</v>
      </c>
      <c r="E125" s="37"/>
    </row>
    <row r="126" spans="1:5" x14ac:dyDescent="0.35">
      <c r="A126" s="38">
        <v>41305</v>
      </c>
      <c r="B126" s="39">
        <v>1770.01</v>
      </c>
      <c r="C126" s="40">
        <v>1773.24</v>
      </c>
      <c r="D126" s="43">
        <f t="shared" si="1"/>
        <v>2.8333418163926588E-3</v>
      </c>
      <c r="E126" s="40"/>
    </row>
    <row r="127" spans="1:5" x14ac:dyDescent="0.35">
      <c r="A127" s="35">
        <v>41274</v>
      </c>
      <c r="B127" s="36">
        <v>1793.94</v>
      </c>
      <c r="C127" s="37">
        <v>1768.23</v>
      </c>
      <c r="D127" s="43">
        <f t="shared" si="1"/>
        <v>-2.7338786421919462E-2</v>
      </c>
      <c r="E127" s="37"/>
    </row>
    <row r="128" spans="1:5" x14ac:dyDescent="0.35">
      <c r="A128" s="38">
        <v>41243</v>
      </c>
      <c r="B128" s="39">
        <v>1820.29</v>
      </c>
      <c r="C128" s="40">
        <v>1817.93</v>
      </c>
      <c r="D128" s="43">
        <f t="shared" si="1"/>
        <v>-6.5359119947100844E-3</v>
      </c>
      <c r="E128" s="40"/>
    </row>
    <row r="129" spans="1:5" x14ac:dyDescent="0.35">
      <c r="A129" s="35">
        <v>41213</v>
      </c>
      <c r="B129" s="36">
        <v>1804.97</v>
      </c>
      <c r="C129" s="37">
        <v>1829.89</v>
      </c>
      <c r="D129" s="43">
        <f t="shared" si="1"/>
        <v>1.6311954324306377E-2</v>
      </c>
      <c r="E129" s="37"/>
    </row>
    <row r="130" spans="1:5" x14ac:dyDescent="0.35">
      <c r="A130" s="38">
        <v>41182</v>
      </c>
      <c r="B130" s="39">
        <v>1803.18</v>
      </c>
      <c r="C130" s="40">
        <v>1800.52</v>
      </c>
      <c r="D130" s="43">
        <f t="shared" si="1"/>
        <v>-1.6378038787216616E-2</v>
      </c>
      <c r="E130" s="40"/>
    </row>
    <row r="131" spans="1:5" x14ac:dyDescent="0.35">
      <c r="A131" s="35">
        <v>41152</v>
      </c>
      <c r="B131" s="36">
        <v>1806.34</v>
      </c>
      <c r="C131" s="37">
        <v>1830.5</v>
      </c>
      <c r="D131" s="43">
        <f t="shared" si="1"/>
        <v>2.3185878302087185E-2</v>
      </c>
      <c r="E131" s="37"/>
    </row>
    <row r="132" spans="1:5" x14ac:dyDescent="0.35">
      <c r="A132" s="38">
        <v>41121</v>
      </c>
      <c r="B132" s="39">
        <v>1784.43</v>
      </c>
      <c r="C132" s="40">
        <v>1789.02</v>
      </c>
      <c r="D132" s="43">
        <f t="shared" si="1"/>
        <v>2.4767454891852923E-3</v>
      </c>
      <c r="E132" s="40"/>
    </row>
    <row r="133" spans="1:5" x14ac:dyDescent="0.35">
      <c r="A133" s="35">
        <v>41090</v>
      </c>
      <c r="B133" s="36">
        <v>1792.63</v>
      </c>
      <c r="C133" s="37">
        <v>1784.6</v>
      </c>
      <c r="D133" s="43">
        <f t="shared" si="1"/>
        <v>-2.3650995989780241E-2</v>
      </c>
      <c r="E133" s="37"/>
    </row>
    <row r="134" spans="1:5" x14ac:dyDescent="0.35">
      <c r="A134" s="38">
        <v>41060</v>
      </c>
      <c r="B134" s="39">
        <v>1793.28</v>
      </c>
      <c r="C134" s="40">
        <v>1827.83</v>
      </c>
      <c r="D134" s="43">
        <f t="shared" si="1"/>
        <v>3.7832159890983354E-2</v>
      </c>
      <c r="E134" s="40"/>
    </row>
    <row r="135" spans="1:5" x14ac:dyDescent="0.35">
      <c r="A135" s="35">
        <v>41029</v>
      </c>
      <c r="B135" s="36">
        <v>1775.06</v>
      </c>
      <c r="C135" s="37">
        <v>1761.2</v>
      </c>
      <c r="D135" s="43">
        <f t="shared" si="1"/>
        <v>-1.7225889613686905E-2</v>
      </c>
      <c r="E135" s="37"/>
    </row>
    <row r="136" spans="1:5" x14ac:dyDescent="0.35">
      <c r="A136" s="38">
        <v>40999</v>
      </c>
      <c r="B136" s="39">
        <v>1766.34</v>
      </c>
      <c r="C136" s="40">
        <v>1792.07</v>
      </c>
      <c r="D136" s="43">
        <f t="shared" si="1"/>
        <v>1.3711725674980066E-2</v>
      </c>
      <c r="E136" s="40"/>
    </row>
    <row r="137" spans="1:5" x14ac:dyDescent="0.35">
      <c r="A137" s="35">
        <v>40968</v>
      </c>
      <c r="B137" s="36">
        <v>1783.56</v>
      </c>
      <c r="C137" s="37">
        <v>1767.83</v>
      </c>
      <c r="D137" s="43">
        <f t="shared" si="1"/>
        <v>-2.6031910439209292E-2</v>
      </c>
      <c r="E137" s="37"/>
    </row>
    <row r="138" spans="1:5" x14ac:dyDescent="0.35">
      <c r="A138" s="38">
        <v>40939</v>
      </c>
      <c r="B138" s="39">
        <v>1852.12</v>
      </c>
      <c r="C138" s="40">
        <v>1815.08</v>
      </c>
      <c r="D138" s="43">
        <f t="shared" ref="D138:D201" si="2">(C138-C139)/C139</f>
        <v>-6.5692078035723536E-2</v>
      </c>
      <c r="E138" s="40"/>
    </row>
    <row r="139" spans="1:5" x14ac:dyDescent="0.35">
      <c r="A139" s="35">
        <v>40908</v>
      </c>
      <c r="B139" s="36">
        <v>1934.08</v>
      </c>
      <c r="C139" s="37">
        <v>1942.7</v>
      </c>
      <c r="D139" s="43">
        <f t="shared" si="2"/>
        <v>-1.2444209477526214E-2</v>
      </c>
      <c r="E139" s="37"/>
    </row>
    <row r="140" spans="1:5" x14ac:dyDescent="0.35">
      <c r="A140" s="38">
        <v>40877</v>
      </c>
      <c r="B140" s="39">
        <v>1918.21</v>
      </c>
      <c r="C140" s="40">
        <v>1967.18</v>
      </c>
      <c r="D140" s="43">
        <f t="shared" si="2"/>
        <v>5.5886552231275491E-2</v>
      </c>
      <c r="E140" s="40"/>
    </row>
    <row r="141" spans="1:5" x14ac:dyDescent="0.35">
      <c r="A141" s="35">
        <v>40847</v>
      </c>
      <c r="B141" s="36">
        <v>1910.38</v>
      </c>
      <c r="C141" s="37">
        <v>1863.06</v>
      </c>
      <c r="D141" s="43">
        <f t="shared" si="2"/>
        <v>-2.7173515743303202E-2</v>
      </c>
      <c r="E141" s="37"/>
    </row>
    <row r="142" spans="1:5" x14ac:dyDescent="0.35">
      <c r="A142" s="38">
        <v>40816</v>
      </c>
      <c r="B142" s="39">
        <v>1836.15</v>
      </c>
      <c r="C142" s="40">
        <v>1915.1</v>
      </c>
      <c r="D142" s="43">
        <f t="shared" si="2"/>
        <v>7.3691174326945622E-2</v>
      </c>
      <c r="E142" s="40"/>
    </row>
    <row r="143" spans="1:5" x14ac:dyDescent="0.35">
      <c r="A143" s="35">
        <v>40786</v>
      </c>
      <c r="B143" s="36">
        <v>1785.04</v>
      </c>
      <c r="C143" s="37">
        <v>1783.66</v>
      </c>
      <c r="D143" s="43">
        <f t="shared" si="2"/>
        <v>3.2849219831029832E-3</v>
      </c>
      <c r="E143" s="37"/>
    </row>
    <row r="144" spans="1:5" x14ac:dyDescent="0.35">
      <c r="A144" s="38">
        <v>40755</v>
      </c>
      <c r="B144" s="39">
        <v>1761.75</v>
      </c>
      <c r="C144" s="40">
        <v>1777.82</v>
      </c>
      <c r="D144" s="43">
        <f t="shared" si="2"/>
        <v>-1.3144885852957855E-3</v>
      </c>
      <c r="E144" s="40"/>
    </row>
    <row r="145" spans="1:5" x14ac:dyDescent="0.35">
      <c r="A145" s="35">
        <v>40724</v>
      </c>
      <c r="B145" s="36">
        <v>1782.54</v>
      </c>
      <c r="C145" s="37">
        <v>1780.16</v>
      </c>
      <c r="D145" s="43">
        <f t="shared" si="2"/>
        <v>-2.0458472272662155E-2</v>
      </c>
      <c r="E145" s="37"/>
    </row>
    <row r="146" spans="1:5" x14ac:dyDescent="0.35">
      <c r="A146" s="38">
        <v>40694</v>
      </c>
      <c r="B146" s="39">
        <v>1801.65</v>
      </c>
      <c r="C146" s="40">
        <v>1817.34</v>
      </c>
      <c r="D146" s="43">
        <f t="shared" si="2"/>
        <v>2.7796786544432364E-2</v>
      </c>
      <c r="E146" s="40"/>
    </row>
    <row r="147" spans="1:5" x14ac:dyDescent="0.35">
      <c r="A147" s="35">
        <v>40663</v>
      </c>
      <c r="B147" s="36">
        <v>1812.77</v>
      </c>
      <c r="C147" s="37">
        <v>1768.19</v>
      </c>
      <c r="D147" s="43">
        <f t="shared" si="2"/>
        <v>-5.9208181029758375E-2</v>
      </c>
      <c r="E147" s="37"/>
    </row>
    <row r="148" spans="1:5" x14ac:dyDescent="0.35">
      <c r="A148" s="38">
        <v>40633</v>
      </c>
      <c r="B148" s="39">
        <v>1884.38</v>
      </c>
      <c r="C148" s="40">
        <v>1879.47</v>
      </c>
      <c r="D148" s="43">
        <f t="shared" si="2"/>
        <v>-8.4882567684483306E-3</v>
      </c>
      <c r="E148" s="40"/>
    </row>
    <row r="149" spans="1:5" x14ac:dyDescent="0.35">
      <c r="A149" s="35">
        <v>40602</v>
      </c>
      <c r="B149" s="36">
        <v>1882.61</v>
      </c>
      <c r="C149" s="37">
        <v>1895.56</v>
      </c>
      <c r="D149" s="43">
        <f t="shared" si="2"/>
        <v>2.0226267236461065E-2</v>
      </c>
      <c r="E149" s="37"/>
    </row>
    <row r="150" spans="1:5" x14ac:dyDescent="0.35">
      <c r="A150" s="38">
        <v>40574</v>
      </c>
      <c r="B150" s="39">
        <v>1866.64</v>
      </c>
      <c r="C150" s="40">
        <v>1857.98</v>
      </c>
      <c r="D150" s="43">
        <f t="shared" si="2"/>
        <v>-2.9258403954064306E-2</v>
      </c>
      <c r="E150" s="40"/>
    </row>
    <row r="151" spans="1:5" x14ac:dyDescent="0.35">
      <c r="A151" s="35">
        <v>40543</v>
      </c>
      <c r="B151" s="36">
        <v>1925.86</v>
      </c>
      <c r="C151" s="37">
        <v>1913.98</v>
      </c>
      <c r="D151" s="43">
        <f t="shared" si="2"/>
        <v>-1.5545446957683092E-3</v>
      </c>
      <c r="E151" s="37"/>
    </row>
    <row r="152" spans="1:5" x14ac:dyDescent="0.35">
      <c r="A152" s="38">
        <v>40512</v>
      </c>
      <c r="B152" s="39">
        <v>1863.67</v>
      </c>
      <c r="C152" s="40">
        <v>1916.96</v>
      </c>
      <c r="D152" s="43">
        <f t="shared" si="2"/>
        <v>4.6581205913825821E-2</v>
      </c>
      <c r="E152" s="40"/>
    </row>
    <row r="153" spans="1:5" x14ac:dyDescent="0.35">
      <c r="A153" s="35">
        <v>40482</v>
      </c>
      <c r="B153" s="36">
        <v>1808.46</v>
      </c>
      <c r="C153" s="37">
        <v>1831.64</v>
      </c>
      <c r="D153" s="43">
        <f t="shared" si="2"/>
        <v>1.7639966886865307E-2</v>
      </c>
      <c r="E153" s="37"/>
    </row>
    <row r="154" spans="1:5" x14ac:dyDescent="0.35">
      <c r="A154" s="38">
        <v>40451</v>
      </c>
      <c r="B154" s="39">
        <v>1805.6</v>
      </c>
      <c r="C154" s="40">
        <v>1799.89</v>
      </c>
      <c r="D154" s="43">
        <f t="shared" si="2"/>
        <v>-1.3077522015199485E-2</v>
      </c>
      <c r="E154" s="40"/>
    </row>
    <row r="155" spans="1:5" x14ac:dyDescent="0.35">
      <c r="A155" s="35">
        <v>40421</v>
      </c>
      <c r="B155" s="36">
        <v>1819.06</v>
      </c>
      <c r="C155" s="37">
        <v>1823.74</v>
      </c>
      <c r="D155" s="43">
        <f t="shared" si="2"/>
        <v>-1.0337585943053715E-2</v>
      </c>
      <c r="E155" s="37"/>
    </row>
    <row r="156" spans="1:5" x14ac:dyDescent="0.35">
      <c r="A156" s="38">
        <v>40390</v>
      </c>
      <c r="B156" s="39">
        <v>1874.52</v>
      </c>
      <c r="C156" s="40">
        <v>1842.79</v>
      </c>
      <c r="D156" s="43">
        <f t="shared" si="2"/>
        <v>-3.8440666645794888E-2</v>
      </c>
      <c r="E156" s="40"/>
    </row>
    <row r="157" spans="1:5" x14ac:dyDescent="0.35">
      <c r="A157" s="35">
        <v>40359</v>
      </c>
      <c r="B157" s="36">
        <v>1925.9</v>
      </c>
      <c r="C157" s="37">
        <v>1916.46</v>
      </c>
      <c r="D157" s="43">
        <f t="shared" si="2"/>
        <v>-2.7942481803656979E-2</v>
      </c>
      <c r="E157" s="37"/>
    </row>
    <row r="158" spans="1:5" x14ac:dyDescent="0.35">
      <c r="A158" s="38">
        <v>40329</v>
      </c>
      <c r="B158" s="39">
        <v>1984.36</v>
      </c>
      <c r="C158" s="40">
        <v>1971.55</v>
      </c>
      <c r="D158" s="43">
        <f t="shared" si="2"/>
        <v>9.1382155095822034E-4</v>
      </c>
      <c r="E158" s="40"/>
    </row>
    <row r="159" spans="1:5" x14ac:dyDescent="0.35">
      <c r="A159" s="35">
        <v>40298</v>
      </c>
      <c r="B159" s="36">
        <v>1940.36</v>
      </c>
      <c r="C159" s="37">
        <v>1969.75</v>
      </c>
      <c r="D159" s="43">
        <f t="shared" si="2"/>
        <v>2.1342016706505831E-2</v>
      </c>
      <c r="E159" s="37"/>
    </row>
    <row r="160" spans="1:5" x14ac:dyDescent="0.35">
      <c r="A160" s="38">
        <v>40268</v>
      </c>
      <c r="B160" s="39">
        <v>1909.1</v>
      </c>
      <c r="C160" s="40">
        <v>1928.59</v>
      </c>
      <c r="D160" s="43">
        <f t="shared" si="2"/>
        <v>-1.930322099859246E-3</v>
      </c>
      <c r="E160" s="40"/>
    </row>
    <row r="161" spans="1:5" x14ac:dyDescent="0.35">
      <c r="A161" s="35">
        <v>40237</v>
      </c>
      <c r="B161" s="36">
        <v>1952.89</v>
      </c>
      <c r="C161" s="37">
        <v>1932.32</v>
      </c>
      <c r="D161" s="43">
        <f t="shared" si="2"/>
        <v>-2.5208218777272764E-2</v>
      </c>
      <c r="E161" s="37"/>
    </row>
    <row r="162" spans="1:5" x14ac:dyDescent="0.35">
      <c r="A162" s="38">
        <v>40209</v>
      </c>
      <c r="B162" s="39">
        <v>1978.19</v>
      </c>
      <c r="C162" s="40">
        <v>1982.29</v>
      </c>
      <c r="D162" s="43">
        <f t="shared" si="2"/>
        <v>-3.0299917328285002E-2</v>
      </c>
      <c r="E162" s="40"/>
    </row>
    <row r="163" spans="1:5" x14ac:dyDescent="0.35">
      <c r="A163" s="35">
        <v>40178</v>
      </c>
      <c r="B163" s="36">
        <v>2017.05</v>
      </c>
      <c r="C163" s="37">
        <v>2044.23</v>
      </c>
      <c r="D163" s="43">
        <f t="shared" si="2"/>
        <v>2.3409613160648216E-2</v>
      </c>
      <c r="E163" s="37"/>
    </row>
    <row r="164" spans="1:5" x14ac:dyDescent="0.35">
      <c r="A164" s="38">
        <v>40147</v>
      </c>
      <c r="B164" s="39">
        <v>1973.57</v>
      </c>
      <c r="C164" s="40">
        <v>1997.47</v>
      </c>
      <c r="D164" s="43">
        <f t="shared" si="2"/>
        <v>1.8407061891865147E-3</v>
      </c>
      <c r="E164" s="40"/>
    </row>
    <row r="165" spans="1:5" x14ac:dyDescent="0.35">
      <c r="A165" s="35">
        <v>40117</v>
      </c>
      <c r="B165" s="36">
        <v>1904.86</v>
      </c>
      <c r="C165" s="37">
        <v>1993.8</v>
      </c>
      <c r="D165" s="43">
        <f t="shared" si="2"/>
        <v>3.7356919875130047E-2</v>
      </c>
      <c r="E165" s="37"/>
    </row>
    <row r="166" spans="1:5" x14ac:dyDescent="0.35">
      <c r="A166" s="38">
        <v>40086</v>
      </c>
      <c r="B166" s="39">
        <v>1980.77</v>
      </c>
      <c r="C166" s="40">
        <v>1922</v>
      </c>
      <c r="D166" s="43">
        <f t="shared" si="2"/>
        <v>-5.5528255528255528E-2</v>
      </c>
      <c r="E166" s="40"/>
    </row>
    <row r="167" spans="1:5" x14ac:dyDescent="0.35">
      <c r="A167" s="35">
        <v>40056</v>
      </c>
      <c r="B167" s="36">
        <v>2018.97</v>
      </c>
      <c r="C167" s="37">
        <v>2035</v>
      </c>
      <c r="D167" s="43">
        <f t="shared" si="2"/>
        <v>-4.0961744569020251E-3</v>
      </c>
      <c r="E167" s="37"/>
    </row>
    <row r="168" spans="1:5" x14ac:dyDescent="0.35">
      <c r="A168" s="38">
        <v>40025</v>
      </c>
      <c r="B168" s="39">
        <v>2052.6799999999998</v>
      </c>
      <c r="C168" s="40">
        <v>2043.37</v>
      </c>
      <c r="D168" s="43">
        <f t="shared" si="2"/>
        <v>-5.3412517892961954E-2</v>
      </c>
      <c r="E168" s="40"/>
    </row>
    <row r="169" spans="1:5" x14ac:dyDescent="0.35">
      <c r="A169" s="35">
        <v>39994</v>
      </c>
      <c r="B169" s="36">
        <v>2090.04</v>
      </c>
      <c r="C169" s="37">
        <v>2158.67</v>
      </c>
      <c r="D169" s="43">
        <f t="shared" si="2"/>
        <v>8.4132930965217356E-3</v>
      </c>
      <c r="E169" s="37"/>
    </row>
    <row r="170" spans="1:5" x14ac:dyDescent="0.35">
      <c r="A170" s="38">
        <v>39964</v>
      </c>
      <c r="B170" s="39">
        <v>2229.9499999999998</v>
      </c>
      <c r="C170" s="40">
        <v>2140.66</v>
      </c>
      <c r="D170" s="43">
        <f t="shared" si="2"/>
        <v>-6.5103745856498432E-2</v>
      </c>
      <c r="E170" s="40"/>
    </row>
    <row r="171" spans="1:5" x14ac:dyDescent="0.35">
      <c r="A171" s="35">
        <v>39933</v>
      </c>
      <c r="B171" s="36">
        <v>2379.36</v>
      </c>
      <c r="C171" s="37">
        <v>2289.73</v>
      </c>
      <c r="D171" s="43">
        <f t="shared" si="2"/>
        <v>-0.10599677496183445</v>
      </c>
      <c r="E171" s="37"/>
    </row>
    <row r="172" spans="1:5" x14ac:dyDescent="0.35">
      <c r="A172" s="38">
        <v>39903</v>
      </c>
      <c r="B172" s="39">
        <v>2477.21</v>
      </c>
      <c r="C172" s="40">
        <v>2561.21</v>
      </c>
      <c r="D172" s="43">
        <f t="shared" si="2"/>
        <v>2.0814667297889048E-3</v>
      </c>
      <c r="E172" s="40"/>
    </row>
    <row r="173" spans="1:5" x14ac:dyDescent="0.35">
      <c r="A173" s="35">
        <v>39872</v>
      </c>
      <c r="B173" s="36">
        <v>2513.7399999999998</v>
      </c>
      <c r="C173" s="37">
        <v>2555.89</v>
      </c>
      <c r="D173" s="43">
        <f t="shared" si="2"/>
        <v>5.6039433779841684E-2</v>
      </c>
      <c r="E173" s="37"/>
    </row>
    <row r="174" spans="1:5" x14ac:dyDescent="0.35">
      <c r="A174" s="38">
        <v>39844</v>
      </c>
      <c r="B174" s="39">
        <v>2252.98</v>
      </c>
      <c r="C174" s="40">
        <v>2420.2600000000002</v>
      </c>
      <c r="D174" s="43">
        <f t="shared" si="2"/>
        <v>7.8744333857790449E-2</v>
      </c>
      <c r="E174" s="40"/>
    </row>
    <row r="175" spans="1:5" x14ac:dyDescent="0.35">
      <c r="A175" s="35">
        <v>39813</v>
      </c>
      <c r="B175" s="36">
        <v>2252.7199999999998</v>
      </c>
      <c r="C175" s="37">
        <v>2243.59</v>
      </c>
      <c r="D175" s="43">
        <f t="shared" si="2"/>
        <v>-3.2100949094046531E-2</v>
      </c>
      <c r="E175" s="37"/>
    </row>
    <row r="176" spans="1:5" x14ac:dyDescent="0.35">
      <c r="A176" s="38">
        <v>39782</v>
      </c>
      <c r="B176" s="39">
        <v>2329.16</v>
      </c>
      <c r="C176" s="40">
        <v>2318</v>
      </c>
      <c r="D176" s="43">
        <f t="shared" si="2"/>
        <v>-1.7596799349020132E-2</v>
      </c>
      <c r="E176" s="40"/>
    </row>
    <row r="177" spans="1:5" x14ac:dyDescent="0.35">
      <c r="A177" s="35">
        <v>39752</v>
      </c>
      <c r="B177" s="36">
        <v>2289.17</v>
      </c>
      <c r="C177" s="37">
        <v>2359.52</v>
      </c>
      <c r="D177" s="43">
        <f t="shared" si="2"/>
        <v>8.5026349431165035E-2</v>
      </c>
      <c r="E177" s="37"/>
    </row>
    <row r="178" spans="1:5" x14ac:dyDescent="0.35">
      <c r="A178" s="38">
        <v>39721</v>
      </c>
      <c r="B178" s="39">
        <v>2066.04</v>
      </c>
      <c r="C178" s="40">
        <v>2174.62</v>
      </c>
      <c r="D178" s="43">
        <f t="shared" si="2"/>
        <v>0.12546320256702195</v>
      </c>
      <c r="E178" s="40"/>
    </row>
    <row r="179" spans="1:5" x14ac:dyDescent="0.35">
      <c r="A179" s="35">
        <v>39691</v>
      </c>
      <c r="B179" s="36">
        <v>1844.29</v>
      </c>
      <c r="C179" s="37">
        <v>1932.2</v>
      </c>
      <c r="D179" s="43">
        <f t="shared" si="2"/>
        <v>7.8092219791992171E-2</v>
      </c>
      <c r="E179" s="37"/>
    </row>
    <row r="180" spans="1:5" x14ac:dyDescent="0.35">
      <c r="A180" s="38">
        <v>39660</v>
      </c>
      <c r="B180" s="39">
        <v>1783.09</v>
      </c>
      <c r="C180" s="40">
        <v>1792.24</v>
      </c>
      <c r="D180" s="43">
        <f t="shared" si="2"/>
        <v>-6.800761302534554E-2</v>
      </c>
      <c r="E180" s="40"/>
    </row>
    <row r="181" spans="1:5" x14ac:dyDescent="0.35">
      <c r="A181" s="35">
        <v>39629</v>
      </c>
      <c r="B181" s="36">
        <v>1712.28</v>
      </c>
      <c r="C181" s="37">
        <v>1923.02</v>
      </c>
      <c r="D181" s="43">
        <f t="shared" si="2"/>
        <v>0.10264276007591699</v>
      </c>
      <c r="E181" s="37"/>
    </row>
    <row r="182" spans="1:5" x14ac:dyDescent="0.35">
      <c r="A182" s="38">
        <v>39599</v>
      </c>
      <c r="B182" s="39">
        <v>1778.01</v>
      </c>
      <c r="C182" s="40">
        <v>1744.01</v>
      </c>
      <c r="D182" s="43">
        <f t="shared" si="2"/>
        <v>-2.0334679616449771E-2</v>
      </c>
      <c r="E182" s="40"/>
    </row>
    <row r="183" spans="1:5" x14ac:dyDescent="0.35">
      <c r="A183" s="35">
        <v>39568</v>
      </c>
      <c r="B183" s="36">
        <v>1796.13</v>
      </c>
      <c r="C183" s="37">
        <v>1780.21</v>
      </c>
      <c r="D183" s="43">
        <f t="shared" si="2"/>
        <v>-2.2721783047869936E-2</v>
      </c>
      <c r="E183" s="37"/>
    </row>
    <row r="184" spans="1:5" x14ac:dyDescent="0.35">
      <c r="A184" s="38">
        <v>39538</v>
      </c>
      <c r="B184" s="39">
        <v>1846.9</v>
      </c>
      <c r="C184" s="40">
        <v>1821.6</v>
      </c>
      <c r="D184" s="43">
        <f t="shared" si="2"/>
        <v>-1.192781475273787E-2</v>
      </c>
      <c r="E184" s="40"/>
    </row>
    <row r="185" spans="1:5" x14ac:dyDescent="0.35">
      <c r="A185" s="35">
        <v>39507</v>
      </c>
      <c r="B185" s="36">
        <v>1903.27</v>
      </c>
      <c r="C185" s="37">
        <v>1843.59</v>
      </c>
      <c r="D185" s="43">
        <f t="shared" si="2"/>
        <v>-4.9499896885955866E-2</v>
      </c>
      <c r="E185" s="37"/>
    </row>
    <row r="186" spans="1:5" x14ac:dyDescent="0.35">
      <c r="A186" s="38">
        <v>39478</v>
      </c>
      <c r="B186" s="39">
        <v>1980.59</v>
      </c>
      <c r="C186" s="40">
        <v>1939.6</v>
      </c>
      <c r="D186" s="43">
        <f t="shared" si="2"/>
        <v>-3.7304691377633106E-2</v>
      </c>
      <c r="E186" s="40"/>
    </row>
    <row r="187" spans="1:5" x14ac:dyDescent="0.35">
      <c r="A187" s="35">
        <v>39447</v>
      </c>
      <c r="B187" s="36">
        <v>2014.2014999999999</v>
      </c>
      <c r="C187" s="37">
        <v>2014.76</v>
      </c>
      <c r="D187" s="43">
        <f t="shared" si="2"/>
        <v>-2.2160530377301754E-2</v>
      </c>
      <c r="E187" s="37"/>
    </row>
    <row r="188" spans="1:5" x14ac:dyDescent="0.35">
      <c r="A188" s="38">
        <v>39416</v>
      </c>
      <c r="B188" s="39">
        <v>2047.72</v>
      </c>
      <c r="C188" s="40">
        <v>2060.42</v>
      </c>
      <c r="D188" s="43">
        <f t="shared" si="2"/>
        <v>3.0498539591085512E-2</v>
      </c>
      <c r="E188" s="40"/>
    </row>
    <row r="189" spans="1:5" x14ac:dyDescent="0.35">
      <c r="A189" s="35">
        <v>39386</v>
      </c>
      <c r="B189" s="36">
        <v>2003.26</v>
      </c>
      <c r="C189" s="37">
        <v>1999.44</v>
      </c>
      <c r="D189" s="43">
        <f t="shared" si="2"/>
        <v>-1.1738887598297738E-2</v>
      </c>
      <c r="E189" s="37"/>
    </row>
    <row r="190" spans="1:5" x14ac:dyDescent="0.35">
      <c r="A190" s="38">
        <v>39355</v>
      </c>
      <c r="B190" s="39">
        <v>2117.0500000000002</v>
      </c>
      <c r="C190" s="40">
        <v>2023.19</v>
      </c>
      <c r="D190" s="43">
        <f t="shared" si="2"/>
        <v>-6.9014389118200611E-2</v>
      </c>
      <c r="E190" s="40"/>
    </row>
    <row r="191" spans="1:5" x14ac:dyDescent="0.35">
      <c r="A191" s="35">
        <v>39325</v>
      </c>
      <c r="B191" s="36">
        <v>2058.2800000000002</v>
      </c>
      <c r="C191" s="37">
        <v>2173.17</v>
      </c>
      <c r="D191" s="43">
        <f t="shared" si="2"/>
        <v>0.10212496196368806</v>
      </c>
      <c r="E191" s="37"/>
    </row>
    <row r="192" spans="1:5" x14ac:dyDescent="0.35">
      <c r="A192" s="38">
        <v>39294</v>
      </c>
      <c r="B192" s="39">
        <v>1950.87</v>
      </c>
      <c r="C192" s="40">
        <v>1971.8</v>
      </c>
      <c r="D192" s="43">
        <f t="shared" si="2"/>
        <v>5.7074073885168674E-3</v>
      </c>
      <c r="E192" s="40"/>
    </row>
    <row r="193" spans="1:5" x14ac:dyDescent="0.35">
      <c r="A193" s="35">
        <v>39263</v>
      </c>
      <c r="B193" s="36">
        <v>1923.76</v>
      </c>
      <c r="C193" s="37">
        <v>1960.61</v>
      </c>
      <c r="D193" s="43">
        <f t="shared" si="2"/>
        <v>1.5523349770024343E-2</v>
      </c>
      <c r="E193" s="37"/>
    </row>
    <row r="194" spans="1:5" x14ac:dyDescent="0.35">
      <c r="A194" s="38">
        <v>39233</v>
      </c>
      <c r="B194" s="39">
        <v>2007.91</v>
      </c>
      <c r="C194" s="40">
        <v>1930.64</v>
      </c>
      <c r="D194" s="43">
        <f t="shared" si="2"/>
        <v>-8.5295190626673026E-2</v>
      </c>
      <c r="E194" s="40"/>
    </row>
    <row r="195" spans="1:5" x14ac:dyDescent="0.35">
      <c r="A195" s="35">
        <v>39202</v>
      </c>
      <c r="B195" s="36">
        <v>2144.6</v>
      </c>
      <c r="C195" s="37">
        <v>2110.67</v>
      </c>
      <c r="D195" s="43">
        <f t="shared" si="2"/>
        <v>-3.6355750353832858E-2</v>
      </c>
      <c r="E195" s="37"/>
    </row>
    <row r="196" spans="1:5" x14ac:dyDescent="0.35">
      <c r="A196" s="38">
        <v>39172</v>
      </c>
      <c r="B196" s="39">
        <v>2201.39</v>
      </c>
      <c r="C196" s="40">
        <v>2190.3000000000002</v>
      </c>
      <c r="D196" s="43">
        <f t="shared" si="2"/>
        <v>-1.5206014063989222E-2</v>
      </c>
      <c r="E196" s="40"/>
    </row>
    <row r="197" spans="1:5" x14ac:dyDescent="0.35">
      <c r="A197" s="35">
        <v>39141</v>
      </c>
      <c r="B197" s="36">
        <v>2227.63</v>
      </c>
      <c r="C197" s="37">
        <v>2224.12</v>
      </c>
      <c r="D197" s="43">
        <f t="shared" si="2"/>
        <v>-1.5754164232736761E-2</v>
      </c>
      <c r="E197" s="37"/>
    </row>
    <row r="198" spans="1:5" x14ac:dyDescent="0.35">
      <c r="A198" s="38">
        <v>39113</v>
      </c>
      <c r="B198" s="39">
        <v>2237.06</v>
      </c>
      <c r="C198" s="40">
        <v>2259.7199999999998</v>
      </c>
      <c r="D198" s="43">
        <f t="shared" si="2"/>
        <v>9.3488000214400797E-3</v>
      </c>
      <c r="E198" s="40"/>
    </row>
    <row r="199" spans="1:5" x14ac:dyDescent="0.35">
      <c r="A199" s="35">
        <v>39082</v>
      </c>
      <c r="B199" s="36">
        <v>2261.33526315789</v>
      </c>
      <c r="C199" s="37">
        <v>2238.79</v>
      </c>
      <c r="D199" s="43">
        <f t="shared" si="2"/>
        <v>-2.6790759948183421E-2</v>
      </c>
      <c r="E199" s="37"/>
    </row>
    <row r="200" spans="1:5" x14ac:dyDescent="0.35">
      <c r="A200" s="38">
        <v>39051</v>
      </c>
      <c r="B200" s="39">
        <v>2290.46</v>
      </c>
      <c r="C200" s="40">
        <v>2300.42</v>
      </c>
      <c r="D200" s="43">
        <f t="shared" si="2"/>
        <v>-6.4611424474600434E-3</v>
      </c>
      <c r="E200" s="40"/>
    </row>
    <row r="201" spans="1:5" x14ac:dyDescent="0.35">
      <c r="A201" s="35">
        <v>39021</v>
      </c>
      <c r="B201" s="36">
        <v>2364.29</v>
      </c>
      <c r="C201" s="37">
        <v>2315.38</v>
      </c>
      <c r="D201" s="43">
        <f t="shared" si="2"/>
        <v>-3.2965656076280783E-2</v>
      </c>
      <c r="E201" s="37"/>
    </row>
    <row r="202" spans="1:5" x14ac:dyDescent="0.35">
      <c r="A202" s="38">
        <v>38990</v>
      </c>
      <c r="B202" s="39">
        <v>2398.88</v>
      </c>
      <c r="C202" s="40">
        <v>2394.31</v>
      </c>
      <c r="D202" s="43">
        <f t="shared" ref="D202:D265" si="3">(C202-C203)/C203</f>
        <v>-9.680259364191233E-4</v>
      </c>
      <c r="E202" s="40"/>
    </row>
    <row r="203" spans="1:5" x14ac:dyDescent="0.35">
      <c r="A203" s="35">
        <v>38960</v>
      </c>
      <c r="B203" s="36">
        <v>2389.65</v>
      </c>
      <c r="C203" s="37">
        <v>2396.63</v>
      </c>
      <c r="D203" s="43">
        <f t="shared" si="3"/>
        <v>-1.2106347897774069E-2</v>
      </c>
      <c r="E203" s="37"/>
    </row>
    <row r="204" spans="1:5" x14ac:dyDescent="0.35">
      <c r="A204" s="38">
        <v>38929</v>
      </c>
      <c r="B204" s="39">
        <v>2511.7399999999998</v>
      </c>
      <c r="C204" s="40">
        <v>2426</v>
      </c>
      <c r="D204" s="43">
        <f t="shared" si="3"/>
        <v>-7.8659536975147312E-2</v>
      </c>
      <c r="E204" s="40"/>
    </row>
    <row r="205" spans="1:5" x14ac:dyDescent="0.35">
      <c r="A205" s="35">
        <v>38898</v>
      </c>
      <c r="B205" s="36">
        <v>2542.2399999999998</v>
      </c>
      <c r="C205" s="37">
        <v>2633.12</v>
      </c>
      <c r="D205" s="43">
        <f t="shared" si="3"/>
        <v>6.0711163748131874E-2</v>
      </c>
      <c r="E205" s="37"/>
    </row>
    <row r="206" spans="1:5" x14ac:dyDescent="0.35">
      <c r="A206" s="38">
        <v>38868</v>
      </c>
      <c r="B206" s="39">
        <v>2417.9899999999998</v>
      </c>
      <c r="C206" s="40">
        <v>2482.41</v>
      </c>
      <c r="D206" s="43">
        <f t="shared" si="3"/>
        <v>4.5212060479235899E-2</v>
      </c>
      <c r="E206" s="40"/>
    </row>
    <row r="207" spans="1:5" x14ac:dyDescent="0.35">
      <c r="A207" s="35">
        <v>38837</v>
      </c>
      <c r="B207" s="36">
        <v>2334.29</v>
      </c>
      <c r="C207" s="37">
        <v>2375.0300000000002</v>
      </c>
      <c r="D207" s="43">
        <f t="shared" si="3"/>
        <v>3.7140062358623299E-2</v>
      </c>
      <c r="E207" s="37"/>
    </row>
    <row r="208" spans="1:5" x14ac:dyDescent="0.35">
      <c r="A208" s="38">
        <v>38807</v>
      </c>
      <c r="B208" s="39">
        <v>2262.36</v>
      </c>
      <c r="C208" s="40">
        <v>2289.98</v>
      </c>
      <c r="D208" s="43">
        <f t="shared" si="3"/>
        <v>1.8982610398163079E-2</v>
      </c>
      <c r="E208" s="40"/>
    </row>
    <row r="209" spans="1:5" x14ac:dyDescent="0.35">
      <c r="A209" s="35">
        <v>38776</v>
      </c>
      <c r="B209" s="36">
        <v>2256.2399999999998</v>
      </c>
      <c r="C209" s="37">
        <v>2247.3200000000002</v>
      </c>
      <c r="D209" s="43">
        <f t="shared" si="3"/>
        <v>-8.0903934853132336E-3</v>
      </c>
      <c r="E209" s="37"/>
    </row>
    <row r="210" spans="1:5" x14ac:dyDescent="0.35">
      <c r="A210" s="38">
        <v>38748</v>
      </c>
      <c r="B210" s="39">
        <v>2273.66</v>
      </c>
      <c r="C210" s="40">
        <v>2265.65</v>
      </c>
      <c r="D210" s="43">
        <f t="shared" si="3"/>
        <v>-8.1296897846966192E-3</v>
      </c>
      <c r="E210" s="40"/>
    </row>
    <row r="211" spans="1:5" x14ac:dyDescent="0.35">
      <c r="A211" s="35">
        <v>38717</v>
      </c>
      <c r="B211" s="36">
        <v>2278.91</v>
      </c>
      <c r="C211" s="37">
        <v>2284.2199999999998</v>
      </c>
      <c r="D211" s="43">
        <f t="shared" si="3"/>
        <v>4.4766143075758722E-3</v>
      </c>
      <c r="E211" s="37"/>
    </row>
    <row r="212" spans="1:5" x14ac:dyDescent="0.35">
      <c r="A212" s="38">
        <v>38686</v>
      </c>
      <c r="B212" s="39">
        <v>2279.85</v>
      </c>
      <c r="C212" s="40">
        <v>2274.04</v>
      </c>
      <c r="D212" s="43">
        <f t="shared" si="3"/>
        <v>-6.7829330398285264E-3</v>
      </c>
      <c r="E212" s="40"/>
    </row>
    <row r="213" spans="1:5" x14ac:dyDescent="0.35">
      <c r="A213" s="35">
        <v>38656</v>
      </c>
      <c r="B213" s="36">
        <v>2292.5500000000002</v>
      </c>
      <c r="C213" s="37">
        <v>2289.5700000000002</v>
      </c>
      <c r="D213" s="43">
        <f t="shared" si="3"/>
        <v>-1.7470224186635985E-5</v>
      </c>
      <c r="E213" s="37"/>
    </row>
    <row r="214" spans="1:5" x14ac:dyDescent="0.35">
      <c r="A214" s="38">
        <v>38625</v>
      </c>
      <c r="B214" s="39">
        <v>2294.52</v>
      </c>
      <c r="C214" s="40">
        <v>2289.61</v>
      </c>
      <c r="D214" s="43">
        <f t="shared" si="3"/>
        <v>-6.3750379724862444E-3</v>
      </c>
      <c r="E214" s="40"/>
    </row>
    <row r="215" spans="1:5" x14ac:dyDescent="0.35">
      <c r="A215" s="35">
        <v>38595</v>
      </c>
      <c r="B215" s="36">
        <v>2306.19</v>
      </c>
      <c r="C215" s="37">
        <v>2304.3000000000002</v>
      </c>
      <c r="D215" s="43">
        <f t="shared" si="3"/>
        <v>-1.8150392680928227E-3</v>
      </c>
      <c r="E215" s="37"/>
    </row>
    <row r="216" spans="1:5" x14ac:dyDescent="0.35">
      <c r="A216" s="38">
        <v>38564</v>
      </c>
      <c r="B216" s="39">
        <v>2323.38</v>
      </c>
      <c r="C216" s="40">
        <v>2308.4899999999998</v>
      </c>
      <c r="D216" s="43">
        <f t="shared" si="3"/>
        <v>-1.0000814817673894E-2</v>
      </c>
      <c r="E216" s="40"/>
    </row>
    <row r="217" spans="1:5" x14ac:dyDescent="0.35">
      <c r="A217" s="35">
        <v>38533</v>
      </c>
      <c r="B217" s="36">
        <v>2331.79</v>
      </c>
      <c r="C217" s="37">
        <v>2331.81</v>
      </c>
      <c r="D217" s="43">
        <f t="shared" si="3"/>
        <v>-4.2009782277874057E-4</v>
      </c>
      <c r="E217" s="37"/>
    </row>
    <row r="218" spans="1:5" x14ac:dyDescent="0.35">
      <c r="A218" s="38">
        <v>38503</v>
      </c>
      <c r="B218" s="39">
        <v>2339.2199999999998</v>
      </c>
      <c r="C218" s="40">
        <v>2332.79</v>
      </c>
      <c r="D218" s="43">
        <f t="shared" si="3"/>
        <v>-6.6132384002181126E-3</v>
      </c>
      <c r="E218" s="40"/>
    </row>
    <row r="219" spans="1:5" x14ac:dyDescent="0.35">
      <c r="A219" s="35">
        <v>38472</v>
      </c>
      <c r="B219" s="36">
        <v>2350.0100000000002</v>
      </c>
      <c r="C219" s="37">
        <v>2348.3200000000002</v>
      </c>
      <c r="D219" s="43">
        <f t="shared" si="3"/>
        <v>-1.1849458021948367E-2</v>
      </c>
      <c r="E219" s="37"/>
    </row>
    <row r="220" spans="1:5" x14ac:dyDescent="0.35">
      <c r="A220" s="38">
        <v>38442</v>
      </c>
      <c r="B220" s="39">
        <v>2353.71</v>
      </c>
      <c r="C220" s="40">
        <v>2376.48</v>
      </c>
      <c r="D220" s="43">
        <f t="shared" si="3"/>
        <v>2.2682967763591078E-2</v>
      </c>
      <c r="E220" s="40"/>
    </row>
    <row r="221" spans="1:5" x14ac:dyDescent="0.35">
      <c r="A221" s="35">
        <v>38411</v>
      </c>
      <c r="B221" s="36">
        <v>2340.4899999999998</v>
      </c>
      <c r="C221" s="37">
        <v>2323.77</v>
      </c>
      <c r="D221" s="43">
        <f t="shared" si="3"/>
        <v>-1.8578741088623944E-2</v>
      </c>
      <c r="E221" s="37"/>
    </row>
    <row r="222" spans="1:5" x14ac:dyDescent="0.35">
      <c r="A222" s="38">
        <v>38383</v>
      </c>
      <c r="B222" s="39">
        <v>2362.96</v>
      </c>
      <c r="C222" s="40">
        <v>2367.7600000000002</v>
      </c>
      <c r="D222" s="43">
        <f t="shared" si="3"/>
        <v>-9.2017993513964988E-3</v>
      </c>
      <c r="E222" s="40"/>
    </row>
    <row r="223" spans="1:5" x14ac:dyDescent="0.35">
      <c r="A223" s="35">
        <v>38352</v>
      </c>
      <c r="B223" s="36">
        <v>2411.37</v>
      </c>
      <c r="C223" s="37">
        <v>2389.75</v>
      </c>
      <c r="D223" s="43">
        <f t="shared" si="3"/>
        <v>-3.6041305312411724E-2</v>
      </c>
      <c r="E223" s="37"/>
    </row>
    <row r="224" spans="1:5" x14ac:dyDescent="0.35">
      <c r="A224" s="38">
        <v>38321</v>
      </c>
      <c r="B224" s="39">
        <v>2530.19</v>
      </c>
      <c r="C224" s="40">
        <v>2479.1</v>
      </c>
      <c r="D224" s="43">
        <f t="shared" si="3"/>
        <v>-3.7313751606677624E-2</v>
      </c>
      <c r="E224" s="40"/>
    </row>
    <row r="225" spans="1:5" x14ac:dyDescent="0.35">
      <c r="A225" s="35">
        <v>38291</v>
      </c>
      <c r="B225" s="36">
        <v>2580.6999999999998</v>
      </c>
      <c r="C225" s="37">
        <v>2575.19</v>
      </c>
      <c r="D225" s="43">
        <f t="shared" si="3"/>
        <v>-7.6989176046270641E-3</v>
      </c>
      <c r="E225" s="37"/>
    </row>
    <row r="226" spans="1:5" x14ac:dyDescent="0.35">
      <c r="A226" s="38">
        <v>38260</v>
      </c>
      <c r="B226" s="39">
        <v>2552.7800000000002</v>
      </c>
      <c r="C226" s="40">
        <v>2595.17</v>
      </c>
      <c r="D226" s="43">
        <f t="shared" si="3"/>
        <v>1.7143327467341936E-2</v>
      </c>
      <c r="E226" s="40"/>
    </row>
    <row r="227" spans="1:5" x14ac:dyDescent="0.35">
      <c r="A227" s="35">
        <v>38230</v>
      </c>
      <c r="B227" s="36">
        <v>2598.59</v>
      </c>
      <c r="C227" s="37">
        <v>2551.4299999999998</v>
      </c>
      <c r="D227" s="43">
        <f t="shared" si="3"/>
        <v>-2.3353646399534619E-2</v>
      </c>
      <c r="E227" s="37"/>
    </row>
    <row r="228" spans="1:5" x14ac:dyDescent="0.35">
      <c r="A228" s="38">
        <v>38199</v>
      </c>
      <c r="B228" s="39">
        <v>2653.32</v>
      </c>
      <c r="C228" s="40">
        <v>2612.44</v>
      </c>
      <c r="D228" s="43">
        <f t="shared" si="3"/>
        <v>-3.2279095266671068E-2</v>
      </c>
      <c r="E228" s="40"/>
    </row>
    <row r="229" spans="1:5" x14ac:dyDescent="0.35">
      <c r="A229" s="35">
        <v>38168</v>
      </c>
      <c r="B229" s="36">
        <v>2716.56</v>
      </c>
      <c r="C229" s="37">
        <v>2699.58</v>
      </c>
      <c r="D229" s="43">
        <f t="shared" si="3"/>
        <v>-9.2993555774114993E-3</v>
      </c>
      <c r="E229" s="37"/>
    </row>
    <row r="230" spans="1:5" x14ac:dyDescent="0.35">
      <c r="A230" s="38">
        <v>38138</v>
      </c>
      <c r="B230" s="39">
        <v>2719.43</v>
      </c>
      <c r="C230" s="40">
        <v>2724.92</v>
      </c>
      <c r="D230" s="43">
        <f t="shared" si="3"/>
        <v>2.944098768790222E-2</v>
      </c>
      <c r="E230" s="40"/>
    </row>
    <row r="231" spans="1:5" x14ac:dyDescent="0.35">
      <c r="A231" s="35">
        <v>38107</v>
      </c>
      <c r="B231" s="36">
        <v>2639.6</v>
      </c>
      <c r="C231" s="37">
        <v>2646.99</v>
      </c>
      <c r="D231" s="43">
        <f t="shared" si="3"/>
        <v>-1.1638587687068762E-2</v>
      </c>
      <c r="E231" s="37"/>
    </row>
    <row r="232" spans="1:5" x14ac:dyDescent="0.35">
      <c r="A232" s="38">
        <v>38077</v>
      </c>
      <c r="B232" s="39">
        <v>2670.8</v>
      </c>
      <c r="C232" s="40">
        <v>2678.16</v>
      </c>
      <c r="D232" s="43">
        <f t="shared" si="3"/>
        <v>-1.5583408516445681E-3</v>
      </c>
      <c r="E232" s="40"/>
    </row>
    <row r="233" spans="1:5" x14ac:dyDescent="0.35">
      <c r="A233" s="35">
        <v>38046</v>
      </c>
      <c r="B233" s="36">
        <v>2717.94</v>
      </c>
      <c r="C233" s="37">
        <v>2682.34</v>
      </c>
      <c r="D233" s="43">
        <f t="shared" si="3"/>
        <v>-2.1925490524964598E-2</v>
      </c>
      <c r="E233" s="37"/>
    </row>
    <row r="234" spans="1:5" x14ac:dyDescent="0.35">
      <c r="A234" s="38">
        <v>38017</v>
      </c>
      <c r="B234" s="39">
        <v>2749.14</v>
      </c>
      <c r="C234" s="40">
        <v>2742.47</v>
      </c>
      <c r="D234" s="43">
        <f t="shared" si="3"/>
        <v>-1.2864398299624663E-2</v>
      </c>
      <c r="E234" s="40"/>
    </row>
    <row r="235" spans="1:5" x14ac:dyDescent="0.35">
      <c r="A235" s="35">
        <v>37986</v>
      </c>
      <c r="B235" s="36">
        <v>2807.2</v>
      </c>
      <c r="C235" s="37">
        <v>2778.21</v>
      </c>
      <c r="D235" s="43">
        <f t="shared" si="3"/>
        <v>-2.0394562860316334E-2</v>
      </c>
      <c r="E235" s="37"/>
    </row>
    <row r="236" spans="1:5" x14ac:dyDescent="0.35">
      <c r="A236" s="38">
        <v>37955</v>
      </c>
      <c r="B236" s="39">
        <v>2844.55</v>
      </c>
      <c r="C236" s="40">
        <v>2836.05</v>
      </c>
      <c r="D236" s="43">
        <f t="shared" si="3"/>
        <v>-1.6684176036780039E-2</v>
      </c>
      <c r="E236" s="40"/>
    </row>
    <row r="237" spans="1:5" x14ac:dyDescent="0.35">
      <c r="A237" s="35">
        <v>37925</v>
      </c>
      <c r="B237" s="36">
        <v>2876.2</v>
      </c>
      <c r="C237" s="37">
        <v>2884.17</v>
      </c>
      <c r="D237" s="43">
        <f t="shared" si="3"/>
        <v>-1.8066096996251111E-3</v>
      </c>
      <c r="E237" s="37"/>
    </row>
    <row r="238" spans="1:5" x14ac:dyDescent="0.35">
      <c r="A238" s="38">
        <v>37894</v>
      </c>
      <c r="B238" s="39">
        <v>2840.08</v>
      </c>
      <c r="C238" s="40">
        <v>2889.39</v>
      </c>
      <c r="D238" s="43">
        <f t="shared" si="3"/>
        <v>1.992629565045494E-2</v>
      </c>
      <c r="E238" s="40"/>
    </row>
    <row r="239" spans="1:5" x14ac:dyDescent="0.35">
      <c r="A239" s="35">
        <v>37864</v>
      </c>
      <c r="B239" s="36">
        <v>2867.29</v>
      </c>
      <c r="C239" s="37">
        <v>2832.94</v>
      </c>
      <c r="D239" s="43">
        <f t="shared" si="3"/>
        <v>-1.6476878211359545E-2</v>
      </c>
      <c r="E239" s="37"/>
    </row>
    <row r="240" spans="1:5" x14ac:dyDescent="0.35">
      <c r="A240" s="38">
        <v>37833</v>
      </c>
      <c r="B240" s="39">
        <v>2858.82</v>
      </c>
      <c r="C240" s="40">
        <v>2880.4</v>
      </c>
      <c r="D240" s="43">
        <f t="shared" si="3"/>
        <v>2.2390072835176664E-2</v>
      </c>
      <c r="E240" s="40"/>
    </row>
    <row r="241" spans="1:5" x14ac:dyDescent="0.35">
      <c r="A241" s="35">
        <v>37802</v>
      </c>
      <c r="B241" s="36">
        <v>2826.95</v>
      </c>
      <c r="C241" s="37">
        <v>2817.32</v>
      </c>
      <c r="D241" s="43">
        <f t="shared" si="3"/>
        <v>-1.2620341846193662E-2</v>
      </c>
      <c r="E241" s="37"/>
    </row>
    <row r="242" spans="1:5" x14ac:dyDescent="0.35">
      <c r="A242" s="38">
        <v>37772</v>
      </c>
      <c r="B242" s="39">
        <v>2858.94</v>
      </c>
      <c r="C242" s="40">
        <v>2853.33</v>
      </c>
      <c r="D242" s="43">
        <f t="shared" si="3"/>
        <v>-1.1943265161956158E-2</v>
      </c>
      <c r="E242" s="40"/>
    </row>
    <row r="243" spans="1:5" x14ac:dyDescent="0.35">
      <c r="A243" s="35">
        <v>37741</v>
      </c>
      <c r="B243" s="36">
        <v>2926.62</v>
      </c>
      <c r="C243" s="37">
        <v>2887.82</v>
      </c>
      <c r="D243" s="43">
        <f t="shared" si="3"/>
        <v>-2.3807994591396885E-2</v>
      </c>
      <c r="E243" s="37"/>
    </row>
    <row r="244" spans="1:5" x14ac:dyDescent="0.35">
      <c r="A244" s="38">
        <v>37711</v>
      </c>
      <c r="B244" s="39">
        <v>2959.01</v>
      </c>
      <c r="C244" s="40">
        <v>2958.25</v>
      </c>
      <c r="D244" s="43">
        <f t="shared" si="3"/>
        <v>6.5622346776896012E-4</v>
      </c>
      <c r="E244" s="40"/>
    </row>
    <row r="245" spans="1:5" x14ac:dyDescent="0.35">
      <c r="A245" s="35">
        <v>37680</v>
      </c>
      <c r="B245" s="36">
        <v>2951.86</v>
      </c>
      <c r="C245" s="37">
        <v>2956.31</v>
      </c>
      <c r="D245" s="43">
        <f t="shared" si="3"/>
        <v>1.0200036904656106E-2</v>
      </c>
      <c r="E245" s="37"/>
    </row>
    <row r="246" spans="1:5" x14ac:dyDescent="0.35">
      <c r="A246" s="38">
        <v>37652</v>
      </c>
      <c r="B246" s="39">
        <v>2913</v>
      </c>
      <c r="C246" s="40">
        <v>2926.46</v>
      </c>
      <c r="D246" s="43">
        <f t="shared" si="3"/>
        <v>2.1526883296855991E-2</v>
      </c>
      <c r="E246" s="40"/>
    </row>
    <row r="247" spans="1:5" x14ac:dyDescent="0.35">
      <c r="A247" s="35">
        <v>37621</v>
      </c>
      <c r="B247" s="36">
        <v>2814.89</v>
      </c>
      <c r="C247" s="37">
        <v>2864.79</v>
      </c>
      <c r="D247" s="43">
        <f t="shared" si="3"/>
        <v>2.8941782408654491E-2</v>
      </c>
      <c r="E247" s="37"/>
    </row>
    <row r="248" spans="1:5" x14ac:dyDescent="0.35">
      <c r="A248" s="38">
        <v>37590</v>
      </c>
      <c r="B248" s="39">
        <v>2726.66</v>
      </c>
      <c r="C248" s="40">
        <v>2784.21</v>
      </c>
      <c r="D248" s="43">
        <f t="shared" si="3"/>
        <v>3.7783057471347313E-3</v>
      </c>
      <c r="E248" s="40"/>
    </row>
    <row r="249" spans="1:5" x14ac:dyDescent="0.35">
      <c r="A249" s="35">
        <v>37560</v>
      </c>
      <c r="B249" s="36">
        <v>2827.86</v>
      </c>
      <c r="C249" s="37">
        <v>2773.73</v>
      </c>
      <c r="D249" s="43">
        <f t="shared" si="3"/>
        <v>-1.9217985346949136E-2</v>
      </c>
      <c r="E249" s="37"/>
    </row>
    <row r="250" spans="1:5" x14ac:dyDescent="0.35">
      <c r="A250" s="38">
        <v>37529</v>
      </c>
      <c r="B250" s="39">
        <v>2751.23</v>
      </c>
      <c r="C250" s="40">
        <v>2828.08</v>
      </c>
      <c r="D250" s="43">
        <f t="shared" si="3"/>
        <v>4.6061659669693451E-2</v>
      </c>
      <c r="E250" s="40"/>
    </row>
    <row r="251" spans="1:5" x14ac:dyDescent="0.35">
      <c r="A251" s="35">
        <v>37499</v>
      </c>
      <c r="B251" s="36">
        <v>2647.22</v>
      </c>
      <c r="C251" s="37">
        <v>2703.55</v>
      </c>
      <c r="D251" s="43">
        <f t="shared" si="3"/>
        <v>2.99002689462337E-2</v>
      </c>
      <c r="E251" s="37"/>
    </row>
    <row r="252" spans="1:5" x14ac:dyDescent="0.35">
      <c r="A252" s="38">
        <v>37468</v>
      </c>
      <c r="B252" s="39">
        <v>2506.7199999999998</v>
      </c>
      <c r="C252" s="40">
        <v>2625.06</v>
      </c>
      <c r="D252" s="43">
        <f t="shared" si="3"/>
        <v>9.4313037243311193E-2</v>
      </c>
      <c r="E252" s="40"/>
    </row>
    <row r="253" spans="1:5" x14ac:dyDescent="0.35">
      <c r="A253" s="35">
        <v>37437</v>
      </c>
      <c r="B253" s="36">
        <v>2364.25</v>
      </c>
      <c r="C253" s="37">
        <v>2398.8200000000002</v>
      </c>
      <c r="D253" s="43">
        <f t="shared" si="3"/>
        <v>3.345740922642141E-2</v>
      </c>
      <c r="E253" s="37"/>
    </row>
    <row r="254" spans="1:5" x14ac:dyDescent="0.35">
      <c r="A254" s="38">
        <v>37407</v>
      </c>
      <c r="B254" s="39">
        <v>2310.2399999999998</v>
      </c>
      <c r="C254" s="40">
        <v>2321.16</v>
      </c>
      <c r="D254" s="43">
        <f t="shared" si="3"/>
        <v>2.0133166326059704E-2</v>
      </c>
      <c r="E254" s="40"/>
    </row>
    <row r="255" spans="1:5" x14ac:dyDescent="0.35">
      <c r="A255" s="35">
        <v>37376</v>
      </c>
      <c r="B255" s="36">
        <v>2263.11</v>
      </c>
      <c r="C255" s="37">
        <v>2275.35</v>
      </c>
      <c r="D255" s="43">
        <f t="shared" si="3"/>
        <v>6.2443891156582438E-3</v>
      </c>
      <c r="E255" s="37"/>
    </row>
    <row r="256" spans="1:5" x14ac:dyDescent="0.35">
      <c r="A256" s="38">
        <v>37346</v>
      </c>
      <c r="B256" s="39">
        <v>2282.33</v>
      </c>
      <c r="C256" s="40">
        <v>2261.23</v>
      </c>
      <c r="D256" s="43">
        <f t="shared" si="3"/>
        <v>-2.1036271224597648E-2</v>
      </c>
      <c r="E256" s="40"/>
    </row>
    <row r="257" spans="1:5" x14ac:dyDescent="0.35">
      <c r="A257" s="35">
        <v>37315</v>
      </c>
      <c r="B257" s="36">
        <v>2286.6999999999998</v>
      </c>
      <c r="C257" s="37">
        <v>2309.8200000000002</v>
      </c>
      <c r="D257" s="43">
        <f t="shared" si="3"/>
        <v>1.9869128672477282E-2</v>
      </c>
      <c r="E257" s="37"/>
    </row>
    <row r="258" spans="1:5" x14ac:dyDescent="0.35">
      <c r="A258" s="38">
        <v>37287</v>
      </c>
      <c r="B258" s="39">
        <v>2274.96</v>
      </c>
      <c r="C258" s="40">
        <v>2264.8200000000002</v>
      </c>
      <c r="D258" s="43">
        <f t="shared" si="3"/>
        <v>-1.1504988695781071E-2</v>
      </c>
      <c r="E258" s="40"/>
    </row>
    <row r="259" spans="1:5" x14ac:dyDescent="0.35">
      <c r="A259" s="35">
        <v>37256</v>
      </c>
      <c r="B259" s="36">
        <v>2306.9</v>
      </c>
      <c r="C259" s="37">
        <v>2291.1799999999998</v>
      </c>
      <c r="D259" s="43">
        <f t="shared" si="3"/>
        <v>-7.5413997288389482E-3</v>
      </c>
      <c r="E259" s="37"/>
    </row>
    <row r="260" spans="1:5" x14ac:dyDescent="0.35">
      <c r="A260" s="38">
        <v>37225</v>
      </c>
      <c r="B260" s="39">
        <v>2310.4699999999998</v>
      </c>
      <c r="C260" s="40">
        <v>2308.59</v>
      </c>
      <c r="D260" s="43">
        <f t="shared" si="3"/>
        <v>-6.1904225937430685E-4</v>
      </c>
      <c r="E260" s="40"/>
    </row>
    <row r="261" spans="1:5" x14ac:dyDescent="0.35">
      <c r="A261" s="35">
        <v>37195</v>
      </c>
      <c r="B261" s="36">
        <v>2320.65</v>
      </c>
      <c r="C261" s="37">
        <v>2310.02</v>
      </c>
      <c r="D261" s="43">
        <f t="shared" si="3"/>
        <v>-9.5060865538399847E-3</v>
      </c>
      <c r="E261" s="37"/>
    </row>
    <row r="262" spans="1:5" x14ac:dyDescent="0.35">
      <c r="A262" s="38">
        <v>37164</v>
      </c>
      <c r="B262" s="39">
        <v>2328.23</v>
      </c>
      <c r="C262" s="40">
        <v>2332.19</v>
      </c>
      <c r="D262" s="43">
        <f t="shared" si="3"/>
        <v>1.3453674773925265E-2</v>
      </c>
      <c r="E262" s="40"/>
    </row>
    <row r="263" spans="1:5" x14ac:dyDescent="0.35">
      <c r="A263" s="35">
        <v>37134</v>
      </c>
      <c r="B263" s="36">
        <v>2288.9</v>
      </c>
      <c r="C263" s="37">
        <v>2301.23</v>
      </c>
      <c r="D263" s="43">
        <f t="shared" si="3"/>
        <v>1.2879252655258243E-3</v>
      </c>
      <c r="E263" s="37"/>
    </row>
    <row r="264" spans="1:5" x14ac:dyDescent="0.35">
      <c r="A264" s="38">
        <v>37103</v>
      </c>
      <c r="B264" s="39">
        <v>2304.2800000000002</v>
      </c>
      <c r="C264" s="40">
        <v>2298.27</v>
      </c>
      <c r="D264" s="43">
        <f t="shared" si="3"/>
        <v>-2.5230006307498415E-4</v>
      </c>
      <c r="E264" s="40"/>
    </row>
    <row r="265" spans="1:5" x14ac:dyDescent="0.35">
      <c r="A265" s="35">
        <v>37072</v>
      </c>
      <c r="B265" s="36">
        <v>2305.66</v>
      </c>
      <c r="C265" s="37">
        <v>2298.85</v>
      </c>
      <c r="D265" s="43">
        <f t="shared" si="3"/>
        <v>-1.1238806355323533E-2</v>
      </c>
      <c r="E265" s="37"/>
    </row>
    <row r="266" spans="1:5" x14ac:dyDescent="0.35">
      <c r="A266" s="38">
        <v>37042</v>
      </c>
      <c r="B266" s="39">
        <v>2346.9299999999998</v>
      </c>
      <c r="C266" s="40">
        <v>2324.98</v>
      </c>
      <c r="D266" s="43">
        <f t="shared" ref="D266:D329" si="4">(C266-C267)/C267</f>
        <v>-9.2682157725856827E-3</v>
      </c>
      <c r="E266" s="40"/>
    </row>
    <row r="267" spans="1:5" x14ac:dyDescent="0.35">
      <c r="A267" s="35">
        <v>37011</v>
      </c>
      <c r="B267" s="36">
        <v>2323.1</v>
      </c>
      <c r="C267" s="37">
        <v>2346.73</v>
      </c>
      <c r="D267" s="43">
        <f t="shared" si="4"/>
        <v>1.5649818010274458E-2</v>
      </c>
      <c r="E267" s="37"/>
    </row>
    <row r="268" spans="1:5" x14ac:dyDescent="0.35">
      <c r="A268" s="38">
        <v>36981</v>
      </c>
      <c r="B268" s="39">
        <v>2278.7800000000002</v>
      </c>
      <c r="C268" s="40">
        <v>2310.5700000000002</v>
      </c>
      <c r="D268" s="43">
        <f t="shared" si="4"/>
        <v>2.353097521539806E-2</v>
      </c>
      <c r="E268" s="40"/>
    </row>
    <row r="269" spans="1:5" x14ac:dyDescent="0.35">
      <c r="A269" s="35">
        <v>36950</v>
      </c>
      <c r="B269" s="36">
        <v>2243.42</v>
      </c>
      <c r="C269" s="37">
        <v>2257.4499999999998</v>
      </c>
      <c r="D269" s="43">
        <f t="shared" si="4"/>
        <v>7.4303820064261132E-3</v>
      </c>
      <c r="E269" s="37"/>
    </row>
    <row r="270" spans="1:5" x14ac:dyDescent="0.35">
      <c r="A270" s="38">
        <v>36922</v>
      </c>
      <c r="B270" s="39">
        <v>2241.4</v>
      </c>
      <c r="C270" s="40">
        <v>2240.8000000000002</v>
      </c>
      <c r="D270" s="43">
        <f t="shared" si="4"/>
        <v>5.2126791017326314E-3</v>
      </c>
      <c r="E270" s="40"/>
    </row>
    <row r="271" spans="1:5" x14ac:dyDescent="0.35">
      <c r="A271" s="35">
        <v>36891</v>
      </c>
      <c r="B271" s="36">
        <v>2186.21</v>
      </c>
      <c r="C271" s="37">
        <v>2229.1799999999998</v>
      </c>
      <c r="D271" s="43">
        <f t="shared" si="4"/>
        <v>2.5929198652454709E-2</v>
      </c>
      <c r="E271" s="37"/>
    </row>
    <row r="272" spans="1:5" x14ac:dyDescent="0.35">
      <c r="A272" s="38">
        <v>36860</v>
      </c>
      <c r="B272" s="39">
        <v>2136.63</v>
      </c>
      <c r="C272" s="40">
        <v>2172.84</v>
      </c>
      <c r="D272" s="43">
        <f t="shared" si="4"/>
        <v>6.7087974202635417E-3</v>
      </c>
      <c r="E272" s="40"/>
    </row>
    <row r="273" spans="1:5" x14ac:dyDescent="0.35">
      <c r="A273" s="35">
        <v>36830</v>
      </c>
      <c r="B273" s="36">
        <v>2176.61</v>
      </c>
      <c r="C273" s="37">
        <v>2158.36</v>
      </c>
      <c r="D273" s="43">
        <f t="shared" si="4"/>
        <v>-2.4364224819867504E-2</v>
      </c>
      <c r="E273" s="37"/>
    </row>
    <row r="274" spans="1:5" x14ac:dyDescent="0.35">
      <c r="A274" s="38">
        <v>36799</v>
      </c>
      <c r="B274" s="39">
        <v>2213.7600000000002</v>
      </c>
      <c r="C274" s="40">
        <v>2212.2600000000002</v>
      </c>
      <c r="D274" s="43">
        <f t="shared" si="4"/>
        <v>1.834064694933988E-3</v>
      </c>
      <c r="E274" s="40"/>
    </row>
    <row r="275" spans="1:5" x14ac:dyDescent="0.35">
      <c r="A275" s="35">
        <v>36769</v>
      </c>
      <c r="B275" s="36">
        <v>2187.38</v>
      </c>
      <c r="C275" s="37">
        <v>2208.21</v>
      </c>
      <c r="D275" s="43">
        <f t="shared" si="4"/>
        <v>1.6301621417624378E-2</v>
      </c>
      <c r="E275" s="37"/>
    </row>
    <row r="276" spans="1:5" x14ac:dyDescent="0.35">
      <c r="A276" s="38">
        <v>36738</v>
      </c>
      <c r="B276" s="39">
        <v>2161.34</v>
      </c>
      <c r="C276" s="40">
        <v>2172.79</v>
      </c>
      <c r="D276" s="43">
        <f t="shared" si="4"/>
        <v>1.5744865855425776E-2</v>
      </c>
      <c r="E276" s="40"/>
    </row>
    <row r="277" spans="1:5" x14ac:dyDescent="0.35">
      <c r="A277" s="35">
        <v>36707</v>
      </c>
      <c r="B277" s="36">
        <v>2120.17</v>
      </c>
      <c r="C277" s="37">
        <v>2139.11</v>
      </c>
      <c r="D277" s="43">
        <f t="shared" si="4"/>
        <v>2.5991404945993158E-2</v>
      </c>
      <c r="E277" s="37"/>
    </row>
    <row r="278" spans="1:5" x14ac:dyDescent="0.35">
      <c r="A278" s="38">
        <v>36677</v>
      </c>
      <c r="B278" s="39">
        <v>2055.69</v>
      </c>
      <c r="C278" s="40">
        <v>2084.92</v>
      </c>
      <c r="D278" s="43">
        <f t="shared" si="4"/>
        <v>4.0135297609842024E-2</v>
      </c>
      <c r="E278" s="40"/>
    </row>
    <row r="279" spans="1:5" x14ac:dyDescent="0.35">
      <c r="A279" s="35">
        <v>36646</v>
      </c>
      <c r="B279" s="36">
        <v>1986.77</v>
      </c>
      <c r="C279" s="37">
        <v>2004.47</v>
      </c>
      <c r="D279" s="43">
        <f t="shared" si="4"/>
        <v>2.7111644018118882E-2</v>
      </c>
      <c r="E279" s="37"/>
    </row>
    <row r="280" spans="1:5" x14ac:dyDescent="0.35">
      <c r="A280" s="38">
        <v>36616</v>
      </c>
      <c r="B280" s="39">
        <v>1956.25</v>
      </c>
      <c r="C280" s="40">
        <v>1951.56</v>
      </c>
      <c r="D280" s="43">
        <f t="shared" si="4"/>
        <v>2.7695422290960566E-3</v>
      </c>
      <c r="E280" s="40"/>
    </row>
    <row r="281" spans="1:5" x14ac:dyDescent="0.35">
      <c r="A281" s="35">
        <v>36585</v>
      </c>
      <c r="B281" s="36">
        <v>1950.64</v>
      </c>
      <c r="C281" s="37">
        <v>1946.17</v>
      </c>
      <c r="D281" s="43">
        <f t="shared" si="4"/>
        <v>-1.5454894977538526E-2</v>
      </c>
      <c r="E281" s="37"/>
    </row>
    <row r="282" spans="1:5" x14ac:dyDescent="0.35">
      <c r="A282" s="38">
        <v>36556</v>
      </c>
      <c r="B282" s="39">
        <v>1923.57</v>
      </c>
      <c r="C282" s="40">
        <v>1976.72</v>
      </c>
      <c r="D282" s="43">
        <f t="shared" si="4"/>
        <v>5.4942709083825682E-2</v>
      </c>
      <c r="E282" s="40"/>
    </row>
    <row r="283" spans="1:5" x14ac:dyDescent="0.35">
      <c r="A283" s="35">
        <v>36525</v>
      </c>
      <c r="B283" s="36">
        <v>1888.46</v>
      </c>
      <c r="C283" s="37">
        <v>1873.77</v>
      </c>
      <c r="D283" s="43">
        <f t="shared" si="4"/>
        <v>-2.5990632975875495E-2</v>
      </c>
      <c r="E283" s="37"/>
    </row>
    <row r="284" spans="1:5" x14ac:dyDescent="0.35">
      <c r="A284" s="38">
        <v>36494</v>
      </c>
      <c r="B284" s="39">
        <v>1944.64</v>
      </c>
      <c r="C284" s="40">
        <v>1923.77</v>
      </c>
      <c r="D284" s="43">
        <f t="shared" si="4"/>
        <v>-2.4254535679324778E-2</v>
      </c>
      <c r="E284" s="40"/>
    </row>
    <row r="285" spans="1:5" x14ac:dyDescent="0.35">
      <c r="A285" s="35">
        <v>36464</v>
      </c>
      <c r="B285" s="36">
        <v>1978.71</v>
      </c>
      <c r="C285" s="37">
        <v>1971.59</v>
      </c>
      <c r="D285" s="43">
        <f t="shared" si="4"/>
        <v>-2.2644465044342137E-2</v>
      </c>
      <c r="E285" s="37"/>
    </row>
    <row r="286" spans="1:5" x14ac:dyDescent="0.35">
      <c r="A286" s="38">
        <v>36433</v>
      </c>
      <c r="B286" s="39">
        <v>1975.64</v>
      </c>
      <c r="C286" s="40">
        <v>2017.27</v>
      </c>
      <c r="D286" s="43">
        <f t="shared" si="4"/>
        <v>3.1999467954489623E-2</v>
      </c>
      <c r="E286" s="40"/>
    </row>
    <row r="287" spans="1:5" x14ac:dyDescent="0.35">
      <c r="A287" s="35">
        <v>36403</v>
      </c>
      <c r="B287" s="36">
        <v>1876.93</v>
      </c>
      <c r="C287" s="37">
        <v>1954.72</v>
      </c>
      <c r="D287" s="43">
        <f t="shared" si="4"/>
        <v>8.0254213871235158E-2</v>
      </c>
      <c r="E287" s="37"/>
    </row>
    <row r="288" spans="1:5" x14ac:dyDescent="0.35">
      <c r="A288" s="38">
        <v>36372</v>
      </c>
      <c r="B288" s="39">
        <v>1818.63</v>
      </c>
      <c r="C288" s="40">
        <v>1809.5</v>
      </c>
      <c r="D288" s="43">
        <f t="shared" si="4"/>
        <v>4.4685641706598979E-2</v>
      </c>
      <c r="E288" s="40"/>
    </row>
    <row r="289" spans="1:5" x14ac:dyDescent="0.35">
      <c r="A289" s="35">
        <v>36341</v>
      </c>
      <c r="B289" s="36">
        <v>1693.99</v>
      </c>
      <c r="C289" s="37">
        <v>1732.1</v>
      </c>
      <c r="D289" s="43">
        <f t="shared" si="4"/>
        <v>3.614947926325162E-2</v>
      </c>
      <c r="E289" s="37"/>
    </row>
    <row r="290" spans="1:5" x14ac:dyDescent="0.35">
      <c r="A290" s="38">
        <v>36311</v>
      </c>
      <c r="B290" s="39">
        <v>1641.33</v>
      </c>
      <c r="C290" s="40">
        <v>1671.67</v>
      </c>
      <c r="D290" s="43">
        <f t="shared" si="4"/>
        <v>4.1902470643963012E-2</v>
      </c>
      <c r="E290" s="40"/>
    </row>
    <row r="291" spans="1:5" x14ac:dyDescent="0.35">
      <c r="A291" s="35">
        <v>36280</v>
      </c>
      <c r="B291" s="36">
        <v>1574.67</v>
      </c>
      <c r="C291" s="37">
        <v>1604.44</v>
      </c>
      <c r="D291" s="43">
        <f t="shared" si="4"/>
        <v>4.6253366459951394E-2</v>
      </c>
      <c r="E291" s="37"/>
    </row>
    <row r="292" spans="1:5" x14ac:dyDescent="0.35">
      <c r="A292" s="38">
        <v>36250</v>
      </c>
      <c r="B292" s="39">
        <v>1550.15</v>
      </c>
      <c r="C292" s="40">
        <v>1533.51</v>
      </c>
      <c r="D292" s="43">
        <f t="shared" si="4"/>
        <v>-2.2183255754638757E-2</v>
      </c>
      <c r="E292" s="40"/>
    </row>
    <row r="293" spans="1:5" x14ac:dyDescent="0.35">
      <c r="A293" s="35">
        <v>36219</v>
      </c>
      <c r="B293" s="36">
        <v>1567.07</v>
      </c>
      <c r="C293" s="37">
        <v>1568.3</v>
      </c>
      <c r="D293" s="43">
        <f t="shared" si="4"/>
        <v>-9.2235769789627484E-3</v>
      </c>
      <c r="E293" s="37"/>
    </row>
    <row r="294" spans="1:5" x14ac:dyDescent="0.35">
      <c r="A294" s="38">
        <v>36191</v>
      </c>
      <c r="B294" s="39">
        <v>1570.01</v>
      </c>
      <c r="C294" s="40">
        <v>1582.9</v>
      </c>
      <c r="D294" s="43">
        <f t="shared" si="4"/>
        <v>2.6450771994215843E-2</v>
      </c>
      <c r="E294" s="40"/>
    </row>
    <row r="295" spans="1:5" x14ac:dyDescent="0.35">
      <c r="A295" s="35">
        <v>36160</v>
      </c>
      <c r="B295" s="36">
        <v>1524.56</v>
      </c>
      <c r="C295" s="37">
        <v>1542.11</v>
      </c>
      <c r="D295" s="43">
        <f t="shared" si="4"/>
        <v>-3.2318322549786376E-3</v>
      </c>
      <c r="E295" s="37"/>
    </row>
    <row r="296" spans="1:5" x14ac:dyDescent="0.35">
      <c r="A296" s="38">
        <v>36129</v>
      </c>
      <c r="B296" s="39">
        <v>1562.71</v>
      </c>
      <c r="C296" s="40">
        <v>1547.11</v>
      </c>
      <c r="D296" s="43">
        <f t="shared" si="4"/>
        <v>-1.7757828173807062E-2</v>
      </c>
      <c r="E296" s="40"/>
    </row>
    <row r="297" spans="1:5" x14ac:dyDescent="0.35">
      <c r="A297" s="35">
        <v>36099</v>
      </c>
      <c r="B297" s="36">
        <v>1587.38</v>
      </c>
      <c r="C297" s="37">
        <v>1575.08</v>
      </c>
      <c r="D297" s="43">
        <f t="shared" si="4"/>
        <v>1.2164637085113797E-2</v>
      </c>
      <c r="E297" s="37"/>
    </row>
    <row r="298" spans="1:5" x14ac:dyDescent="0.35">
      <c r="A298" s="38">
        <v>36068</v>
      </c>
      <c r="B298" s="39">
        <v>1520.52</v>
      </c>
      <c r="C298" s="40">
        <v>1556.15</v>
      </c>
      <c r="D298" s="43">
        <f t="shared" si="4"/>
        <v>8.0007217861431085E-2</v>
      </c>
      <c r="E298" s="40"/>
    </row>
    <row r="299" spans="1:5" x14ac:dyDescent="0.35">
      <c r="A299" s="35">
        <v>36038</v>
      </c>
      <c r="B299" s="36">
        <v>1390.46</v>
      </c>
      <c r="C299" s="37">
        <v>1440.87</v>
      </c>
      <c r="D299" s="43">
        <f t="shared" si="4"/>
        <v>5.1231167694159557E-2</v>
      </c>
      <c r="E299" s="37"/>
    </row>
    <row r="300" spans="1:5" x14ac:dyDescent="0.35">
      <c r="A300" s="38">
        <v>36007</v>
      </c>
      <c r="B300" s="39">
        <v>1371.54</v>
      </c>
      <c r="C300" s="40">
        <v>1370.65</v>
      </c>
      <c r="D300" s="43">
        <f t="shared" si="4"/>
        <v>5.5831083460500999E-3</v>
      </c>
      <c r="E300" s="40"/>
    </row>
    <row r="301" spans="1:5" x14ac:dyDescent="0.35">
      <c r="A301" s="35">
        <v>35976</v>
      </c>
      <c r="B301" s="36">
        <v>1386.61</v>
      </c>
      <c r="C301" s="37">
        <v>1363.04</v>
      </c>
      <c r="D301" s="43">
        <f t="shared" si="4"/>
        <v>-2.4358120924506271E-2</v>
      </c>
      <c r="E301" s="37"/>
    </row>
    <row r="302" spans="1:5" x14ac:dyDescent="0.35">
      <c r="A302" s="38">
        <v>35946</v>
      </c>
      <c r="B302" s="39">
        <v>1386.28</v>
      </c>
      <c r="C302" s="40">
        <v>1397.07</v>
      </c>
      <c r="D302" s="43">
        <f t="shared" si="4"/>
        <v>2.2954924874791251E-2</v>
      </c>
      <c r="E302" s="40"/>
    </row>
    <row r="303" spans="1:5" x14ac:dyDescent="0.35">
      <c r="A303" s="35">
        <v>35915</v>
      </c>
      <c r="B303" s="36">
        <v>1360.65</v>
      </c>
      <c r="C303" s="37">
        <v>1365.72</v>
      </c>
      <c r="D303" s="43">
        <f t="shared" si="4"/>
        <v>5.6626142279626035E-3</v>
      </c>
      <c r="E303" s="37"/>
    </row>
    <row r="304" spans="1:5" x14ac:dyDescent="0.35">
      <c r="A304" s="38">
        <v>35885</v>
      </c>
      <c r="B304" s="39">
        <v>1357.1</v>
      </c>
      <c r="C304" s="40">
        <v>1358.03</v>
      </c>
      <c r="D304" s="43">
        <f t="shared" si="4"/>
        <v>1.0551772891319764E-2</v>
      </c>
      <c r="E304" s="40"/>
    </row>
    <row r="305" spans="1:5" x14ac:dyDescent="0.35">
      <c r="A305" s="35">
        <v>35854</v>
      </c>
      <c r="B305" s="36">
        <v>1346.12</v>
      </c>
      <c r="C305" s="37">
        <v>1343.85</v>
      </c>
      <c r="D305" s="43">
        <f t="shared" si="4"/>
        <v>1.3785394932935239E-3</v>
      </c>
      <c r="E305" s="37"/>
    </row>
    <row r="306" spans="1:5" x14ac:dyDescent="0.35">
      <c r="A306" s="38">
        <v>35826</v>
      </c>
      <c r="B306" s="39">
        <v>1323.16</v>
      </c>
      <c r="C306" s="40">
        <v>1342</v>
      </c>
      <c r="D306" s="43">
        <f t="shared" si="4"/>
        <v>3.7431005426800099E-2</v>
      </c>
      <c r="E306" s="40"/>
    </row>
    <row r="307" spans="1:5" x14ac:dyDescent="0.35">
      <c r="A307" s="35">
        <v>35795</v>
      </c>
      <c r="B307" s="36">
        <v>1296.7</v>
      </c>
      <c r="C307" s="37">
        <v>1293.58</v>
      </c>
      <c r="D307" s="43">
        <f t="shared" si="4"/>
        <v>-9.2520257953832962E-3</v>
      </c>
      <c r="E307" s="37"/>
    </row>
    <row r="308" spans="1:5" x14ac:dyDescent="0.35">
      <c r="A308" s="38">
        <v>35764</v>
      </c>
      <c r="B308" s="39">
        <v>1294.56</v>
      </c>
      <c r="C308" s="40">
        <v>1305.6600000000001</v>
      </c>
      <c r="D308" s="43">
        <f t="shared" si="4"/>
        <v>1.9091476740555755E-2</v>
      </c>
      <c r="E308" s="40"/>
    </row>
    <row r="309" spans="1:5" x14ac:dyDescent="0.35">
      <c r="A309" s="35">
        <v>35734</v>
      </c>
      <c r="B309" s="36">
        <v>1262.8900000000001</v>
      </c>
      <c r="C309" s="37">
        <v>1281.2</v>
      </c>
      <c r="D309" s="43">
        <f t="shared" si="4"/>
        <v>2.8027634461232367E-2</v>
      </c>
      <c r="E309" s="37"/>
    </row>
    <row r="310" spans="1:5" x14ac:dyDescent="0.35">
      <c r="A310" s="38">
        <v>35703</v>
      </c>
      <c r="B310" s="39">
        <v>1222.49</v>
      </c>
      <c r="C310" s="40">
        <v>1246.27</v>
      </c>
      <c r="D310" s="43">
        <f t="shared" si="4"/>
        <v>6.3116320333026249E-2</v>
      </c>
      <c r="E310" s="40"/>
    </row>
    <row r="311" spans="1:5" x14ac:dyDescent="0.35">
      <c r="A311" s="35">
        <v>35673</v>
      </c>
      <c r="B311" s="36">
        <v>1132.7</v>
      </c>
      <c r="C311" s="37">
        <v>1172.28</v>
      </c>
      <c r="D311" s="43">
        <f t="shared" si="4"/>
        <v>5.6441220204568897E-2</v>
      </c>
      <c r="E311" s="37"/>
    </row>
    <row r="312" spans="1:5" x14ac:dyDescent="0.35">
      <c r="A312" s="38">
        <v>35642</v>
      </c>
      <c r="B312" s="39">
        <v>1102.4000000000001</v>
      </c>
      <c r="C312" s="40">
        <v>1109.6500000000001</v>
      </c>
      <c r="D312" s="43">
        <f t="shared" si="4"/>
        <v>1.8952994003728248E-2</v>
      </c>
      <c r="E312" s="40"/>
    </row>
    <row r="313" spans="1:5" x14ac:dyDescent="0.35">
      <c r="A313" s="35">
        <v>35611</v>
      </c>
      <c r="B313" s="36">
        <v>1082.3699999999999</v>
      </c>
      <c r="C313" s="37">
        <v>1089.01</v>
      </c>
      <c r="D313" s="43">
        <f t="shared" si="4"/>
        <v>1.1066856065881285E-2</v>
      </c>
      <c r="E313" s="37"/>
    </row>
    <row r="314" spans="1:5" x14ac:dyDescent="0.35">
      <c r="A314" s="38">
        <v>35581</v>
      </c>
      <c r="B314" s="39">
        <v>1075.18</v>
      </c>
      <c r="C314" s="40">
        <v>1077.0899999999999</v>
      </c>
      <c r="D314" s="43">
        <f t="shared" si="4"/>
        <v>1.3150097355871001E-2</v>
      </c>
      <c r="E314" s="40"/>
    </row>
    <row r="315" spans="1:5" x14ac:dyDescent="0.35">
      <c r="A315" s="35">
        <v>35550</v>
      </c>
      <c r="B315" s="36">
        <v>1060.6500000000001</v>
      </c>
      <c r="C315" s="37">
        <v>1063.1099999999999</v>
      </c>
      <c r="D315" s="43">
        <f t="shared" si="4"/>
        <v>3.0475148129975003E-3</v>
      </c>
      <c r="E315" s="37"/>
    </row>
    <row r="316" spans="1:5" x14ac:dyDescent="0.35">
      <c r="A316" s="38">
        <v>35520</v>
      </c>
      <c r="B316" s="39">
        <v>1062.1600000000001</v>
      </c>
      <c r="C316" s="40">
        <v>1059.8800000000001</v>
      </c>
      <c r="D316" s="43">
        <f t="shared" si="4"/>
        <v>-1.9092835790506225E-2</v>
      </c>
      <c r="E316" s="40"/>
    </row>
    <row r="317" spans="1:5" x14ac:dyDescent="0.35">
      <c r="A317" s="35">
        <v>35489</v>
      </c>
      <c r="B317" s="36">
        <v>1074.24</v>
      </c>
      <c r="C317" s="37">
        <v>1080.51</v>
      </c>
      <c r="D317" s="43">
        <f t="shared" si="4"/>
        <v>8.9078125437686995E-3</v>
      </c>
      <c r="E317" s="37"/>
    </row>
    <row r="318" spans="1:5" x14ac:dyDescent="0.35">
      <c r="A318" s="38">
        <v>35461</v>
      </c>
      <c r="B318" s="39">
        <v>1027.06</v>
      </c>
      <c r="C318" s="40">
        <v>1070.97</v>
      </c>
      <c r="D318" s="43">
        <f t="shared" si="4"/>
        <v>6.5291993673719059E-2</v>
      </c>
      <c r="E318" s="40"/>
    </row>
    <row r="319" spans="1:5" x14ac:dyDescent="0.35">
      <c r="A319" s="35">
        <v>35430</v>
      </c>
      <c r="B319" s="36">
        <v>1000.79</v>
      </c>
      <c r="C319" s="37">
        <v>1005.33</v>
      </c>
      <c r="D319" s="43">
        <f t="shared" si="4"/>
        <v>3.0430618190526284E-3</v>
      </c>
      <c r="E319" s="37"/>
    </row>
    <row r="320" spans="1:5" x14ac:dyDescent="0.35">
      <c r="A320" s="38">
        <v>35399</v>
      </c>
      <c r="B320" s="39">
        <v>998.18</v>
      </c>
      <c r="C320" s="40">
        <v>1002.28</v>
      </c>
      <c r="D320" s="43">
        <f t="shared" si="4"/>
        <v>-3.5294234612211488E-3</v>
      </c>
      <c r="E320" s="40"/>
    </row>
    <row r="321" spans="1:5" x14ac:dyDescent="0.35">
      <c r="A321" s="35">
        <v>35369</v>
      </c>
      <c r="B321" s="36">
        <v>1015.78</v>
      </c>
      <c r="C321" s="37">
        <v>1005.83</v>
      </c>
      <c r="D321" s="43">
        <f t="shared" si="4"/>
        <v>-1.8759877470586994E-2</v>
      </c>
      <c r="E321" s="37"/>
    </row>
    <row r="322" spans="1:5" x14ac:dyDescent="0.35">
      <c r="A322" s="38">
        <v>35338</v>
      </c>
      <c r="B322" s="39">
        <v>1040.8399999999999</v>
      </c>
      <c r="C322" s="40">
        <v>1025.06</v>
      </c>
      <c r="D322" s="43">
        <f t="shared" si="4"/>
        <v>-1.655921406094097E-2</v>
      </c>
      <c r="E322" s="40"/>
    </row>
    <row r="323" spans="1:5" x14ac:dyDescent="0.35">
      <c r="A323" s="35">
        <v>35308</v>
      </c>
      <c r="B323" s="36">
        <v>1044.8399999999999</v>
      </c>
      <c r="C323" s="37">
        <v>1042.32</v>
      </c>
      <c r="D323" s="43">
        <f t="shared" si="4"/>
        <v>-1.3645740674148865E-2</v>
      </c>
      <c r="E323" s="37"/>
    </row>
    <row r="324" spans="1:5" x14ac:dyDescent="0.35">
      <c r="A324" s="38">
        <v>35277</v>
      </c>
      <c r="B324" s="39">
        <v>1064.0999999999999</v>
      </c>
      <c r="C324" s="40">
        <v>1056.74</v>
      </c>
      <c r="D324" s="43">
        <f t="shared" si="4"/>
        <v>-1.1570371617513531E-2</v>
      </c>
      <c r="E324" s="40"/>
    </row>
    <row r="325" spans="1:5" x14ac:dyDescent="0.35">
      <c r="A325" s="35">
        <v>35246</v>
      </c>
      <c r="B325" s="36">
        <v>1071.96</v>
      </c>
      <c r="C325" s="37">
        <v>1069.1099999999999</v>
      </c>
      <c r="D325" s="43">
        <f t="shared" si="4"/>
        <v>-3.6810616368143866E-3</v>
      </c>
      <c r="E325" s="37"/>
    </row>
    <row r="326" spans="1:5" x14ac:dyDescent="0.35">
      <c r="A326" s="38">
        <v>35216</v>
      </c>
      <c r="B326" s="39">
        <v>1066.24</v>
      </c>
      <c r="C326" s="40">
        <v>1073.06</v>
      </c>
      <c r="D326" s="43">
        <f t="shared" si="4"/>
        <v>1.3372367551232273E-2</v>
      </c>
      <c r="E326" s="40"/>
    </row>
    <row r="327" spans="1:5" x14ac:dyDescent="0.35">
      <c r="A327" s="35">
        <v>35185</v>
      </c>
      <c r="B327" s="36">
        <v>1050.93</v>
      </c>
      <c r="C327" s="37">
        <v>1058.9000000000001</v>
      </c>
      <c r="D327" s="43">
        <f t="shared" si="4"/>
        <v>1.2332695984703719E-2</v>
      </c>
      <c r="E327" s="37"/>
    </row>
    <row r="328" spans="1:5" x14ac:dyDescent="0.35">
      <c r="A328" s="38">
        <v>35155</v>
      </c>
      <c r="B328" s="39">
        <v>1044.98</v>
      </c>
      <c r="C328" s="40">
        <v>1046</v>
      </c>
      <c r="D328" s="43">
        <f t="shared" si="4"/>
        <v>5.9530106461757968E-3</v>
      </c>
      <c r="E328" s="40"/>
    </row>
    <row r="329" spans="1:5" x14ac:dyDescent="0.35">
      <c r="A329" s="35">
        <v>35124</v>
      </c>
      <c r="B329" s="36">
        <v>1029.6400000000001</v>
      </c>
      <c r="C329" s="37">
        <v>1039.81</v>
      </c>
      <c r="D329" s="43">
        <f t="shared" si="4"/>
        <v>1.1350594277043831E-2</v>
      </c>
      <c r="E329" s="37"/>
    </row>
    <row r="330" spans="1:5" x14ac:dyDescent="0.35">
      <c r="A330" s="38">
        <v>35095</v>
      </c>
      <c r="B330" s="39">
        <v>1011.19</v>
      </c>
      <c r="C330" s="40">
        <v>1028.1400000000001</v>
      </c>
      <c r="D330" s="43">
        <f t="shared" ref="D330:D379" si="5">(C330-C331)/C331</f>
        <v>4.0996304358831698E-2</v>
      </c>
      <c r="E330" s="40"/>
    </row>
    <row r="331" spans="1:5" x14ac:dyDescent="0.35">
      <c r="A331" s="35">
        <v>35064</v>
      </c>
      <c r="B331" s="36">
        <v>988.15</v>
      </c>
      <c r="C331" s="37">
        <v>987.65</v>
      </c>
      <c r="D331" s="43">
        <f t="shared" si="5"/>
        <v>-1.0529374048248769E-2</v>
      </c>
      <c r="E331" s="37"/>
    </row>
    <row r="332" spans="1:5" x14ac:dyDescent="0.35">
      <c r="A332" s="38">
        <v>35033</v>
      </c>
      <c r="B332" s="39">
        <v>1000.58</v>
      </c>
      <c r="C332" s="40">
        <v>998.16</v>
      </c>
      <c r="D332" s="43">
        <f t="shared" si="5"/>
        <v>3.6802413273001188E-3</v>
      </c>
      <c r="E332" s="40"/>
    </row>
    <row r="333" spans="1:5" x14ac:dyDescent="0.35">
      <c r="A333" s="35">
        <v>35003</v>
      </c>
      <c r="B333" s="36">
        <v>984.96</v>
      </c>
      <c r="C333" s="37">
        <v>994.5</v>
      </c>
      <c r="D333" s="43">
        <f t="shared" si="5"/>
        <v>2.86725004654627E-2</v>
      </c>
      <c r="E333" s="37"/>
    </row>
    <row r="334" spans="1:5" x14ac:dyDescent="0.35">
      <c r="A334" s="38">
        <v>34972</v>
      </c>
      <c r="B334" s="39">
        <v>964.17</v>
      </c>
      <c r="C334" s="40">
        <v>966.78</v>
      </c>
      <c r="D334" s="43">
        <f t="shared" si="5"/>
        <v>6.8632249867212926E-3</v>
      </c>
      <c r="E334" s="40"/>
    </row>
    <row r="335" spans="1:5" x14ac:dyDescent="0.35">
      <c r="A335" s="35">
        <v>34942</v>
      </c>
      <c r="B335" s="36">
        <v>935.1</v>
      </c>
      <c r="C335" s="37">
        <v>960.19</v>
      </c>
      <c r="D335" s="43">
        <f t="shared" si="5"/>
        <v>6.9694640330648552E-2</v>
      </c>
      <c r="E335" s="37"/>
    </row>
    <row r="336" spans="1:5" x14ac:dyDescent="0.35">
      <c r="A336" s="38">
        <v>34911</v>
      </c>
      <c r="B336" s="39">
        <v>893.22</v>
      </c>
      <c r="C336" s="40">
        <v>897.63</v>
      </c>
      <c r="D336" s="43">
        <f t="shared" si="5"/>
        <v>1.8610351440600043E-2</v>
      </c>
      <c r="E336" s="40"/>
    </row>
    <row r="337" spans="1:5" x14ac:dyDescent="0.35">
      <c r="A337" s="35">
        <v>34880</v>
      </c>
      <c r="B337" s="36">
        <v>874.86</v>
      </c>
      <c r="C337" s="37">
        <v>881.23</v>
      </c>
      <c r="D337" s="43">
        <f t="shared" si="5"/>
        <v>5.5570770003195089E-3</v>
      </c>
      <c r="E337" s="37"/>
    </row>
    <row r="338" spans="1:5" x14ac:dyDescent="0.35">
      <c r="A338" s="38">
        <v>34850</v>
      </c>
      <c r="B338" s="39">
        <v>876.95</v>
      </c>
      <c r="C338" s="40">
        <v>876.36</v>
      </c>
      <c r="D338" s="43">
        <f t="shared" si="5"/>
        <v>-1.7541861259824168E-3</v>
      </c>
      <c r="E338" s="40"/>
    </row>
    <row r="339" spans="1:5" x14ac:dyDescent="0.35">
      <c r="A339" s="35">
        <v>34819</v>
      </c>
      <c r="B339" s="36">
        <v>873.39</v>
      </c>
      <c r="C339" s="37">
        <v>877.9</v>
      </c>
      <c r="D339" s="43">
        <f t="shared" si="5"/>
        <v>-2.6470354339207264E-3</v>
      </c>
      <c r="E339" s="37"/>
    </row>
    <row r="340" spans="1:5" x14ac:dyDescent="0.35">
      <c r="A340" s="38">
        <v>34789</v>
      </c>
      <c r="B340" s="39">
        <v>865.83</v>
      </c>
      <c r="C340" s="40">
        <v>880.23</v>
      </c>
      <c r="D340" s="43">
        <f t="shared" si="5"/>
        <v>2.7118169406877571E-2</v>
      </c>
      <c r="E340" s="40"/>
    </row>
    <row r="341" spans="1:5" x14ac:dyDescent="0.35">
      <c r="A341" s="35">
        <v>34758</v>
      </c>
      <c r="B341" s="36">
        <v>850.9</v>
      </c>
      <c r="C341" s="37">
        <v>856.99</v>
      </c>
      <c r="D341" s="43">
        <f t="shared" si="5"/>
        <v>6.7724571175026087E-4</v>
      </c>
      <c r="E341" s="37"/>
    </row>
    <row r="342" spans="1:5" x14ac:dyDescent="0.35">
      <c r="A342" s="38">
        <v>34730</v>
      </c>
      <c r="B342" s="39">
        <v>846.63</v>
      </c>
      <c r="C342" s="40">
        <v>856.41</v>
      </c>
      <c r="D342" s="43">
        <f t="shared" si="5"/>
        <v>3.0242881374282708E-2</v>
      </c>
      <c r="E342" s="40"/>
    </row>
    <row r="343" spans="1:5" x14ac:dyDescent="0.35">
      <c r="A343" s="35">
        <v>34699</v>
      </c>
      <c r="B343" s="36">
        <v>829.37</v>
      </c>
      <c r="C343" s="37">
        <v>831.27</v>
      </c>
      <c r="D343" s="43">
        <f t="shared" si="5"/>
        <v>2.7019528846965843E-3</v>
      </c>
      <c r="E343" s="37"/>
    </row>
    <row r="344" spans="1:5" x14ac:dyDescent="0.35">
      <c r="A344" s="38">
        <v>34668</v>
      </c>
      <c r="B344" s="39">
        <v>830.03</v>
      </c>
      <c r="C344" s="40">
        <v>829.03</v>
      </c>
      <c r="D344" s="43">
        <f t="shared" si="5"/>
        <v>-1.1352930654105279E-2</v>
      </c>
      <c r="E344" s="40"/>
    </row>
    <row r="345" spans="1:5" x14ac:dyDescent="0.35">
      <c r="A345" s="35">
        <v>34638</v>
      </c>
      <c r="B345" s="36">
        <v>839.32</v>
      </c>
      <c r="C345" s="37">
        <v>838.55</v>
      </c>
      <c r="D345" s="43">
        <f t="shared" si="5"/>
        <v>-4.0973871733967285E-3</v>
      </c>
      <c r="E345" s="37"/>
    </row>
    <row r="346" spans="1:5" x14ac:dyDescent="0.35">
      <c r="A346" s="38">
        <v>34607</v>
      </c>
      <c r="B346" s="39">
        <v>830.06</v>
      </c>
      <c r="C346" s="40">
        <v>842</v>
      </c>
      <c r="D346" s="43">
        <f t="shared" si="5"/>
        <v>3.1483523214504532E-2</v>
      </c>
      <c r="E346" s="40"/>
    </row>
    <row r="347" spans="1:5" x14ac:dyDescent="0.35">
      <c r="A347" s="35">
        <v>34577</v>
      </c>
      <c r="B347" s="36">
        <v>814.82</v>
      </c>
      <c r="C347" s="37">
        <v>816.3</v>
      </c>
      <c r="D347" s="43">
        <f t="shared" si="5"/>
        <v>8.3372158603264997E-4</v>
      </c>
      <c r="E347" s="37"/>
    </row>
    <row r="348" spans="1:5" x14ac:dyDescent="0.35">
      <c r="A348" s="38">
        <v>34546</v>
      </c>
      <c r="B348" s="39">
        <v>819.06</v>
      </c>
      <c r="C348" s="40">
        <v>815.62</v>
      </c>
      <c r="D348" s="43">
        <f t="shared" si="5"/>
        <v>-4.9045922600165709E-3</v>
      </c>
      <c r="E348" s="40"/>
    </row>
    <row r="349" spans="1:5" x14ac:dyDescent="0.35">
      <c r="A349" s="35">
        <v>34515</v>
      </c>
      <c r="B349" s="36">
        <v>830.94</v>
      </c>
      <c r="C349" s="37">
        <v>819.64</v>
      </c>
      <c r="D349" s="43">
        <f t="shared" si="5"/>
        <v>-2.5537378733117771E-2</v>
      </c>
      <c r="E349" s="37"/>
    </row>
    <row r="350" spans="1:5" x14ac:dyDescent="0.35">
      <c r="A350" s="38">
        <v>34485</v>
      </c>
      <c r="B350" s="39">
        <v>841.43</v>
      </c>
      <c r="C350" s="40">
        <v>841.12</v>
      </c>
      <c r="D350" s="43">
        <f t="shared" si="5"/>
        <v>5.0904571851922552E-3</v>
      </c>
      <c r="E350" s="40"/>
    </row>
    <row r="351" spans="1:5" x14ac:dyDescent="0.35">
      <c r="A351" s="35">
        <v>34454</v>
      </c>
      <c r="B351" s="36">
        <v>829.87</v>
      </c>
      <c r="C351" s="37">
        <v>836.86</v>
      </c>
      <c r="D351" s="43">
        <f t="shared" si="5"/>
        <v>2.1171187660919358E-2</v>
      </c>
      <c r="E351" s="37"/>
    </row>
    <row r="352" spans="1:5" x14ac:dyDescent="0.35">
      <c r="A352" s="38">
        <v>34424</v>
      </c>
      <c r="B352" s="39">
        <v>819.76</v>
      </c>
      <c r="C352" s="40">
        <v>819.51</v>
      </c>
      <c r="D352" s="43">
        <f t="shared" si="5"/>
        <v>-2.3179211906801825E-4</v>
      </c>
      <c r="E352" s="40"/>
    </row>
    <row r="353" spans="1:5" x14ac:dyDescent="0.35">
      <c r="A353" s="35">
        <v>34393</v>
      </c>
      <c r="B353" s="36">
        <v>817.67</v>
      </c>
      <c r="C353" s="37">
        <v>819.7</v>
      </c>
      <c r="D353" s="43">
        <f t="shared" si="5"/>
        <v>1.6129426427821429E-3</v>
      </c>
      <c r="E353" s="37"/>
    </row>
    <row r="354" spans="1:5" x14ac:dyDescent="0.35">
      <c r="A354" s="38">
        <v>34365</v>
      </c>
      <c r="B354" s="39">
        <v>816.15</v>
      </c>
      <c r="C354" s="40">
        <v>818.38</v>
      </c>
      <c r="D354" s="43">
        <f t="shared" si="5"/>
        <v>1.7467954695212107E-2</v>
      </c>
      <c r="E354" s="40"/>
    </row>
    <row r="355" spans="1:5" x14ac:dyDescent="0.35">
      <c r="A355" s="35">
        <v>34334</v>
      </c>
      <c r="B355" s="36">
        <v>803.56</v>
      </c>
      <c r="C355" s="37">
        <v>804.33</v>
      </c>
      <c r="D355" s="43">
        <f t="shared" si="5"/>
        <v>-9.1163317851994836E-3</v>
      </c>
      <c r="E355" s="37"/>
    </row>
    <row r="356" spans="1:5" x14ac:dyDescent="0.35">
      <c r="A356" s="38">
        <v>34303</v>
      </c>
      <c r="B356" s="39">
        <v>814.08</v>
      </c>
      <c r="C356" s="40">
        <v>811.73</v>
      </c>
      <c r="D356" s="43">
        <f t="shared" si="5"/>
        <v>-6.4869099053889755E-3</v>
      </c>
      <c r="E356" s="40"/>
    </row>
    <row r="357" spans="1:5" x14ac:dyDescent="0.35">
      <c r="A357" s="35">
        <v>34273</v>
      </c>
      <c r="B357" s="36">
        <v>814.45</v>
      </c>
      <c r="C357" s="37">
        <v>817.03</v>
      </c>
      <c r="D357" s="43">
        <f t="shared" si="5"/>
        <v>7.634058507227E-3</v>
      </c>
      <c r="E357" s="37"/>
    </row>
    <row r="358" spans="1:5" x14ac:dyDescent="0.35">
      <c r="A358" s="38">
        <v>34242</v>
      </c>
      <c r="B358" s="39">
        <v>809.66</v>
      </c>
      <c r="C358" s="40">
        <v>810.84</v>
      </c>
      <c r="D358" s="43">
        <f t="shared" si="5"/>
        <v>4.9327020796668787E-3</v>
      </c>
      <c r="E358" s="40"/>
    </row>
    <row r="359" spans="1:5" x14ac:dyDescent="0.35">
      <c r="A359" s="35">
        <v>34212</v>
      </c>
      <c r="B359" s="36">
        <v>804.61</v>
      </c>
      <c r="C359" s="37">
        <v>806.86</v>
      </c>
      <c r="D359" s="43">
        <f t="shared" si="5"/>
        <v>6.8758969239408382E-3</v>
      </c>
      <c r="E359" s="37"/>
    </row>
    <row r="360" spans="1:5" x14ac:dyDescent="0.35">
      <c r="A360" s="38">
        <v>34181</v>
      </c>
      <c r="B360" s="39">
        <v>795.08</v>
      </c>
      <c r="C360" s="40">
        <v>801.35</v>
      </c>
      <c r="D360" s="43">
        <f t="shared" si="5"/>
        <v>1.8078564894806404E-2</v>
      </c>
      <c r="E360" s="40"/>
    </row>
    <row r="361" spans="1:5" x14ac:dyDescent="0.35">
      <c r="A361" s="35">
        <v>34150</v>
      </c>
      <c r="B361" s="36">
        <v>784.24</v>
      </c>
      <c r="C361" s="37">
        <v>787.12</v>
      </c>
      <c r="D361" s="43">
        <f t="shared" si="5"/>
        <v>9.6977782338755966E-3</v>
      </c>
      <c r="E361" s="37"/>
    </row>
    <row r="362" spans="1:5" x14ac:dyDescent="0.35">
      <c r="A362" s="38">
        <v>34120</v>
      </c>
      <c r="B362" s="39">
        <v>779.71</v>
      </c>
      <c r="C362" s="40">
        <v>779.56</v>
      </c>
      <c r="D362" s="43">
        <f t="shared" si="5"/>
        <v>5.9617518775645735E-3</v>
      </c>
      <c r="E362" s="40"/>
    </row>
    <row r="363" spans="1:5" x14ac:dyDescent="0.35">
      <c r="A363" s="35">
        <v>34089</v>
      </c>
      <c r="B363" s="36">
        <v>771.79</v>
      </c>
      <c r="C363" s="37">
        <v>774.94</v>
      </c>
      <c r="D363" s="43">
        <f t="shared" si="5"/>
        <v>1.1129813024360443E-2</v>
      </c>
      <c r="E363" s="37"/>
    </row>
    <row r="364" spans="1:5" x14ac:dyDescent="0.35">
      <c r="A364" s="38">
        <v>34059</v>
      </c>
      <c r="B364" s="39">
        <v>764.38</v>
      </c>
      <c r="C364" s="40">
        <v>766.41</v>
      </c>
      <c r="D364" s="43">
        <f t="shared" si="5"/>
        <v>1.1054971439125094E-2</v>
      </c>
      <c r="E364" s="40"/>
    </row>
    <row r="365" spans="1:5" x14ac:dyDescent="0.35">
      <c r="A365" s="35">
        <v>34028</v>
      </c>
      <c r="B365" s="36">
        <v>749.08</v>
      </c>
      <c r="C365" s="37">
        <v>758.03</v>
      </c>
      <c r="D365" s="43">
        <f t="shared" si="5"/>
        <v>1.6057904966155109E-2</v>
      </c>
      <c r="E365" s="37"/>
    </row>
    <row r="366" spans="1:5" x14ac:dyDescent="0.35">
      <c r="A366" s="38">
        <v>34000</v>
      </c>
      <c r="B366" s="39">
        <v>745.52</v>
      </c>
      <c r="C366" s="40">
        <v>746.05</v>
      </c>
      <c r="D366" s="43">
        <f t="shared" si="5"/>
        <v>1.0935255697986309E-2</v>
      </c>
      <c r="E366" s="40"/>
    </row>
    <row r="367" spans="1:5" x14ac:dyDescent="0.35">
      <c r="A367" s="35">
        <v>33969</v>
      </c>
      <c r="B367" s="36">
        <v>733.42</v>
      </c>
      <c r="C367" s="37">
        <v>737.98</v>
      </c>
      <c r="D367" s="43">
        <f t="shared" si="5"/>
        <v>1.7272038045351122E-2</v>
      </c>
      <c r="E367" s="37"/>
    </row>
    <row r="368" spans="1:5" x14ac:dyDescent="0.35">
      <c r="A368" s="38">
        <v>33938</v>
      </c>
      <c r="B368" s="39">
        <v>722.43</v>
      </c>
      <c r="C368" s="40">
        <v>725.45</v>
      </c>
      <c r="D368" s="43">
        <f t="shared" si="5"/>
        <v>1.1954580961946281E-2</v>
      </c>
      <c r="E368" s="40"/>
    </row>
    <row r="369" spans="1:5" x14ac:dyDescent="0.35">
      <c r="A369" s="35">
        <v>33908</v>
      </c>
      <c r="B369" s="36">
        <v>707.65</v>
      </c>
      <c r="C369" s="37">
        <v>716.88</v>
      </c>
      <c r="D369" s="43">
        <f t="shared" si="5"/>
        <v>2.0019635463354321E-2</v>
      </c>
      <c r="E369" s="37"/>
    </row>
    <row r="370" spans="1:5" x14ac:dyDescent="0.35">
      <c r="A370" s="38">
        <v>33877</v>
      </c>
      <c r="B370" s="39">
        <v>697.11</v>
      </c>
      <c r="C370" s="40">
        <v>702.81</v>
      </c>
      <c r="D370" s="43">
        <f t="shared" si="5"/>
        <v>1.6091256072172096E-2</v>
      </c>
      <c r="E370" s="40"/>
    </row>
    <row r="371" spans="1:5" x14ac:dyDescent="0.35">
      <c r="A371" s="35">
        <v>33847</v>
      </c>
      <c r="B371" s="36">
        <v>693.72</v>
      </c>
      <c r="C371" s="37">
        <v>691.68</v>
      </c>
      <c r="D371" s="43">
        <f t="shared" si="5"/>
        <v>-1.9088407975721186E-2</v>
      </c>
      <c r="E371" s="37"/>
    </row>
    <row r="372" spans="1:5" x14ac:dyDescent="0.35">
      <c r="A372" s="38">
        <v>33816</v>
      </c>
      <c r="B372" s="39">
        <v>704.5</v>
      </c>
      <c r="C372" s="40">
        <v>705.14</v>
      </c>
      <c r="D372" s="43">
        <f t="shared" si="5"/>
        <v>1.0851957509640518E-2</v>
      </c>
      <c r="E372" s="40"/>
    </row>
    <row r="373" spans="1:5" x14ac:dyDescent="0.35">
      <c r="A373" s="35">
        <v>33785</v>
      </c>
      <c r="B373" s="36">
        <v>675.79</v>
      </c>
      <c r="C373" s="37">
        <v>697.57</v>
      </c>
      <c r="D373" s="43">
        <f t="shared" si="5"/>
        <v>4.9972154070773885E-2</v>
      </c>
      <c r="E373" s="37"/>
    </row>
    <row r="374" spans="1:5" x14ac:dyDescent="0.35">
      <c r="A374" s="38">
        <v>33755</v>
      </c>
      <c r="B374" s="39">
        <v>659.81</v>
      </c>
      <c r="C374" s="40">
        <v>664.37</v>
      </c>
      <c r="D374" s="43">
        <f t="shared" si="5"/>
        <v>1.6120398268663051E-2</v>
      </c>
      <c r="E374" s="40"/>
    </row>
    <row r="375" spans="1:5" x14ac:dyDescent="0.35">
      <c r="A375" s="35">
        <v>33724</v>
      </c>
      <c r="B375" s="36">
        <v>649.16</v>
      </c>
      <c r="C375" s="37">
        <v>653.83000000000004</v>
      </c>
      <c r="D375" s="43">
        <f t="shared" si="5"/>
        <v>1.9077604077370296E-2</v>
      </c>
      <c r="E375" s="37"/>
    </row>
    <row r="376" spans="1:5" x14ac:dyDescent="0.35">
      <c r="A376" s="38">
        <v>33694</v>
      </c>
      <c r="B376" s="39">
        <v>640.33000000000004</v>
      </c>
      <c r="C376" s="40">
        <v>641.59</v>
      </c>
      <c r="D376" s="43">
        <f t="shared" si="5"/>
        <v>7.9335155685425398E-3</v>
      </c>
      <c r="E376" s="40"/>
    </row>
    <row r="377" spans="1:5" x14ac:dyDescent="0.35">
      <c r="A377" s="35">
        <v>33663</v>
      </c>
      <c r="B377" s="36">
        <v>635.53</v>
      </c>
      <c r="C377" s="37">
        <v>636.54</v>
      </c>
      <c r="D377" s="43">
        <f t="shared" si="5"/>
        <v>-1.1998075341083736E-2</v>
      </c>
      <c r="E377" s="37"/>
    </row>
    <row r="378" spans="1:5" x14ac:dyDescent="0.35">
      <c r="A378" s="38">
        <v>33634</v>
      </c>
      <c r="B378" s="39">
        <v>645.17999999999995</v>
      </c>
      <c r="C378" s="40">
        <v>644.27</v>
      </c>
      <c r="D378" s="43">
        <f t="shared" si="5"/>
        <v>8.8629993266625458E-3</v>
      </c>
      <c r="E378" s="40"/>
    </row>
    <row r="379" spans="1:5" x14ac:dyDescent="0.35">
      <c r="A379" s="35">
        <v>33603</v>
      </c>
      <c r="B379" s="36">
        <v>630.38</v>
      </c>
      <c r="C379" s="37">
        <v>638.61</v>
      </c>
      <c r="D379" s="43">
        <f t="shared" si="5"/>
        <v>-8.0739887721318598E-2</v>
      </c>
      <c r="E379" s="37"/>
    </row>
    <row r="380" spans="1:5" x14ac:dyDescent="0.35">
      <c r="A380" s="38">
        <v>33572</v>
      </c>
      <c r="B380" s="39">
        <v>687.59</v>
      </c>
      <c r="C380" s="40">
        <v>694.7</v>
      </c>
      <c r="D380" s="43"/>
      <c r="E380" s="40"/>
    </row>
    <row r="381" spans="1:5" x14ac:dyDescent="0.35">
      <c r="A381" s="41" t="s">
        <v>55</v>
      </c>
      <c r="D381" s="43"/>
    </row>
    <row r="382" spans="1:5" ht="23" x14ac:dyDescent="0.35">
      <c r="A382" s="42" t="s">
        <v>56</v>
      </c>
      <c r="D382" s="43"/>
    </row>
    <row r="383" spans="1:5" x14ac:dyDescent="0.35">
      <c r="A383" s="42" t="s">
        <v>55</v>
      </c>
      <c r="D383" s="43"/>
    </row>
    <row r="384" spans="1:5" x14ac:dyDescent="0.35">
      <c r="A384" s="42" t="s">
        <v>57</v>
      </c>
      <c r="D384" s="43"/>
    </row>
    <row r="385" spans="1:4" x14ac:dyDescent="0.35">
      <c r="A385" s="42" t="s">
        <v>55</v>
      </c>
      <c r="D385" s="43"/>
    </row>
    <row r="386" spans="1:4" ht="24" x14ac:dyDescent="0.35">
      <c r="A386" s="42" t="s">
        <v>58</v>
      </c>
      <c r="D386" s="43"/>
    </row>
    <row r="387" spans="1:4" x14ac:dyDescent="0.35">
      <c r="A387" s="31" t="s">
        <v>51</v>
      </c>
      <c r="D387" s="43"/>
    </row>
  </sheetData>
  <hyperlinks>
    <hyperlink ref="A382" r:id="rId1" xr:uid="{17C85C3B-9CDD-4315-BC71-269157BB288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1F24-FB72-4D72-96DC-EDEB5733C1E5}">
  <sheetPr codeName="Sheet3"/>
  <dimension ref="A1:AD32"/>
  <sheetViews>
    <sheetView topLeftCell="A6" zoomScale="80" zoomScaleNormal="80" workbookViewId="0">
      <pane xSplit="1" topLeftCell="N1" activePane="topRight" state="frozen"/>
      <selection pane="topRight" activeCell="Z3" sqref="Z3:AD31"/>
    </sheetView>
  </sheetViews>
  <sheetFormatPr defaultRowHeight="14.5" x14ac:dyDescent="0.35"/>
  <cols>
    <col min="1" max="1" width="8.7265625" style="1"/>
    <col min="2" max="2" width="15.08984375" customWidth="1"/>
    <col min="3" max="3" width="13" style="1" customWidth="1"/>
    <col min="4" max="4" width="6.90625" customWidth="1"/>
    <col min="5" max="5" width="14" customWidth="1"/>
    <col min="7" max="7" width="8.7265625" style="1"/>
    <col min="8" max="8" width="15.54296875" customWidth="1"/>
    <col min="9" max="9" width="13" style="1" customWidth="1"/>
    <col min="10" max="10" width="6.90625" customWidth="1"/>
    <col min="11" max="11" width="14" customWidth="1"/>
    <col min="13" max="13" width="8.7265625" style="1"/>
    <col min="14" max="14" width="15.08984375" customWidth="1"/>
    <col min="15" max="15" width="13" style="1" customWidth="1"/>
    <col min="16" max="16" width="6.90625" customWidth="1"/>
    <col min="17" max="17" width="14" customWidth="1"/>
    <col min="19" max="19" width="8.7265625" style="1"/>
    <col min="20" max="20" width="15.54296875" customWidth="1"/>
    <col min="21" max="21" width="13" style="1" customWidth="1"/>
    <col min="22" max="22" width="6.90625" customWidth="1"/>
    <col min="23" max="23" width="14" customWidth="1"/>
    <col min="26" max="26" width="8.7265625" style="1"/>
    <col min="27" max="27" width="15.08984375" customWidth="1"/>
    <col min="28" max="28" width="13" style="1" customWidth="1"/>
    <col min="29" max="29" width="6.90625" customWidth="1"/>
    <col min="30" max="30" width="14" customWidth="1"/>
  </cols>
  <sheetData>
    <row r="1" spans="1:30" x14ac:dyDescent="0.35">
      <c r="A1" s="7"/>
      <c r="B1" s="87" t="s">
        <v>28</v>
      </c>
      <c r="C1" s="87"/>
      <c r="D1" s="87"/>
      <c r="E1" s="87"/>
      <c r="G1" s="7"/>
      <c r="H1" s="87" t="s">
        <v>27</v>
      </c>
      <c r="I1" s="87"/>
      <c r="J1" s="87"/>
      <c r="K1" s="87"/>
      <c r="M1" s="7"/>
      <c r="N1" s="87" t="s">
        <v>28</v>
      </c>
      <c r="O1" s="87"/>
      <c r="P1" s="87"/>
      <c r="Q1" s="87"/>
      <c r="S1" s="7"/>
      <c r="T1" s="87" t="s">
        <v>27</v>
      </c>
      <c r="U1" s="87"/>
      <c r="V1" s="87"/>
      <c r="W1" s="87"/>
      <c r="Z1" s="7"/>
      <c r="AA1" s="87" t="s">
        <v>28</v>
      </c>
      <c r="AB1" s="87"/>
      <c r="AC1" s="87"/>
      <c r="AD1" s="87"/>
    </row>
    <row r="2" spans="1:30" s="2" customFormat="1" x14ac:dyDescent="0.35">
      <c r="A2" s="4" t="s">
        <v>0</v>
      </c>
      <c r="B2" s="5" t="s">
        <v>29</v>
      </c>
      <c r="C2" s="5" t="s">
        <v>30</v>
      </c>
      <c r="D2" s="5" t="s">
        <v>31</v>
      </c>
      <c r="E2" s="5" t="s">
        <v>32</v>
      </c>
      <c r="G2" s="4" t="s">
        <v>0</v>
      </c>
      <c r="H2" s="5" t="s">
        <v>29</v>
      </c>
      <c r="I2" s="5" t="s">
        <v>30</v>
      </c>
      <c r="J2" s="5" t="s">
        <v>31</v>
      </c>
      <c r="K2" s="5" t="s">
        <v>32</v>
      </c>
      <c r="M2" s="4" t="s">
        <v>0</v>
      </c>
      <c r="N2" s="5" t="s">
        <v>29</v>
      </c>
      <c r="O2" s="5" t="s">
        <v>30</v>
      </c>
      <c r="P2" s="5" t="s">
        <v>31</v>
      </c>
      <c r="Q2" s="5" t="s">
        <v>32</v>
      </c>
      <c r="S2" s="4" t="s">
        <v>0</v>
      </c>
      <c r="T2" s="5" t="s">
        <v>29</v>
      </c>
      <c r="U2" s="5" t="s">
        <v>30</v>
      </c>
      <c r="V2" s="5" t="s">
        <v>31</v>
      </c>
      <c r="W2" s="5" t="s">
        <v>32</v>
      </c>
      <c r="Z2" s="4" t="s">
        <v>0</v>
      </c>
      <c r="AA2" s="5" t="s">
        <v>29</v>
      </c>
      <c r="AB2" s="5" t="s">
        <v>30</v>
      </c>
      <c r="AC2" s="5" t="s">
        <v>31</v>
      </c>
      <c r="AD2" s="5" t="s">
        <v>32</v>
      </c>
    </row>
    <row r="3" spans="1:30" x14ac:dyDescent="0.35">
      <c r="A3" s="6">
        <v>2022</v>
      </c>
      <c r="B3" s="6">
        <v>1.5</v>
      </c>
      <c r="C3" s="6">
        <v>12.5</v>
      </c>
      <c r="D3" s="6"/>
      <c r="E3" s="6">
        <v>300</v>
      </c>
      <c r="G3" s="6">
        <v>2022</v>
      </c>
      <c r="H3" s="6">
        <v>0.95</v>
      </c>
      <c r="I3" s="6">
        <v>12.5</v>
      </c>
      <c r="J3" s="6"/>
      <c r="K3" s="6">
        <v>300</v>
      </c>
      <c r="M3" s="6">
        <v>0</v>
      </c>
      <c r="N3" s="12">
        <f>B3/B$3</f>
        <v>1</v>
      </c>
      <c r="O3" s="12">
        <f>C3/C$3</f>
        <v>1</v>
      </c>
      <c r="P3" s="12">
        <f>N3</f>
        <v>1</v>
      </c>
      <c r="Q3" s="12">
        <f>E3/E$3</f>
        <v>1</v>
      </c>
      <c r="S3" s="6">
        <v>0</v>
      </c>
      <c r="T3" s="12">
        <f>H3/H$3</f>
        <v>1</v>
      </c>
      <c r="U3" s="12">
        <f>I3/I$3</f>
        <v>1</v>
      </c>
      <c r="V3" s="12">
        <f>T3</f>
        <v>1</v>
      </c>
      <c r="W3" s="12">
        <f>K3/K$3</f>
        <v>1</v>
      </c>
      <c r="Z3" s="6">
        <v>0</v>
      </c>
      <c r="AA3" s="12">
        <f>(N3+T3)/2</f>
        <v>1</v>
      </c>
      <c r="AB3" s="12">
        <f t="shared" ref="AB3:AD3" si="0">(O3+U3)/2</f>
        <v>1</v>
      </c>
      <c r="AC3" s="12">
        <f t="shared" si="0"/>
        <v>1</v>
      </c>
      <c r="AD3" s="12">
        <f t="shared" si="0"/>
        <v>1</v>
      </c>
    </row>
    <row r="4" spans="1:30" x14ac:dyDescent="0.35">
      <c r="A4" s="6">
        <v>2023</v>
      </c>
      <c r="B4" s="6">
        <v>1.5</v>
      </c>
      <c r="C4" s="3">
        <f>C3-(C$3-C$31)/28</f>
        <v>12.276785714285714</v>
      </c>
      <c r="D4" s="3"/>
      <c r="E4" s="6">
        <v>248</v>
      </c>
      <c r="G4" s="6">
        <v>2023</v>
      </c>
      <c r="H4" s="6">
        <v>0.95</v>
      </c>
      <c r="I4" s="6">
        <v>12.5</v>
      </c>
      <c r="J4" s="6"/>
      <c r="K4" s="6">
        <v>266.66666666666669</v>
      </c>
      <c r="M4" s="6">
        <v>1</v>
      </c>
      <c r="N4" s="12">
        <f t="shared" ref="N4:N31" si="1">B4/B$3</f>
        <v>1</v>
      </c>
      <c r="O4" s="12">
        <f t="shared" ref="O4:O31" si="2">C4/C$3</f>
        <v>0.9821428571428571</v>
      </c>
      <c r="P4" s="12">
        <f t="shared" ref="P4:P32" si="3">N4</f>
        <v>1</v>
      </c>
      <c r="Q4" s="12">
        <f t="shared" ref="Q4:Q31" si="4">E4/E$3</f>
        <v>0.82666666666666666</v>
      </c>
      <c r="S4" s="6">
        <v>1</v>
      </c>
      <c r="T4" s="12">
        <f t="shared" ref="T4:T31" si="5">H4/H$3</f>
        <v>1</v>
      </c>
      <c r="U4" s="12">
        <f t="shared" ref="U4:U31" si="6">I4/I$3</f>
        <v>1</v>
      </c>
      <c r="V4" s="12">
        <f t="shared" ref="V4:V32" si="7">T4</f>
        <v>1</v>
      </c>
      <c r="W4" s="12">
        <f t="shared" ref="W4:W31" si="8">K4/K$3</f>
        <v>0.88888888888888895</v>
      </c>
      <c r="Z4" s="6">
        <v>1</v>
      </c>
      <c r="AA4" s="12">
        <f t="shared" ref="AA4:AA31" si="9">(N4+T4)/2</f>
        <v>1</v>
      </c>
      <c r="AB4" s="12">
        <f t="shared" ref="AB4:AB31" si="10">(O4+U4)/2</f>
        <v>0.9910714285714286</v>
      </c>
      <c r="AC4" s="12">
        <f t="shared" ref="AC4:AC31" si="11">(P4+V4)/2</f>
        <v>1</v>
      </c>
      <c r="AD4" s="12">
        <f t="shared" ref="AD4:AD31" si="12">(Q4+W4)/2</f>
        <v>0.85777777777777775</v>
      </c>
    </row>
    <row r="5" spans="1:30" x14ac:dyDescent="0.35">
      <c r="A5" s="6">
        <v>2024</v>
      </c>
      <c r="B5" s="6">
        <v>1.5</v>
      </c>
      <c r="C5" s="3">
        <f t="shared" ref="C5:C30" si="13">C4-(C$3-C$31)/28</f>
        <v>12.053571428571427</v>
      </c>
      <c r="D5" s="3"/>
      <c r="E5" s="6">
        <v>196</v>
      </c>
      <c r="G5" s="6">
        <v>2024</v>
      </c>
      <c r="H5" s="6">
        <v>0.95</v>
      </c>
      <c r="I5" s="6">
        <v>12.5</v>
      </c>
      <c r="J5" s="6"/>
      <c r="K5" s="6">
        <v>233.33333333333331</v>
      </c>
      <c r="M5" s="6">
        <v>2</v>
      </c>
      <c r="N5" s="12">
        <f t="shared" si="1"/>
        <v>1</v>
      </c>
      <c r="O5" s="12">
        <f t="shared" si="2"/>
        <v>0.96428571428571419</v>
      </c>
      <c r="P5" s="12">
        <f t="shared" si="3"/>
        <v>1</v>
      </c>
      <c r="Q5" s="12">
        <f t="shared" si="4"/>
        <v>0.65333333333333332</v>
      </c>
      <c r="S5" s="6">
        <v>2</v>
      </c>
      <c r="T5" s="12">
        <f t="shared" si="5"/>
        <v>1</v>
      </c>
      <c r="U5" s="12">
        <f t="shared" si="6"/>
        <v>1</v>
      </c>
      <c r="V5" s="12">
        <f t="shared" si="7"/>
        <v>1</v>
      </c>
      <c r="W5" s="12">
        <f t="shared" si="8"/>
        <v>0.77777777777777768</v>
      </c>
      <c r="Z5" s="6">
        <v>2</v>
      </c>
      <c r="AA5" s="12">
        <f t="shared" si="9"/>
        <v>1</v>
      </c>
      <c r="AB5" s="12">
        <f t="shared" si="10"/>
        <v>0.9821428571428571</v>
      </c>
      <c r="AC5" s="12">
        <f t="shared" si="11"/>
        <v>1</v>
      </c>
      <c r="AD5" s="12">
        <f t="shared" si="12"/>
        <v>0.7155555555555555</v>
      </c>
    </row>
    <row r="6" spans="1:30" x14ac:dyDescent="0.35">
      <c r="A6" s="6">
        <v>2025</v>
      </c>
      <c r="B6" s="6">
        <v>1.5</v>
      </c>
      <c r="C6" s="3">
        <f t="shared" si="13"/>
        <v>11.830357142857141</v>
      </c>
      <c r="D6" s="3"/>
      <c r="E6" s="6">
        <v>144</v>
      </c>
      <c r="G6" s="6">
        <v>2025</v>
      </c>
      <c r="H6" s="6">
        <v>0.95</v>
      </c>
      <c r="I6" s="6">
        <v>12.5</v>
      </c>
      <c r="J6" s="6"/>
      <c r="K6" s="6">
        <v>200</v>
      </c>
      <c r="M6" s="6">
        <v>3</v>
      </c>
      <c r="N6" s="12">
        <f t="shared" si="1"/>
        <v>1</v>
      </c>
      <c r="O6" s="12">
        <f t="shared" si="2"/>
        <v>0.94642857142857129</v>
      </c>
      <c r="P6" s="12">
        <f t="shared" si="3"/>
        <v>1</v>
      </c>
      <c r="Q6" s="12">
        <f>E6/E$3</f>
        <v>0.48</v>
      </c>
      <c r="S6" s="6">
        <v>3</v>
      </c>
      <c r="T6" s="12">
        <f t="shared" si="5"/>
        <v>1</v>
      </c>
      <c r="U6" s="12">
        <f t="shared" si="6"/>
        <v>1</v>
      </c>
      <c r="V6" s="12">
        <f t="shared" si="7"/>
        <v>1</v>
      </c>
      <c r="W6" s="12">
        <f t="shared" si="8"/>
        <v>0.66666666666666663</v>
      </c>
      <c r="Z6" s="6">
        <v>3</v>
      </c>
      <c r="AA6" s="12">
        <f t="shared" si="9"/>
        <v>1</v>
      </c>
      <c r="AB6" s="12">
        <f t="shared" si="10"/>
        <v>0.97321428571428559</v>
      </c>
      <c r="AC6" s="12">
        <f t="shared" si="11"/>
        <v>1</v>
      </c>
      <c r="AD6" s="12">
        <f t="shared" si="12"/>
        <v>0.57333333333333325</v>
      </c>
    </row>
    <row r="7" spans="1:30" x14ac:dyDescent="0.35">
      <c r="A7" s="6">
        <v>2026</v>
      </c>
      <c r="B7" s="6">
        <v>1.5</v>
      </c>
      <c r="C7" s="3">
        <f t="shared" si="13"/>
        <v>11.607142857142854</v>
      </c>
      <c r="D7" s="3"/>
      <c r="E7" s="6">
        <v>128.80000000000001</v>
      </c>
      <c r="G7" s="6">
        <v>2026</v>
      </c>
      <c r="H7" s="6">
        <v>0.95</v>
      </c>
      <c r="I7" s="6">
        <v>12.5</v>
      </c>
      <c r="J7" s="6"/>
      <c r="K7" s="6">
        <v>190</v>
      </c>
      <c r="M7" s="6">
        <v>4</v>
      </c>
      <c r="N7" s="12">
        <f t="shared" si="1"/>
        <v>1</v>
      </c>
      <c r="O7" s="12">
        <f t="shared" si="2"/>
        <v>0.92857142857142838</v>
      </c>
      <c r="P7" s="12">
        <f t="shared" si="3"/>
        <v>1</v>
      </c>
      <c r="Q7" s="12">
        <f>E7/E$3</f>
        <v>0.42933333333333334</v>
      </c>
      <c r="S7" s="6">
        <v>4</v>
      </c>
      <c r="T7" s="12">
        <f t="shared" si="5"/>
        <v>1</v>
      </c>
      <c r="U7" s="12">
        <f t="shared" si="6"/>
        <v>1</v>
      </c>
      <c r="V7" s="12">
        <f t="shared" si="7"/>
        <v>1</v>
      </c>
      <c r="W7" s="12">
        <f t="shared" si="8"/>
        <v>0.6333333333333333</v>
      </c>
      <c r="Z7" s="6">
        <v>4</v>
      </c>
      <c r="AA7" s="12">
        <f t="shared" si="9"/>
        <v>1</v>
      </c>
      <c r="AB7" s="12">
        <f t="shared" si="10"/>
        <v>0.96428571428571419</v>
      </c>
      <c r="AC7" s="12">
        <f t="shared" si="11"/>
        <v>1</v>
      </c>
      <c r="AD7" s="12">
        <f t="shared" si="12"/>
        <v>0.53133333333333332</v>
      </c>
    </row>
    <row r="8" spans="1:30" x14ac:dyDescent="0.35">
      <c r="A8" s="6">
        <v>2027</v>
      </c>
      <c r="B8" s="6">
        <v>1.5</v>
      </c>
      <c r="C8" s="3">
        <f t="shared" si="13"/>
        <v>11.383928571428568</v>
      </c>
      <c r="D8" s="3"/>
      <c r="E8" s="6">
        <v>113.6</v>
      </c>
      <c r="G8" s="6">
        <v>2027</v>
      </c>
      <c r="H8" s="6">
        <v>0.95</v>
      </c>
      <c r="I8" s="6">
        <v>12.5</v>
      </c>
      <c r="J8" s="6"/>
      <c r="K8" s="6">
        <v>180</v>
      </c>
      <c r="M8" s="6">
        <v>5</v>
      </c>
      <c r="N8" s="12">
        <f t="shared" si="1"/>
        <v>1</v>
      </c>
      <c r="O8" s="12">
        <f t="shared" si="2"/>
        <v>0.91071428571428537</v>
      </c>
      <c r="P8" s="12">
        <f t="shared" si="3"/>
        <v>1</v>
      </c>
      <c r="Q8" s="12">
        <f t="shared" si="4"/>
        <v>0.37866666666666665</v>
      </c>
      <c r="S8" s="6">
        <v>5</v>
      </c>
      <c r="T8" s="12">
        <f t="shared" si="5"/>
        <v>1</v>
      </c>
      <c r="U8" s="12">
        <f t="shared" si="6"/>
        <v>1</v>
      </c>
      <c r="V8" s="12">
        <f t="shared" si="7"/>
        <v>1</v>
      </c>
      <c r="W8" s="12">
        <f t="shared" si="8"/>
        <v>0.6</v>
      </c>
      <c r="Z8" s="6">
        <v>5</v>
      </c>
      <c r="AA8" s="12">
        <f t="shared" si="9"/>
        <v>1</v>
      </c>
      <c r="AB8" s="12">
        <f t="shared" si="10"/>
        <v>0.95535714285714268</v>
      </c>
      <c r="AC8" s="12">
        <f t="shared" si="11"/>
        <v>1</v>
      </c>
      <c r="AD8" s="12">
        <f t="shared" si="12"/>
        <v>0.48933333333333329</v>
      </c>
    </row>
    <row r="9" spans="1:30" x14ac:dyDescent="0.35">
      <c r="A9" s="6">
        <v>2028</v>
      </c>
      <c r="B9" s="6">
        <v>1.5</v>
      </c>
      <c r="C9" s="3">
        <f t="shared" si="13"/>
        <v>11.160714285714281</v>
      </c>
      <c r="D9" s="3"/>
      <c r="E9" s="6">
        <v>98.4</v>
      </c>
      <c r="G9" s="6">
        <v>2028</v>
      </c>
      <c r="H9" s="6">
        <v>0.95</v>
      </c>
      <c r="I9" s="6">
        <v>12.5</v>
      </c>
      <c r="J9" s="6"/>
      <c r="K9" s="6">
        <v>170</v>
      </c>
      <c r="M9" s="6">
        <v>6</v>
      </c>
      <c r="N9" s="12">
        <f t="shared" si="1"/>
        <v>1</v>
      </c>
      <c r="O9" s="12">
        <f t="shared" si="2"/>
        <v>0.89285714285714246</v>
      </c>
      <c r="P9" s="12">
        <f t="shared" si="3"/>
        <v>1</v>
      </c>
      <c r="Q9" s="12">
        <f t="shared" si="4"/>
        <v>0.32800000000000001</v>
      </c>
      <c r="S9" s="6">
        <v>6</v>
      </c>
      <c r="T9" s="12">
        <f t="shared" si="5"/>
        <v>1</v>
      </c>
      <c r="U9" s="12">
        <f t="shared" si="6"/>
        <v>1</v>
      </c>
      <c r="V9" s="12">
        <f t="shared" si="7"/>
        <v>1</v>
      </c>
      <c r="W9" s="12">
        <f t="shared" si="8"/>
        <v>0.56666666666666665</v>
      </c>
      <c r="Z9" s="6">
        <v>6</v>
      </c>
      <c r="AA9" s="12">
        <f t="shared" si="9"/>
        <v>1</v>
      </c>
      <c r="AB9" s="12">
        <f t="shared" si="10"/>
        <v>0.94642857142857117</v>
      </c>
      <c r="AC9" s="12">
        <f t="shared" si="11"/>
        <v>1</v>
      </c>
      <c r="AD9" s="12">
        <f t="shared" si="12"/>
        <v>0.44733333333333336</v>
      </c>
    </row>
    <row r="10" spans="1:30" x14ac:dyDescent="0.35">
      <c r="A10" s="6">
        <v>2029</v>
      </c>
      <c r="B10" s="6">
        <v>1.5</v>
      </c>
      <c r="C10" s="3">
        <f t="shared" si="13"/>
        <v>10.937499999999995</v>
      </c>
      <c r="D10" s="3"/>
      <c r="E10" s="6">
        <v>83.2</v>
      </c>
      <c r="G10" s="6">
        <v>2029</v>
      </c>
      <c r="H10" s="6">
        <v>0.95</v>
      </c>
      <c r="I10" s="6">
        <v>12.5</v>
      </c>
      <c r="J10" s="6"/>
      <c r="K10" s="6">
        <v>160</v>
      </c>
      <c r="M10" s="6">
        <v>7</v>
      </c>
      <c r="N10" s="12">
        <f t="shared" si="1"/>
        <v>1</v>
      </c>
      <c r="O10" s="12">
        <f t="shared" si="2"/>
        <v>0.87499999999999956</v>
      </c>
      <c r="P10" s="12">
        <f t="shared" si="3"/>
        <v>1</v>
      </c>
      <c r="Q10" s="12">
        <f t="shared" si="4"/>
        <v>0.27733333333333332</v>
      </c>
      <c r="S10" s="6">
        <v>7</v>
      </c>
      <c r="T10" s="12">
        <f t="shared" si="5"/>
        <v>1</v>
      </c>
      <c r="U10" s="12">
        <f t="shared" si="6"/>
        <v>1</v>
      </c>
      <c r="V10" s="12">
        <f t="shared" si="7"/>
        <v>1</v>
      </c>
      <c r="W10" s="12">
        <f t="shared" si="8"/>
        <v>0.53333333333333333</v>
      </c>
      <c r="Z10" s="6">
        <v>7</v>
      </c>
      <c r="AA10" s="12">
        <f t="shared" si="9"/>
        <v>1</v>
      </c>
      <c r="AB10" s="12">
        <f t="shared" si="10"/>
        <v>0.93749999999999978</v>
      </c>
      <c r="AC10" s="12">
        <f t="shared" si="11"/>
        <v>1</v>
      </c>
      <c r="AD10" s="12">
        <f t="shared" si="12"/>
        <v>0.40533333333333332</v>
      </c>
    </row>
    <row r="11" spans="1:30" x14ac:dyDescent="0.35">
      <c r="A11" s="6">
        <v>2030</v>
      </c>
      <c r="B11" s="6">
        <v>1.5</v>
      </c>
      <c r="C11" s="3">
        <f t="shared" si="13"/>
        <v>10.714285714285708</v>
      </c>
      <c r="D11" s="3"/>
      <c r="E11" s="6">
        <v>68</v>
      </c>
      <c r="G11" s="6">
        <v>2030</v>
      </c>
      <c r="H11" s="6">
        <v>0.95</v>
      </c>
      <c r="I11" s="6">
        <v>12.5</v>
      </c>
      <c r="J11" s="6"/>
      <c r="K11" s="6">
        <v>150</v>
      </c>
      <c r="M11" s="6">
        <v>8</v>
      </c>
      <c r="N11" s="12">
        <f t="shared" si="1"/>
        <v>1</v>
      </c>
      <c r="O11" s="12">
        <f t="shared" si="2"/>
        <v>0.85714285714285665</v>
      </c>
      <c r="P11" s="12">
        <f t="shared" si="3"/>
        <v>1</v>
      </c>
      <c r="Q11" s="12">
        <f t="shared" si="4"/>
        <v>0.22666666666666666</v>
      </c>
      <c r="S11" s="6">
        <v>8</v>
      </c>
      <c r="T11" s="12">
        <f t="shared" si="5"/>
        <v>1</v>
      </c>
      <c r="U11" s="12">
        <f t="shared" si="6"/>
        <v>1</v>
      </c>
      <c r="V11" s="12">
        <f t="shared" si="7"/>
        <v>1</v>
      </c>
      <c r="W11" s="12">
        <f t="shared" si="8"/>
        <v>0.5</v>
      </c>
      <c r="Z11" s="6">
        <v>8</v>
      </c>
      <c r="AA11" s="12">
        <f t="shared" si="9"/>
        <v>1</v>
      </c>
      <c r="AB11" s="12">
        <f t="shared" si="10"/>
        <v>0.92857142857142838</v>
      </c>
      <c r="AC11" s="12">
        <f t="shared" si="11"/>
        <v>1</v>
      </c>
      <c r="AD11" s="12">
        <f t="shared" si="12"/>
        <v>0.36333333333333334</v>
      </c>
    </row>
    <row r="12" spans="1:30" x14ac:dyDescent="0.35">
      <c r="A12" s="6">
        <v>2031</v>
      </c>
      <c r="B12" s="6">
        <v>1.5</v>
      </c>
      <c r="C12" s="3">
        <f t="shared" si="13"/>
        <v>10.491071428571422</v>
      </c>
      <c r="D12" s="3"/>
      <c r="E12" s="6">
        <v>67.25</v>
      </c>
      <c r="G12" s="6">
        <v>2031</v>
      </c>
      <c r="H12" s="6">
        <v>0.95</v>
      </c>
      <c r="I12" s="6">
        <v>12.5</v>
      </c>
      <c r="J12" s="6"/>
      <c r="K12" s="6">
        <v>144.4</v>
      </c>
      <c r="L12" s="6"/>
      <c r="M12" s="6">
        <v>9</v>
      </c>
      <c r="N12" s="12">
        <f t="shared" si="1"/>
        <v>1</v>
      </c>
      <c r="O12" s="12">
        <f t="shared" si="2"/>
        <v>0.83928571428571375</v>
      </c>
      <c r="P12" s="12">
        <f t="shared" si="3"/>
        <v>1</v>
      </c>
      <c r="Q12" s="12">
        <f t="shared" si="4"/>
        <v>0.22416666666666665</v>
      </c>
      <c r="S12" s="6">
        <v>9</v>
      </c>
      <c r="T12" s="12">
        <f t="shared" si="5"/>
        <v>1</v>
      </c>
      <c r="U12" s="12">
        <f t="shared" si="6"/>
        <v>1</v>
      </c>
      <c r="V12" s="12">
        <f t="shared" si="7"/>
        <v>1</v>
      </c>
      <c r="W12" s="12">
        <f t="shared" si="8"/>
        <v>0.48133333333333334</v>
      </c>
      <c r="Z12" s="6">
        <v>9</v>
      </c>
      <c r="AA12" s="12">
        <f t="shared" si="9"/>
        <v>1</v>
      </c>
      <c r="AB12" s="12">
        <f t="shared" si="10"/>
        <v>0.91964285714285687</v>
      </c>
      <c r="AC12" s="12">
        <f t="shared" si="11"/>
        <v>1</v>
      </c>
      <c r="AD12" s="12">
        <f t="shared" si="12"/>
        <v>0.35275000000000001</v>
      </c>
    </row>
    <row r="13" spans="1:30" x14ac:dyDescent="0.35">
      <c r="A13" s="6">
        <v>2032</v>
      </c>
      <c r="B13" s="6">
        <v>1.5</v>
      </c>
      <c r="C13" s="3">
        <f t="shared" si="13"/>
        <v>10.267857142857135</v>
      </c>
      <c r="D13" s="3"/>
      <c r="E13" s="6">
        <v>66.5</v>
      </c>
      <c r="G13" s="6">
        <v>2032</v>
      </c>
      <c r="H13" s="6">
        <v>0.95</v>
      </c>
      <c r="I13" s="6">
        <v>12.5</v>
      </c>
      <c r="J13" s="6"/>
      <c r="K13" s="6">
        <v>138.80000000000001</v>
      </c>
      <c r="L13" s="6"/>
      <c r="M13" s="6">
        <v>10</v>
      </c>
      <c r="N13" s="12">
        <f t="shared" si="1"/>
        <v>1</v>
      </c>
      <c r="O13" s="12">
        <f t="shared" si="2"/>
        <v>0.82142857142857084</v>
      </c>
      <c r="P13" s="12">
        <f t="shared" si="3"/>
        <v>1</v>
      </c>
      <c r="Q13" s="12">
        <f t="shared" si="4"/>
        <v>0.22166666666666668</v>
      </c>
      <c r="S13" s="6">
        <v>10</v>
      </c>
      <c r="T13" s="12">
        <f t="shared" si="5"/>
        <v>1</v>
      </c>
      <c r="U13" s="12">
        <f t="shared" si="6"/>
        <v>1</v>
      </c>
      <c r="V13" s="12">
        <f t="shared" si="7"/>
        <v>1</v>
      </c>
      <c r="W13" s="12">
        <f t="shared" si="8"/>
        <v>0.46266666666666673</v>
      </c>
      <c r="Z13" s="6">
        <v>10</v>
      </c>
      <c r="AA13" s="12">
        <f t="shared" si="9"/>
        <v>1</v>
      </c>
      <c r="AB13" s="12">
        <f t="shared" si="10"/>
        <v>0.91071428571428537</v>
      </c>
      <c r="AC13" s="12">
        <f t="shared" si="11"/>
        <v>1</v>
      </c>
      <c r="AD13" s="12">
        <f t="shared" si="12"/>
        <v>0.34216666666666673</v>
      </c>
    </row>
    <row r="14" spans="1:30" x14ac:dyDescent="0.35">
      <c r="A14" s="6">
        <v>2033</v>
      </c>
      <c r="B14" s="6">
        <v>1.5</v>
      </c>
      <c r="C14" s="3">
        <f t="shared" si="13"/>
        <v>10.044642857142849</v>
      </c>
      <c r="D14" s="3"/>
      <c r="E14" s="6">
        <v>65.75</v>
      </c>
      <c r="G14" s="6">
        <v>2033</v>
      </c>
      <c r="H14" s="6">
        <v>0.95</v>
      </c>
      <c r="I14" s="6">
        <v>12.5</v>
      </c>
      <c r="J14" s="6"/>
      <c r="K14" s="6">
        <v>133.19999999999999</v>
      </c>
      <c r="L14" s="6"/>
      <c r="M14" s="6">
        <v>11</v>
      </c>
      <c r="N14" s="12">
        <f t="shared" si="1"/>
        <v>1</v>
      </c>
      <c r="O14" s="12">
        <f t="shared" si="2"/>
        <v>0.80357142857142794</v>
      </c>
      <c r="P14" s="12">
        <f t="shared" si="3"/>
        <v>1</v>
      </c>
      <c r="Q14" s="12">
        <f t="shared" si="4"/>
        <v>0.21916666666666668</v>
      </c>
      <c r="S14" s="6">
        <v>11</v>
      </c>
      <c r="T14" s="12">
        <f t="shared" si="5"/>
        <v>1</v>
      </c>
      <c r="U14" s="12">
        <f t="shared" si="6"/>
        <v>1</v>
      </c>
      <c r="V14" s="12">
        <f t="shared" si="7"/>
        <v>1</v>
      </c>
      <c r="W14" s="12">
        <f t="shared" si="8"/>
        <v>0.44399999999999995</v>
      </c>
      <c r="Z14" s="6">
        <v>11</v>
      </c>
      <c r="AA14" s="12">
        <f t="shared" si="9"/>
        <v>1</v>
      </c>
      <c r="AB14" s="12">
        <f t="shared" si="10"/>
        <v>0.90178571428571397</v>
      </c>
      <c r="AC14" s="12">
        <f t="shared" si="11"/>
        <v>1</v>
      </c>
      <c r="AD14" s="12">
        <f t="shared" si="12"/>
        <v>0.33158333333333334</v>
      </c>
    </row>
    <row r="15" spans="1:30" x14ac:dyDescent="0.35">
      <c r="A15" s="6">
        <v>2034</v>
      </c>
      <c r="B15" s="6">
        <v>1.5</v>
      </c>
      <c r="C15" s="3">
        <f t="shared" si="13"/>
        <v>9.8214285714285623</v>
      </c>
      <c r="D15" s="3"/>
      <c r="E15" s="6">
        <v>65</v>
      </c>
      <c r="G15" s="6">
        <v>2034</v>
      </c>
      <c r="H15" s="6">
        <v>0.95</v>
      </c>
      <c r="I15" s="6">
        <v>12.5</v>
      </c>
      <c r="J15" s="6"/>
      <c r="K15" s="6">
        <v>127.6</v>
      </c>
      <c r="L15" s="6"/>
      <c r="M15" s="6">
        <v>12</v>
      </c>
      <c r="N15" s="12">
        <f t="shared" si="1"/>
        <v>1</v>
      </c>
      <c r="O15" s="12">
        <f t="shared" si="2"/>
        <v>0.78571428571428503</v>
      </c>
      <c r="P15" s="12">
        <f t="shared" si="3"/>
        <v>1</v>
      </c>
      <c r="Q15" s="12">
        <f t="shared" si="4"/>
        <v>0.21666666666666667</v>
      </c>
      <c r="S15" s="6">
        <v>12</v>
      </c>
      <c r="T15" s="12">
        <f t="shared" si="5"/>
        <v>1</v>
      </c>
      <c r="U15" s="12">
        <f t="shared" si="6"/>
        <v>1</v>
      </c>
      <c r="V15" s="12">
        <f t="shared" si="7"/>
        <v>1</v>
      </c>
      <c r="W15" s="12">
        <f t="shared" si="8"/>
        <v>0.42533333333333334</v>
      </c>
      <c r="Z15" s="6">
        <v>12</v>
      </c>
      <c r="AA15" s="12">
        <f t="shared" si="9"/>
        <v>1</v>
      </c>
      <c r="AB15" s="12">
        <f t="shared" si="10"/>
        <v>0.89285714285714257</v>
      </c>
      <c r="AC15" s="12">
        <f t="shared" si="11"/>
        <v>1</v>
      </c>
      <c r="AD15" s="12">
        <f t="shared" si="12"/>
        <v>0.32100000000000001</v>
      </c>
    </row>
    <row r="16" spans="1:30" x14ac:dyDescent="0.35">
      <c r="A16" s="6">
        <v>2035</v>
      </c>
      <c r="B16" s="6">
        <v>1.5</v>
      </c>
      <c r="C16" s="3">
        <f t="shared" si="13"/>
        <v>9.5982142857142758</v>
      </c>
      <c r="D16" s="3"/>
      <c r="E16" s="6">
        <v>64.25</v>
      </c>
      <c r="G16" s="6">
        <v>2035</v>
      </c>
      <c r="H16" s="6">
        <v>0.95</v>
      </c>
      <c r="I16" s="6">
        <v>12.5</v>
      </c>
      <c r="J16" s="6"/>
      <c r="K16" s="6">
        <v>122</v>
      </c>
      <c r="L16" s="6"/>
      <c r="M16" s="6">
        <v>13</v>
      </c>
      <c r="N16" s="12">
        <f t="shared" si="1"/>
        <v>1</v>
      </c>
      <c r="O16" s="12">
        <f t="shared" si="2"/>
        <v>0.76785714285714202</v>
      </c>
      <c r="P16" s="12">
        <f t="shared" si="3"/>
        <v>1</v>
      </c>
      <c r="Q16" s="12">
        <f t="shared" si="4"/>
        <v>0.21416666666666667</v>
      </c>
      <c r="S16" s="6">
        <v>13</v>
      </c>
      <c r="T16" s="12">
        <f t="shared" si="5"/>
        <v>1</v>
      </c>
      <c r="U16" s="12">
        <f t="shared" si="6"/>
        <v>1</v>
      </c>
      <c r="V16" s="12">
        <f t="shared" si="7"/>
        <v>1</v>
      </c>
      <c r="W16" s="12">
        <f t="shared" si="8"/>
        <v>0.40666666666666668</v>
      </c>
      <c r="Z16" s="6">
        <v>13</v>
      </c>
      <c r="AA16" s="12">
        <f t="shared" si="9"/>
        <v>1</v>
      </c>
      <c r="AB16" s="12">
        <f t="shared" si="10"/>
        <v>0.88392857142857095</v>
      </c>
      <c r="AC16" s="12">
        <f t="shared" si="11"/>
        <v>1</v>
      </c>
      <c r="AD16" s="12">
        <f t="shared" si="12"/>
        <v>0.31041666666666667</v>
      </c>
    </row>
    <row r="17" spans="1:30" x14ac:dyDescent="0.35">
      <c r="A17" s="6">
        <v>2036</v>
      </c>
      <c r="B17" s="6">
        <v>1.5</v>
      </c>
      <c r="C17" s="3">
        <f t="shared" si="13"/>
        <v>9.3749999999999893</v>
      </c>
      <c r="D17" s="3"/>
      <c r="E17" s="6">
        <v>63.5</v>
      </c>
      <c r="G17" s="6">
        <v>2036</v>
      </c>
      <c r="H17" s="6">
        <v>0.95</v>
      </c>
      <c r="I17" s="6">
        <v>12.5</v>
      </c>
      <c r="J17" s="6"/>
      <c r="K17" s="6">
        <v>144.4</v>
      </c>
      <c r="L17" s="6"/>
      <c r="M17" s="6">
        <v>14</v>
      </c>
      <c r="N17" s="12">
        <f t="shared" si="1"/>
        <v>1</v>
      </c>
      <c r="O17" s="12">
        <f t="shared" si="2"/>
        <v>0.74999999999999911</v>
      </c>
      <c r="P17" s="12">
        <f t="shared" si="3"/>
        <v>1</v>
      </c>
      <c r="Q17" s="12">
        <f t="shared" si="4"/>
        <v>0.21166666666666667</v>
      </c>
      <c r="S17" s="6">
        <v>14</v>
      </c>
      <c r="T17" s="12">
        <f t="shared" si="5"/>
        <v>1</v>
      </c>
      <c r="U17" s="12">
        <f t="shared" si="6"/>
        <v>1</v>
      </c>
      <c r="V17" s="12">
        <f t="shared" si="7"/>
        <v>1</v>
      </c>
      <c r="W17" s="12">
        <f t="shared" si="8"/>
        <v>0.48133333333333334</v>
      </c>
      <c r="Z17" s="6">
        <v>14</v>
      </c>
      <c r="AA17" s="12">
        <f t="shared" si="9"/>
        <v>1</v>
      </c>
      <c r="AB17" s="12">
        <f t="shared" si="10"/>
        <v>0.87499999999999956</v>
      </c>
      <c r="AC17" s="12">
        <f t="shared" si="11"/>
        <v>1</v>
      </c>
      <c r="AD17" s="12">
        <f t="shared" si="12"/>
        <v>0.34650000000000003</v>
      </c>
    </row>
    <row r="18" spans="1:30" x14ac:dyDescent="0.35">
      <c r="A18" s="6">
        <v>2037</v>
      </c>
      <c r="B18" s="6">
        <v>1.5</v>
      </c>
      <c r="C18" s="3">
        <f t="shared" si="13"/>
        <v>9.1517857142857029</v>
      </c>
      <c r="D18" s="3"/>
      <c r="E18" s="6">
        <v>62.75</v>
      </c>
      <c r="G18" s="6">
        <v>2037</v>
      </c>
      <c r="H18" s="6">
        <v>0.95</v>
      </c>
      <c r="I18" s="6">
        <v>12.5</v>
      </c>
      <c r="J18" s="6"/>
      <c r="K18" s="6">
        <v>138.80000000000001</v>
      </c>
      <c r="L18" s="6"/>
      <c r="M18" s="6">
        <v>15</v>
      </c>
      <c r="N18" s="12">
        <f t="shared" si="1"/>
        <v>1</v>
      </c>
      <c r="O18" s="12">
        <f t="shared" si="2"/>
        <v>0.73214285714285621</v>
      </c>
      <c r="P18" s="12">
        <f t="shared" si="3"/>
        <v>1</v>
      </c>
      <c r="Q18" s="12">
        <f t="shared" si="4"/>
        <v>0.20916666666666667</v>
      </c>
      <c r="S18" s="6">
        <v>15</v>
      </c>
      <c r="T18" s="12">
        <f t="shared" si="5"/>
        <v>1</v>
      </c>
      <c r="U18" s="12">
        <f t="shared" si="6"/>
        <v>1</v>
      </c>
      <c r="V18" s="12">
        <f t="shared" si="7"/>
        <v>1</v>
      </c>
      <c r="W18" s="12">
        <f t="shared" si="8"/>
        <v>0.46266666666666673</v>
      </c>
      <c r="Z18" s="6">
        <v>15</v>
      </c>
      <c r="AA18" s="12">
        <f t="shared" si="9"/>
        <v>1</v>
      </c>
      <c r="AB18" s="12">
        <f t="shared" si="10"/>
        <v>0.86607142857142816</v>
      </c>
      <c r="AC18" s="12">
        <f t="shared" si="11"/>
        <v>1</v>
      </c>
      <c r="AD18" s="12">
        <f t="shared" si="12"/>
        <v>0.3359166666666667</v>
      </c>
    </row>
    <row r="19" spans="1:30" x14ac:dyDescent="0.35">
      <c r="A19" s="6">
        <v>2038</v>
      </c>
      <c r="B19" s="6">
        <v>1.5</v>
      </c>
      <c r="C19" s="3">
        <f t="shared" si="13"/>
        <v>8.9285714285714164</v>
      </c>
      <c r="D19" s="3"/>
      <c r="E19" s="6">
        <v>62</v>
      </c>
      <c r="G19" s="6">
        <v>2038</v>
      </c>
      <c r="H19" s="6">
        <v>0.95</v>
      </c>
      <c r="I19" s="6">
        <v>12.5</v>
      </c>
      <c r="J19" s="6"/>
      <c r="K19" s="6">
        <v>133.19999999999999</v>
      </c>
      <c r="L19" s="6"/>
      <c r="M19" s="6">
        <v>16</v>
      </c>
      <c r="N19" s="12">
        <f t="shared" si="1"/>
        <v>1</v>
      </c>
      <c r="O19" s="12">
        <f t="shared" si="2"/>
        <v>0.7142857142857133</v>
      </c>
      <c r="P19" s="12">
        <f t="shared" si="3"/>
        <v>1</v>
      </c>
      <c r="Q19" s="12">
        <f t="shared" si="4"/>
        <v>0.20666666666666667</v>
      </c>
      <c r="S19" s="6">
        <v>16</v>
      </c>
      <c r="T19" s="12">
        <f t="shared" si="5"/>
        <v>1</v>
      </c>
      <c r="U19" s="12">
        <f t="shared" si="6"/>
        <v>1</v>
      </c>
      <c r="V19" s="12">
        <f t="shared" si="7"/>
        <v>1</v>
      </c>
      <c r="W19" s="12">
        <f t="shared" si="8"/>
        <v>0.44399999999999995</v>
      </c>
      <c r="Z19" s="6">
        <v>16</v>
      </c>
      <c r="AA19" s="12">
        <f t="shared" si="9"/>
        <v>1</v>
      </c>
      <c r="AB19" s="12">
        <f t="shared" si="10"/>
        <v>0.85714285714285665</v>
      </c>
      <c r="AC19" s="12">
        <f t="shared" si="11"/>
        <v>1</v>
      </c>
      <c r="AD19" s="12">
        <f t="shared" si="12"/>
        <v>0.32533333333333331</v>
      </c>
    </row>
    <row r="20" spans="1:30" x14ac:dyDescent="0.35">
      <c r="A20" s="6">
        <v>2039</v>
      </c>
      <c r="B20" s="6">
        <v>1.5</v>
      </c>
      <c r="C20" s="3">
        <f t="shared" si="13"/>
        <v>8.7053571428571299</v>
      </c>
      <c r="D20" s="3"/>
      <c r="E20" s="6">
        <v>61.25</v>
      </c>
      <c r="G20" s="6">
        <v>2039</v>
      </c>
      <c r="H20" s="6">
        <v>0.95</v>
      </c>
      <c r="I20" s="6">
        <v>12.5</v>
      </c>
      <c r="J20" s="6"/>
      <c r="K20" s="6">
        <v>127.6</v>
      </c>
      <c r="L20" s="6"/>
      <c r="M20" s="6">
        <v>17</v>
      </c>
      <c r="N20" s="12">
        <f t="shared" si="1"/>
        <v>1</v>
      </c>
      <c r="O20" s="12">
        <f t="shared" si="2"/>
        <v>0.6964285714285704</v>
      </c>
      <c r="P20" s="12">
        <f t="shared" si="3"/>
        <v>1</v>
      </c>
      <c r="Q20" s="12">
        <f t="shared" si="4"/>
        <v>0.20416666666666666</v>
      </c>
      <c r="S20" s="6">
        <v>17</v>
      </c>
      <c r="T20" s="12">
        <f t="shared" si="5"/>
        <v>1</v>
      </c>
      <c r="U20" s="12">
        <f t="shared" si="6"/>
        <v>1</v>
      </c>
      <c r="V20" s="12">
        <f t="shared" si="7"/>
        <v>1</v>
      </c>
      <c r="W20" s="12">
        <f t="shared" si="8"/>
        <v>0.42533333333333334</v>
      </c>
      <c r="Z20" s="6">
        <v>17</v>
      </c>
      <c r="AA20" s="12">
        <f t="shared" si="9"/>
        <v>1</v>
      </c>
      <c r="AB20" s="12">
        <f t="shared" si="10"/>
        <v>0.84821428571428514</v>
      </c>
      <c r="AC20" s="12">
        <f t="shared" si="11"/>
        <v>1</v>
      </c>
      <c r="AD20" s="12">
        <f t="shared" si="12"/>
        <v>0.31474999999999997</v>
      </c>
    </row>
    <row r="21" spans="1:30" x14ac:dyDescent="0.35">
      <c r="A21" s="6">
        <v>2040</v>
      </c>
      <c r="B21" s="6">
        <v>1.5</v>
      </c>
      <c r="C21" s="3">
        <f t="shared" si="13"/>
        <v>8.4821428571428434</v>
      </c>
      <c r="D21" s="3"/>
      <c r="E21" s="6">
        <v>60.5</v>
      </c>
      <c r="G21" s="6">
        <v>2040</v>
      </c>
      <c r="H21" s="6">
        <v>0.95</v>
      </c>
      <c r="I21" s="6">
        <v>12.5</v>
      </c>
      <c r="J21" s="6"/>
      <c r="K21" s="6">
        <v>122</v>
      </c>
      <c r="L21" s="6"/>
      <c r="M21" s="6">
        <v>18</v>
      </c>
      <c r="N21" s="12">
        <f t="shared" si="1"/>
        <v>1</v>
      </c>
      <c r="O21" s="12">
        <f t="shared" si="2"/>
        <v>0.67857142857142749</v>
      </c>
      <c r="P21" s="12">
        <f t="shared" si="3"/>
        <v>1</v>
      </c>
      <c r="Q21" s="12">
        <f t="shared" si="4"/>
        <v>0.20166666666666666</v>
      </c>
      <c r="S21" s="6">
        <v>18</v>
      </c>
      <c r="T21" s="12">
        <f t="shared" si="5"/>
        <v>1</v>
      </c>
      <c r="U21" s="12">
        <f t="shared" si="6"/>
        <v>1</v>
      </c>
      <c r="V21" s="12">
        <f t="shared" si="7"/>
        <v>1</v>
      </c>
      <c r="W21" s="12">
        <f t="shared" si="8"/>
        <v>0.40666666666666668</v>
      </c>
      <c r="Z21" s="6">
        <v>18</v>
      </c>
      <c r="AA21" s="12">
        <f t="shared" si="9"/>
        <v>1</v>
      </c>
      <c r="AB21" s="12">
        <f t="shared" si="10"/>
        <v>0.83928571428571375</v>
      </c>
      <c r="AC21" s="12">
        <f t="shared" si="11"/>
        <v>1</v>
      </c>
      <c r="AD21" s="12">
        <f t="shared" si="12"/>
        <v>0.3041666666666667</v>
      </c>
    </row>
    <row r="22" spans="1:30" x14ac:dyDescent="0.35">
      <c r="A22" s="6">
        <v>2041</v>
      </c>
      <c r="B22" s="6">
        <v>1.5</v>
      </c>
      <c r="C22" s="3">
        <f t="shared" si="13"/>
        <v>8.258928571428557</v>
      </c>
      <c r="D22" s="3"/>
      <c r="E22" s="6">
        <v>59.75</v>
      </c>
      <c r="G22" s="6">
        <v>2041</v>
      </c>
      <c r="H22" s="6">
        <v>0.95</v>
      </c>
      <c r="I22" s="6">
        <v>12.5</v>
      </c>
      <c r="J22" s="6"/>
      <c r="K22" s="6">
        <v>144.4</v>
      </c>
      <c r="L22" s="6"/>
      <c r="M22" s="6">
        <v>19</v>
      </c>
      <c r="N22" s="12">
        <f t="shared" si="1"/>
        <v>1</v>
      </c>
      <c r="O22" s="12">
        <f t="shared" si="2"/>
        <v>0.66071428571428459</v>
      </c>
      <c r="P22" s="12">
        <f t="shared" si="3"/>
        <v>1</v>
      </c>
      <c r="Q22" s="12">
        <f t="shared" si="4"/>
        <v>0.19916666666666666</v>
      </c>
      <c r="S22" s="6">
        <v>19</v>
      </c>
      <c r="T22" s="12">
        <f t="shared" si="5"/>
        <v>1</v>
      </c>
      <c r="U22" s="12">
        <f t="shared" si="6"/>
        <v>1</v>
      </c>
      <c r="V22" s="12">
        <f t="shared" si="7"/>
        <v>1</v>
      </c>
      <c r="W22" s="12">
        <f t="shared" si="8"/>
        <v>0.48133333333333334</v>
      </c>
      <c r="Z22" s="6">
        <v>19</v>
      </c>
      <c r="AA22" s="12">
        <f t="shared" si="9"/>
        <v>1</v>
      </c>
      <c r="AB22" s="12">
        <f t="shared" si="10"/>
        <v>0.83035714285714235</v>
      </c>
      <c r="AC22" s="12">
        <f t="shared" si="11"/>
        <v>1</v>
      </c>
      <c r="AD22" s="12">
        <f t="shared" si="12"/>
        <v>0.34025</v>
      </c>
    </row>
    <row r="23" spans="1:30" x14ac:dyDescent="0.35">
      <c r="A23" s="6">
        <v>2042</v>
      </c>
      <c r="B23" s="6">
        <v>1.5</v>
      </c>
      <c r="C23" s="3">
        <f t="shared" si="13"/>
        <v>8.0357142857142705</v>
      </c>
      <c r="D23" s="3"/>
      <c r="E23" s="6">
        <v>59</v>
      </c>
      <c r="G23" s="6">
        <v>2042</v>
      </c>
      <c r="H23" s="6">
        <v>0.95</v>
      </c>
      <c r="I23" s="6">
        <v>12.5</v>
      </c>
      <c r="J23" s="6"/>
      <c r="K23" s="6">
        <v>138.80000000000001</v>
      </c>
      <c r="L23" s="6"/>
      <c r="M23" s="6">
        <v>20</v>
      </c>
      <c r="N23" s="12">
        <f t="shared" si="1"/>
        <v>1</v>
      </c>
      <c r="O23" s="12">
        <f t="shared" si="2"/>
        <v>0.64285714285714168</v>
      </c>
      <c r="P23" s="12">
        <f t="shared" si="3"/>
        <v>1</v>
      </c>
      <c r="Q23" s="12">
        <f t="shared" si="4"/>
        <v>0.19666666666666666</v>
      </c>
      <c r="S23" s="6">
        <v>20</v>
      </c>
      <c r="T23" s="12">
        <f t="shared" si="5"/>
        <v>1</v>
      </c>
      <c r="U23" s="12">
        <f t="shared" si="6"/>
        <v>1</v>
      </c>
      <c r="V23" s="12">
        <f t="shared" si="7"/>
        <v>1</v>
      </c>
      <c r="W23" s="12">
        <f t="shared" si="8"/>
        <v>0.46266666666666673</v>
      </c>
      <c r="Z23" s="6">
        <v>20</v>
      </c>
      <c r="AA23" s="12">
        <f t="shared" si="9"/>
        <v>1</v>
      </c>
      <c r="AB23" s="12">
        <f t="shared" si="10"/>
        <v>0.82142857142857084</v>
      </c>
      <c r="AC23" s="12">
        <f t="shared" si="11"/>
        <v>1</v>
      </c>
      <c r="AD23" s="12">
        <f t="shared" si="12"/>
        <v>0.32966666666666666</v>
      </c>
    </row>
    <row r="24" spans="1:30" x14ac:dyDescent="0.35">
      <c r="A24" s="6">
        <v>2043</v>
      </c>
      <c r="B24" s="6">
        <v>1.5</v>
      </c>
      <c r="C24" s="3">
        <f t="shared" si="13"/>
        <v>7.8124999999999849</v>
      </c>
      <c r="D24" s="3"/>
      <c r="E24" s="6">
        <v>58.25</v>
      </c>
      <c r="G24" s="6">
        <v>2043</v>
      </c>
      <c r="H24" s="6">
        <v>0.95</v>
      </c>
      <c r="I24" s="6">
        <v>12.5</v>
      </c>
      <c r="J24" s="6"/>
      <c r="K24" s="6">
        <v>133.19999999999999</v>
      </c>
      <c r="L24" s="6"/>
      <c r="M24" s="6">
        <v>21</v>
      </c>
      <c r="N24" s="12">
        <f t="shared" si="1"/>
        <v>1</v>
      </c>
      <c r="O24" s="12">
        <f t="shared" si="2"/>
        <v>0.62499999999999878</v>
      </c>
      <c r="P24" s="12">
        <f t="shared" si="3"/>
        <v>1</v>
      </c>
      <c r="Q24" s="12">
        <f t="shared" si="4"/>
        <v>0.19416666666666665</v>
      </c>
      <c r="S24" s="6">
        <v>21</v>
      </c>
      <c r="T24" s="12">
        <f t="shared" si="5"/>
        <v>1</v>
      </c>
      <c r="U24" s="12">
        <f t="shared" si="6"/>
        <v>1</v>
      </c>
      <c r="V24" s="12">
        <f t="shared" si="7"/>
        <v>1</v>
      </c>
      <c r="W24" s="12">
        <f t="shared" si="8"/>
        <v>0.44399999999999995</v>
      </c>
      <c r="Z24" s="6">
        <v>21</v>
      </c>
      <c r="AA24" s="12">
        <f t="shared" si="9"/>
        <v>1</v>
      </c>
      <c r="AB24" s="12">
        <f t="shared" si="10"/>
        <v>0.81249999999999933</v>
      </c>
      <c r="AC24" s="12">
        <f t="shared" si="11"/>
        <v>1</v>
      </c>
      <c r="AD24" s="12">
        <f t="shared" si="12"/>
        <v>0.31908333333333327</v>
      </c>
    </row>
    <row r="25" spans="1:30" x14ac:dyDescent="0.35">
      <c r="A25" s="6">
        <v>2044</v>
      </c>
      <c r="B25" s="6">
        <v>1.5</v>
      </c>
      <c r="C25" s="3">
        <f t="shared" si="13"/>
        <v>7.5892857142856993</v>
      </c>
      <c r="D25" s="3"/>
      <c r="E25" s="6">
        <v>57.5</v>
      </c>
      <c r="G25" s="6">
        <v>2044</v>
      </c>
      <c r="H25" s="6">
        <v>0.95</v>
      </c>
      <c r="I25" s="6">
        <v>12.5</v>
      </c>
      <c r="J25" s="6"/>
      <c r="K25" s="6">
        <v>127.6</v>
      </c>
      <c r="L25" s="6"/>
      <c r="M25" s="6">
        <v>22</v>
      </c>
      <c r="N25" s="12">
        <f t="shared" si="1"/>
        <v>1</v>
      </c>
      <c r="O25" s="12">
        <f t="shared" si="2"/>
        <v>0.60714285714285599</v>
      </c>
      <c r="P25" s="12">
        <f t="shared" si="3"/>
        <v>1</v>
      </c>
      <c r="Q25" s="12">
        <f t="shared" si="4"/>
        <v>0.19166666666666668</v>
      </c>
      <c r="S25" s="6">
        <v>22</v>
      </c>
      <c r="T25" s="12">
        <f t="shared" si="5"/>
        <v>1</v>
      </c>
      <c r="U25" s="12">
        <f t="shared" si="6"/>
        <v>1</v>
      </c>
      <c r="V25" s="12">
        <f t="shared" si="7"/>
        <v>1</v>
      </c>
      <c r="W25" s="12">
        <f t="shared" si="8"/>
        <v>0.42533333333333334</v>
      </c>
      <c r="Z25" s="6">
        <v>22</v>
      </c>
      <c r="AA25" s="12">
        <f t="shared" si="9"/>
        <v>1</v>
      </c>
      <c r="AB25" s="12">
        <f t="shared" si="10"/>
        <v>0.80357142857142794</v>
      </c>
      <c r="AC25" s="12">
        <f t="shared" si="11"/>
        <v>1</v>
      </c>
      <c r="AD25" s="12">
        <f t="shared" si="12"/>
        <v>0.3085</v>
      </c>
    </row>
    <row r="26" spans="1:30" x14ac:dyDescent="0.35">
      <c r="A26" s="6">
        <v>2045</v>
      </c>
      <c r="B26" s="6">
        <v>1.5</v>
      </c>
      <c r="C26" s="3">
        <f t="shared" si="13"/>
        <v>7.3660714285714137</v>
      </c>
      <c r="D26" s="3"/>
      <c r="E26" s="6">
        <v>56.75</v>
      </c>
      <c r="G26" s="6">
        <v>2045</v>
      </c>
      <c r="H26" s="6">
        <v>0.95</v>
      </c>
      <c r="I26" s="6">
        <v>12.5</v>
      </c>
      <c r="J26" s="6"/>
      <c r="K26" s="6">
        <v>122</v>
      </c>
      <c r="L26" s="6"/>
      <c r="M26" s="6">
        <v>23</v>
      </c>
      <c r="N26" s="12">
        <f t="shared" si="1"/>
        <v>1</v>
      </c>
      <c r="O26" s="12">
        <f t="shared" si="2"/>
        <v>0.58928571428571308</v>
      </c>
      <c r="P26" s="12">
        <f t="shared" si="3"/>
        <v>1</v>
      </c>
      <c r="Q26" s="12">
        <f t="shared" si="4"/>
        <v>0.18916666666666668</v>
      </c>
      <c r="S26" s="6">
        <v>23</v>
      </c>
      <c r="T26" s="12">
        <f t="shared" si="5"/>
        <v>1</v>
      </c>
      <c r="U26" s="12">
        <f t="shared" si="6"/>
        <v>1</v>
      </c>
      <c r="V26" s="12">
        <f t="shared" si="7"/>
        <v>1</v>
      </c>
      <c r="W26" s="12">
        <f t="shared" si="8"/>
        <v>0.40666666666666668</v>
      </c>
      <c r="Z26" s="6">
        <v>23</v>
      </c>
      <c r="AA26" s="12">
        <f t="shared" si="9"/>
        <v>1</v>
      </c>
      <c r="AB26" s="12">
        <f t="shared" si="10"/>
        <v>0.79464285714285654</v>
      </c>
      <c r="AC26" s="12">
        <f t="shared" si="11"/>
        <v>1</v>
      </c>
      <c r="AD26" s="12">
        <f t="shared" si="12"/>
        <v>0.29791666666666666</v>
      </c>
    </row>
    <row r="27" spans="1:30" x14ac:dyDescent="0.35">
      <c r="A27" s="6">
        <v>2046</v>
      </c>
      <c r="B27" s="6">
        <v>1.5</v>
      </c>
      <c r="C27" s="3">
        <f t="shared" si="13"/>
        <v>7.1428571428571281</v>
      </c>
      <c r="D27" s="3"/>
      <c r="E27" s="6">
        <v>56</v>
      </c>
      <c r="G27" s="6">
        <v>2046</v>
      </c>
      <c r="H27" s="6">
        <v>0.95</v>
      </c>
      <c r="I27" s="6">
        <v>12.5</v>
      </c>
      <c r="J27" s="6"/>
      <c r="K27" s="6">
        <v>144.4</v>
      </c>
      <c r="L27" s="6"/>
      <c r="M27" s="6">
        <v>24</v>
      </c>
      <c r="N27" s="12">
        <f t="shared" si="1"/>
        <v>1</v>
      </c>
      <c r="O27" s="12">
        <f t="shared" si="2"/>
        <v>0.57142857142857029</v>
      </c>
      <c r="P27" s="12">
        <f t="shared" si="3"/>
        <v>1</v>
      </c>
      <c r="Q27" s="12">
        <f t="shared" si="4"/>
        <v>0.18666666666666668</v>
      </c>
      <c r="S27" s="6">
        <v>24</v>
      </c>
      <c r="T27" s="12">
        <f t="shared" si="5"/>
        <v>1</v>
      </c>
      <c r="U27" s="12">
        <f t="shared" si="6"/>
        <v>1</v>
      </c>
      <c r="V27" s="12">
        <f t="shared" si="7"/>
        <v>1</v>
      </c>
      <c r="W27" s="12">
        <f t="shared" si="8"/>
        <v>0.48133333333333334</v>
      </c>
      <c r="Z27" s="6">
        <v>24</v>
      </c>
      <c r="AA27" s="12">
        <f t="shared" si="9"/>
        <v>1</v>
      </c>
      <c r="AB27" s="12">
        <f t="shared" si="10"/>
        <v>0.78571428571428514</v>
      </c>
      <c r="AC27" s="12">
        <f t="shared" si="11"/>
        <v>1</v>
      </c>
      <c r="AD27" s="12">
        <f t="shared" si="12"/>
        <v>0.33400000000000002</v>
      </c>
    </row>
    <row r="28" spans="1:30" x14ac:dyDescent="0.35">
      <c r="A28" s="6">
        <v>2047</v>
      </c>
      <c r="B28" s="6">
        <v>1.5</v>
      </c>
      <c r="C28" s="3">
        <f t="shared" si="13"/>
        <v>6.9196428571428426</v>
      </c>
      <c r="D28" s="3"/>
      <c r="E28" s="6">
        <v>55.25</v>
      </c>
      <c r="G28" s="6">
        <v>2047</v>
      </c>
      <c r="H28" s="6">
        <v>0.95</v>
      </c>
      <c r="I28" s="6">
        <v>12.5</v>
      </c>
      <c r="J28" s="6"/>
      <c r="K28" s="6">
        <v>138.80000000000001</v>
      </c>
      <c r="L28" s="6"/>
      <c r="M28" s="6">
        <v>25</v>
      </c>
      <c r="N28" s="12">
        <f t="shared" si="1"/>
        <v>1</v>
      </c>
      <c r="O28" s="12">
        <f t="shared" si="2"/>
        <v>0.55357142857142738</v>
      </c>
      <c r="P28" s="12">
        <f t="shared" si="3"/>
        <v>1</v>
      </c>
      <c r="Q28" s="12">
        <f t="shared" si="4"/>
        <v>0.18416666666666667</v>
      </c>
      <c r="S28" s="6">
        <v>25</v>
      </c>
      <c r="T28" s="12">
        <f t="shared" si="5"/>
        <v>1</v>
      </c>
      <c r="U28" s="12">
        <f t="shared" si="6"/>
        <v>1</v>
      </c>
      <c r="V28" s="12">
        <f t="shared" si="7"/>
        <v>1</v>
      </c>
      <c r="W28" s="12">
        <f t="shared" si="8"/>
        <v>0.46266666666666673</v>
      </c>
      <c r="Z28" s="6">
        <v>25</v>
      </c>
      <c r="AA28" s="12">
        <f t="shared" si="9"/>
        <v>1</v>
      </c>
      <c r="AB28" s="12">
        <f t="shared" si="10"/>
        <v>0.77678571428571375</v>
      </c>
      <c r="AC28" s="12">
        <f t="shared" si="11"/>
        <v>1</v>
      </c>
      <c r="AD28" s="12">
        <f t="shared" si="12"/>
        <v>0.32341666666666669</v>
      </c>
    </row>
    <row r="29" spans="1:30" x14ac:dyDescent="0.35">
      <c r="A29" s="6">
        <v>2048</v>
      </c>
      <c r="B29" s="6">
        <v>1.5</v>
      </c>
      <c r="C29" s="3">
        <f t="shared" si="13"/>
        <v>6.696428571428557</v>
      </c>
      <c r="D29" s="3"/>
      <c r="E29" s="6">
        <v>54.5</v>
      </c>
      <c r="G29" s="6">
        <v>2048</v>
      </c>
      <c r="H29" s="6">
        <v>0.95</v>
      </c>
      <c r="I29" s="6">
        <v>12.5</v>
      </c>
      <c r="J29" s="6"/>
      <c r="K29" s="6">
        <v>133.19999999999999</v>
      </c>
      <c r="L29" s="6"/>
      <c r="M29" s="6">
        <v>26</v>
      </c>
      <c r="N29" s="12">
        <f t="shared" si="1"/>
        <v>1</v>
      </c>
      <c r="O29" s="12">
        <f t="shared" si="2"/>
        <v>0.53571428571428459</v>
      </c>
      <c r="P29" s="12">
        <f t="shared" si="3"/>
        <v>1</v>
      </c>
      <c r="Q29" s="12">
        <f t="shared" si="4"/>
        <v>0.18166666666666667</v>
      </c>
      <c r="S29" s="6">
        <v>26</v>
      </c>
      <c r="T29" s="12">
        <f t="shared" si="5"/>
        <v>1</v>
      </c>
      <c r="U29" s="12">
        <f t="shared" si="6"/>
        <v>1</v>
      </c>
      <c r="V29" s="12">
        <f t="shared" si="7"/>
        <v>1</v>
      </c>
      <c r="W29" s="12">
        <f t="shared" si="8"/>
        <v>0.44399999999999995</v>
      </c>
      <c r="Z29" s="6">
        <v>26</v>
      </c>
      <c r="AA29" s="12">
        <f t="shared" si="9"/>
        <v>1</v>
      </c>
      <c r="AB29" s="12">
        <f t="shared" si="10"/>
        <v>0.76785714285714235</v>
      </c>
      <c r="AC29" s="12">
        <f t="shared" si="11"/>
        <v>1</v>
      </c>
      <c r="AD29" s="12">
        <f t="shared" si="12"/>
        <v>0.3128333333333333</v>
      </c>
    </row>
    <row r="30" spans="1:30" x14ac:dyDescent="0.35">
      <c r="A30" s="6">
        <v>2049</v>
      </c>
      <c r="B30" s="6">
        <v>1.5</v>
      </c>
      <c r="C30" s="3">
        <f t="shared" si="13"/>
        <v>6.4732142857142714</v>
      </c>
      <c r="D30" s="3"/>
      <c r="E30" s="6">
        <v>53.75</v>
      </c>
      <c r="G30" s="6">
        <v>2049</v>
      </c>
      <c r="H30" s="6">
        <v>0.95</v>
      </c>
      <c r="I30" s="6">
        <v>12.5</v>
      </c>
      <c r="J30" s="6"/>
      <c r="K30" s="6">
        <v>127.6</v>
      </c>
      <c r="L30" s="6"/>
      <c r="M30" s="6">
        <v>27</v>
      </c>
      <c r="N30" s="12">
        <f t="shared" si="1"/>
        <v>1</v>
      </c>
      <c r="O30" s="12">
        <f t="shared" si="2"/>
        <v>0.51785714285714168</v>
      </c>
      <c r="P30" s="12">
        <f t="shared" si="3"/>
        <v>1</v>
      </c>
      <c r="Q30" s="12">
        <f t="shared" si="4"/>
        <v>0.17916666666666667</v>
      </c>
      <c r="S30" s="6">
        <v>27</v>
      </c>
      <c r="T30" s="12">
        <f t="shared" si="5"/>
        <v>1</v>
      </c>
      <c r="U30" s="12">
        <f t="shared" si="6"/>
        <v>1</v>
      </c>
      <c r="V30" s="12">
        <f t="shared" si="7"/>
        <v>1</v>
      </c>
      <c r="W30" s="12">
        <f t="shared" si="8"/>
        <v>0.42533333333333334</v>
      </c>
      <c r="Z30" s="6">
        <v>27</v>
      </c>
      <c r="AA30" s="12">
        <f t="shared" si="9"/>
        <v>1</v>
      </c>
      <c r="AB30" s="12">
        <f t="shared" si="10"/>
        <v>0.75892857142857084</v>
      </c>
      <c r="AC30" s="12">
        <f t="shared" si="11"/>
        <v>1</v>
      </c>
      <c r="AD30" s="12">
        <f t="shared" si="12"/>
        <v>0.30225000000000002</v>
      </c>
    </row>
    <row r="31" spans="1:30" x14ac:dyDescent="0.35">
      <c r="A31" s="6">
        <v>2050</v>
      </c>
      <c r="B31" s="6">
        <v>1.5</v>
      </c>
      <c r="C31" s="6">
        <v>6.25</v>
      </c>
      <c r="D31" s="6"/>
      <c r="E31" s="6">
        <v>53</v>
      </c>
      <c r="G31" s="6">
        <v>2050</v>
      </c>
      <c r="H31" s="6">
        <v>0.95</v>
      </c>
      <c r="I31" s="6">
        <v>12.5</v>
      </c>
      <c r="J31" s="6"/>
      <c r="K31" s="6">
        <v>122</v>
      </c>
      <c r="L31" s="6"/>
      <c r="M31" s="6">
        <v>28</v>
      </c>
      <c r="N31" s="12">
        <f t="shared" si="1"/>
        <v>1</v>
      </c>
      <c r="O31" s="12">
        <f t="shared" si="2"/>
        <v>0.5</v>
      </c>
      <c r="P31" s="12">
        <f t="shared" si="3"/>
        <v>1</v>
      </c>
      <c r="Q31" s="12">
        <f t="shared" si="4"/>
        <v>0.17666666666666667</v>
      </c>
      <c r="S31" s="6">
        <v>28</v>
      </c>
      <c r="T31" s="12">
        <f t="shared" si="5"/>
        <v>1</v>
      </c>
      <c r="U31" s="12">
        <f t="shared" si="6"/>
        <v>1</v>
      </c>
      <c r="V31" s="12">
        <f t="shared" si="7"/>
        <v>1</v>
      </c>
      <c r="W31" s="12">
        <f t="shared" si="8"/>
        <v>0.40666666666666668</v>
      </c>
      <c r="Z31" s="6">
        <v>28</v>
      </c>
      <c r="AA31" s="12">
        <f t="shared" si="9"/>
        <v>1</v>
      </c>
      <c r="AB31" s="12">
        <f t="shared" si="10"/>
        <v>0.75</v>
      </c>
      <c r="AC31" s="12">
        <f t="shared" si="11"/>
        <v>1</v>
      </c>
      <c r="AD31" s="12">
        <f t="shared" si="12"/>
        <v>0.29166666666666669</v>
      </c>
    </row>
    <row r="32" spans="1:30" x14ac:dyDescent="0.35">
      <c r="E32" t="s">
        <v>10</v>
      </c>
      <c r="K32" t="s">
        <v>9</v>
      </c>
      <c r="P32" s="12">
        <f t="shared" si="3"/>
        <v>0</v>
      </c>
      <c r="Q32" t="s">
        <v>10</v>
      </c>
      <c r="V32" s="12">
        <f t="shared" si="7"/>
        <v>0</v>
      </c>
      <c r="W32" t="s">
        <v>9</v>
      </c>
      <c r="AC32" s="12"/>
    </row>
  </sheetData>
  <mergeCells count="5">
    <mergeCell ref="B1:E1"/>
    <mergeCell ref="H1:K1"/>
    <mergeCell ref="N1:Q1"/>
    <mergeCell ref="T1:W1"/>
    <mergeCell ref="AA1:A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7B3F-AC9E-437A-B5D8-EEEDB4704503}">
  <sheetPr codeName="Sheet4"/>
  <dimension ref="A1:AN34"/>
  <sheetViews>
    <sheetView zoomScale="80" zoomScaleNormal="80" workbookViewId="0">
      <pane xSplit="13" topLeftCell="Z1" activePane="topRight" state="frozen"/>
      <selection pane="topRight" activeCell="AG7" sqref="AG1:AK1048576"/>
    </sheetView>
  </sheetViews>
  <sheetFormatPr defaultRowHeight="14.5" x14ac:dyDescent="0.35"/>
  <cols>
    <col min="1" max="1" width="8.7265625" style="1"/>
    <col min="2" max="2" width="15.08984375" customWidth="1"/>
    <col min="3" max="3" width="13" style="1" customWidth="1"/>
    <col min="4" max="4" width="6.90625" customWidth="1"/>
    <col min="5" max="5" width="14" customWidth="1"/>
    <col min="7" max="7" width="15.90625" customWidth="1"/>
    <col min="8" max="8" width="13.36328125" customWidth="1"/>
    <col min="9" max="12" width="11.7265625" customWidth="1"/>
    <col min="14" max="14" width="12.1796875" customWidth="1"/>
    <col min="15" max="15" width="13.36328125" customWidth="1"/>
    <col min="16" max="19" width="11.7265625" customWidth="1"/>
    <col min="21" max="21" width="8.7265625" style="1"/>
    <col min="22" max="22" width="15.08984375" customWidth="1"/>
    <col min="23" max="23" width="13" style="1" customWidth="1"/>
    <col min="24" max="24" width="6.90625" customWidth="1"/>
    <col min="25" max="25" width="14" customWidth="1"/>
    <col min="27" max="27" width="8.7265625" style="1"/>
    <col min="28" max="28" width="15.54296875" customWidth="1"/>
    <col min="29" max="29" width="13" style="1" customWidth="1"/>
    <col min="30" max="30" width="6.90625" customWidth="1"/>
    <col min="31" max="31" width="14" customWidth="1"/>
    <col min="33" max="33" width="8.7265625" style="1"/>
    <col min="34" max="34" width="15.08984375" customWidth="1"/>
    <col min="35" max="35" width="13" style="1" customWidth="1"/>
    <col min="36" max="36" width="6.90625" customWidth="1"/>
    <col min="37" max="37" width="14" customWidth="1"/>
  </cols>
  <sheetData>
    <row r="1" spans="1:40" x14ac:dyDescent="0.35">
      <c r="C1" s="18">
        <v>0.28000000000000003</v>
      </c>
      <c r="D1" s="19"/>
      <c r="E1" s="18">
        <v>0.23</v>
      </c>
      <c r="F1" s="19"/>
      <c r="G1" s="20">
        <v>0.12</v>
      </c>
      <c r="H1" s="20">
        <v>0.6</v>
      </c>
      <c r="I1" s="20">
        <v>0.59</v>
      </c>
      <c r="J1" s="20">
        <v>0.18</v>
      </c>
      <c r="K1" s="14"/>
      <c r="L1" s="14" t="s">
        <v>147</v>
      </c>
    </row>
    <row r="2" spans="1:40" x14ac:dyDescent="0.35">
      <c r="G2" s="87" t="s">
        <v>28</v>
      </c>
      <c r="H2" s="87"/>
      <c r="I2" s="87"/>
      <c r="J2" s="87"/>
      <c r="K2" s="13"/>
      <c r="L2" s="13"/>
      <c r="N2" s="87" t="s">
        <v>27</v>
      </c>
      <c r="O2" s="87"/>
      <c r="P2" s="87"/>
      <c r="Q2" s="87"/>
      <c r="R2" s="13"/>
      <c r="S2" s="13"/>
    </row>
    <row r="3" spans="1:40" ht="63" customHeight="1" x14ac:dyDescent="0.35">
      <c r="A3" s="7"/>
      <c r="B3" s="87" t="s">
        <v>28</v>
      </c>
      <c r="C3" s="87"/>
      <c r="D3" s="87"/>
      <c r="E3" s="87"/>
      <c r="G3" s="8" t="s">
        <v>11</v>
      </c>
      <c r="H3" s="8" t="s">
        <v>14</v>
      </c>
      <c r="I3" s="8" t="s">
        <v>18</v>
      </c>
      <c r="J3" s="8" t="s">
        <v>19</v>
      </c>
      <c r="K3" s="17" t="s">
        <v>30</v>
      </c>
      <c r="L3" s="17" t="s">
        <v>33</v>
      </c>
      <c r="N3" s="8" t="s">
        <v>11</v>
      </c>
      <c r="O3" s="8" t="s">
        <v>14</v>
      </c>
      <c r="P3" s="8" t="s">
        <v>18</v>
      </c>
      <c r="Q3" s="8" t="s">
        <v>19</v>
      </c>
      <c r="R3" s="17" t="s">
        <v>30</v>
      </c>
      <c r="S3" s="17" t="s">
        <v>33</v>
      </c>
      <c r="U3" s="7"/>
      <c r="V3" s="87" t="s">
        <v>28</v>
      </c>
      <c r="W3" s="87"/>
      <c r="X3" s="87"/>
      <c r="Y3" s="87"/>
      <c r="AA3" s="7"/>
      <c r="AB3" s="87" t="s">
        <v>27</v>
      </c>
      <c r="AC3" s="87"/>
      <c r="AD3" s="87"/>
      <c r="AE3" s="87"/>
      <c r="AG3" s="7"/>
      <c r="AH3" s="87" t="s">
        <v>28</v>
      </c>
      <c r="AI3" s="87"/>
      <c r="AJ3" s="87"/>
      <c r="AK3" s="87"/>
    </row>
    <row r="4" spans="1:40" s="2" customFormat="1" ht="29" x14ac:dyDescent="0.35">
      <c r="A4" s="4" t="s">
        <v>0</v>
      </c>
      <c r="B4" s="5" t="s">
        <v>29</v>
      </c>
      <c r="C4" s="5" t="s">
        <v>30</v>
      </c>
      <c r="D4" s="5" t="s">
        <v>31</v>
      </c>
      <c r="E4" s="5" t="s">
        <v>32</v>
      </c>
      <c r="G4" s="5" t="s">
        <v>12</v>
      </c>
      <c r="H4" s="5" t="s">
        <v>12</v>
      </c>
      <c r="I4" s="5" t="s">
        <v>12</v>
      </c>
      <c r="J4" s="5" t="s">
        <v>20</v>
      </c>
      <c r="K4">
        <f>(G5*$G$1+H5*$H$1)/($G$1+$H$1)</f>
        <v>130.16666666666666</v>
      </c>
      <c r="L4">
        <f>(I5*$I$1+J5*$J$1)/($I$1+$J$1)</f>
        <v>482.33766233766232</v>
      </c>
      <c r="N4" s="5" t="s">
        <v>13</v>
      </c>
      <c r="O4" s="5" t="s">
        <v>13</v>
      </c>
      <c r="P4" s="5" t="s">
        <v>13</v>
      </c>
      <c r="Q4" s="5" t="s">
        <v>21</v>
      </c>
      <c r="R4">
        <f>(N5*$G$1+O5*$H$1)/($G$1+$H$1)</f>
        <v>159.5</v>
      </c>
      <c r="S4">
        <f>(P5*$I$1+Q5*$J$1)/($I$1+$J$1)</f>
        <v>603.89610389610391</v>
      </c>
      <c r="U4" s="4" t="s">
        <v>0</v>
      </c>
      <c r="V4" s="5" t="s">
        <v>29</v>
      </c>
      <c r="W4" s="5" t="s">
        <v>30</v>
      </c>
      <c r="X4" s="5" t="s">
        <v>31</v>
      </c>
      <c r="Y4" s="5" t="s">
        <v>32</v>
      </c>
      <c r="AA4" s="4" t="s">
        <v>0</v>
      </c>
      <c r="AB4" s="5" t="s">
        <v>29</v>
      </c>
      <c r="AC4" s="5" t="s">
        <v>30</v>
      </c>
      <c r="AD4" s="5" t="s">
        <v>31</v>
      </c>
      <c r="AE4" s="5" t="s">
        <v>32</v>
      </c>
      <c r="AG4" s="4" t="s">
        <v>0</v>
      </c>
      <c r="AH4" s="5" t="s">
        <v>29</v>
      </c>
      <c r="AI4" s="5" t="s">
        <v>30</v>
      </c>
      <c r="AJ4" s="5" t="s">
        <v>31</v>
      </c>
      <c r="AK4" s="5" t="s">
        <v>32</v>
      </c>
      <c r="AL4" s="2" t="s">
        <v>146</v>
      </c>
      <c r="AM4" s="2" t="s">
        <v>145</v>
      </c>
      <c r="AN4" s="2" t="s">
        <v>144</v>
      </c>
    </row>
    <row r="5" spans="1:40" x14ac:dyDescent="0.35">
      <c r="A5" s="6">
        <v>0</v>
      </c>
      <c r="B5" s="3">
        <v>1</v>
      </c>
      <c r="C5" s="3">
        <v>1</v>
      </c>
      <c r="D5" s="3">
        <v>1</v>
      </c>
      <c r="E5" s="3">
        <v>1</v>
      </c>
      <c r="G5" s="10">
        <v>171</v>
      </c>
      <c r="H5" s="10">
        <v>122</v>
      </c>
      <c r="I5" s="6">
        <v>300</v>
      </c>
      <c r="J5" s="10">
        <v>1080</v>
      </c>
      <c r="K5">
        <f>(G5*$G$1+H5*$H$1)/($G$1+$H$1)/$K$4*(1-$C$1)+($C$1)*C5</f>
        <v>1</v>
      </c>
      <c r="L5">
        <f>(I5*$I$1+J5*$J$1)/($I$1+$J$1)/$L$4*(1-$E$1)+($E$1)*E5</f>
        <v>1</v>
      </c>
      <c r="N5" s="10">
        <v>347</v>
      </c>
      <c r="O5" s="10">
        <v>122</v>
      </c>
      <c r="P5" s="6">
        <v>300</v>
      </c>
      <c r="Q5" s="10">
        <v>1600</v>
      </c>
      <c r="R5">
        <f>(N5*$G$1+O5*$H$1)/($G$1+$H$1)/$R$4*(1-$C$1)+($C$1)*C5</f>
        <v>1</v>
      </c>
      <c r="S5">
        <f>(P5*$I$1+Q5*$J$1)/($I$1+$J$1)/$S$4*(1-$E$1)+($E$1)*E5</f>
        <v>1</v>
      </c>
      <c r="U5" s="6">
        <v>0</v>
      </c>
      <c r="V5" s="12">
        <v>1</v>
      </c>
      <c r="W5" s="12">
        <f>K5</f>
        <v>1</v>
      </c>
      <c r="X5" s="3">
        <v>1</v>
      </c>
      <c r="Y5" s="12">
        <f>L5</f>
        <v>1</v>
      </c>
      <c r="AA5" s="6">
        <v>0</v>
      </c>
      <c r="AB5" s="12">
        <v>1</v>
      </c>
      <c r="AC5" s="12">
        <f>R5</f>
        <v>1</v>
      </c>
      <c r="AD5" s="12">
        <v>1</v>
      </c>
      <c r="AE5" s="12">
        <f>S5</f>
        <v>1</v>
      </c>
      <c r="AG5" s="6">
        <v>0</v>
      </c>
      <c r="AH5" s="12">
        <f>(V5+AB5)/2</f>
        <v>1</v>
      </c>
      <c r="AI5" s="12">
        <f t="shared" ref="AI5:AK5" si="0">(W5+AC5)/2</f>
        <v>1</v>
      </c>
      <c r="AJ5" s="12">
        <f t="shared" si="0"/>
        <v>1</v>
      </c>
      <c r="AK5" s="12">
        <f t="shared" si="0"/>
        <v>1</v>
      </c>
      <c r="AL5">
        <v>77.59</v>
      </c>
      <c r="AM5">
        <v>87.59</v>
      </c>
      <c r="AN5">
        <v>77.59</v>
      </c>
    </row>
    <row r="6" spans="1:40" x14ac:dyDescent="0.35">
      <c r="A6" s="6">
        <v>1</v>
      </c>
      <c r="B6" s="3">
        <v>1</v>
      </c>
      <c r="C6" s="3">
        <v>0.98275862068965514</v>
      </c>
      <c r="D6" s="3">
        <v>0.99137931034482762</v>
      </c>
      <c r="E6" s="3">
        <v>0.97931034482758617</v>
      </c>
      <c r="G6" s="10">
        <v>154.66666666666666</v>
      </c>
      <c r="H6" s="10">
        <v>113.33333333333333</v>
      </c>
      <c r="I6" s="10">
        <v>248</v>
      </c>
      <c r="J6" s="10">
        <v>1024.6666666666667</v>
      </c>
      <c r="K6">
        <f>(G6*$G$1+H6*$H$1)/($G$1+$H$1)/$K$4*(1-$C$1)+($C$1)*C6</f>
        <v>0.94016601174444792</v>
      </c>
      <c r="L6">
        <f>(I6*$I$1+J6*$J$1)/($I$1+$J$1)/$L$4*(1-$E$1)+($E$1)*E6</f>
        <v>0.91098505190054413</v>
      </c>
      <c r="N6" s="10">
        <v>316.33333333333331</v>
      </c>
      <c r="O6" s="10">
        <v>130.66666666666666</v>
      </c>
      <c r="P6" s="10">
        <v>266.66666666666669</v>
      </c>
      <c r="Q6" s="10">
        <v>1498</v>
      </c>
      <c r="R6">
        <f t="shared" ref="R6:R33" si="1">(N6*$G$1+O6*$H$1)/($G$1+$H$1)/$R$4*(1-$C$1)+($C$1)*C6</f>
        <v>1.0047021943573666</v>
      </c>
      <c r="S6">
        <f t="shared" ref="S6:S33" si="2">(P6*$I$1+Q6*$J$1)/($I$1+$J$1)/$S$4*(1-$E$1)+($E$1)*E6</f>
        <v>0.93227249042145599</v>
      </c>
      <c r="U6" s="6">
        <v>1</v>
      </c>
      <c r="V6" s="12">
        <v>1</v>
      </c>
      <c r="W6" s="12">
        <f t="shared" ref="W6:W33" si="3">K6</f>
        <v>0.94016601174444792</v>
      </c>
      <c r="X6" s="3">
        <v>0.98275862068965514</v>
      </c>
      <c r="Y6" s="12">
        <f t="shared" ref="Y6:Y33" si="4">L6</f>
        <v>0.91098505190054413</v>
      </c>
      <c r="AA6" s="6">
        <v>1</v>
      </c>
      <c r="AB6" s="12">
        <v>1</v>
      </c>
      <c r="AC6" s="12">
        <f t="shared" ref="AC6:AC33" si="5">R6</f>
        <v>1.0047021943573666</v>
      </c>
      <c r="AD6" s="12">
        <v>1</v>
      </c>
      <c r="AE6" s="12">
        <f t="shared" ref="AE6:AE33" si="6">S6</f>
        <v>0.93227249042145599</v>
      </c>
      <c r="AG6" s="6">
        <v>1</v>
      </c>
      <c r="AH6" s="12">
        <f t="shared" ref="AH6:AH33" si="7">(V6+AB6)/2</f>
        <v>1</v>
      </c>
      <c r="AI6" s="12">
        <f t="shared" ref="AI6:AI33" si="8">(W6+AC6)/2</f>
        <v>0.97243410305090727</v>
      </c>
      <c r="AJ6" s="12">
        <f t="shared" ref="AJ6:AJ33" si="9">(X6+AD6)/2</f>
        <v>0.99137931034482762</v>
      </c>
      <c r="AK6" s="12">
        <f t="shared" ref="AK6:AK33" si="10">(Y6+AE6)/2</f>
        <v>0.92162877116100006</v>
      </c>
      <c r="AL6">
        <v>97.65</v>
      </c>
      <c r="AM6">
        <v>120.9</v>
      </c>
      <c r="AN6">
        <v>51.15</v>
      </c>
    </row>
    <row r="7" spans="1:40" x14ac:dyDescent="0.35">
      <c r="A7" s="6">
        <v>2</v>
      </c>
      <c r="B7" s="3">
        <v>1</v>
      </c>
      <c r="C7" s="3">
        <v>0.96551724137931039</v>
      </c>
      <c r="D7" s="3">
        <v>0.98275862068965525</v>
      </c>
      <c r="E7" s="3">
        <v>0.95862068965517233</v>
      </c>
      <c r="G7" s="10">
        <v>138.33333333333334</v>
      </c>
      <c r="H7" s="10">
        <v>104.66666666666667</v>
      </c>
      <c r="I7" s="10">
        <v>196</v>
      </c>
      <c r="J7" s="10">
        <v>969.33333333333337</v>
      </c>
      <c r="K7">
        <f t="shared" ref="K7:K33" si="11">(G7*$G$1+H7*$H$1)/($G$1+$H$1)/$K$4*(1-$C$1)+($C$1)*C7</f>
        <v>0.88033202348889583</v>
      </c>
      <c r="L7">
        <f t="shared" ref="L7:L33" si="12">(I7*$I$1+J7*$J$1)/($I$1+$J$1)/$L$4*(1-$E$1)+($E$1)*E7</f>
        <v>0.82197010380108826</v>
      </c>
      <c r="N7" s="10">
        <v>285.66666666666669</v>
      </c>
      <c r="O7" s="10">
        <v>139.33333333333334</v>
      </c>
      <c r="P7" s="10">
        <v>233.33333333333331</v>
      </c>
      <c r="Q7" s="10">
        <v>1396</v>
      </c>
      <c r="R7">
        <f t="shared" si="1"/>
        <v>1.0094043887147335</v>
      </c>
      <c r="S7">
        <f t="shared" si="2"/>
        <v>0.86454498084291176</v>
      </c>
      <c r="U7" s="6">
        <v>2</v>
      </c>
      <c r="V7" s="12">
        <v>1</v>
      </c>
      <c r="W7" s="12">
        <f t="shared" si="3"/>
        <v>0.88033202348889583</v>
      </c>
      <c r="X7" s="3">
        <v>0.96551724137931039</v>
      </c>
      <c r="Y7" s="12">
        <f t="shared" si="4"/>
        <v>0.82197010380108826</v>
      </c>
      <c r="AA7" s="6">
        <v>2</v>
      </c>
      <c r="AB7" s="12">
        <v>1</v>
      </c>
      <c r="AC7" s="12">
        <f t="shared" si="5"/>
        <v>1.0094043887147335</v>
      </c>
      <c r="AD7" s="12">
        <v>1</v>
      </c>
      <c r="AE7" s="12">
        <f t="shared" si="6"/>
        <v>0.86454498084291176</v>
      </c>
      <c r="AG7" s="6">
        <v>2</v>
      </c>
      <c r="AH7" s="12">
        <f t="shared" si="7"/>
        <v>1</v>
      </c>
      <c r="AI7" s="12">
        <f t="shared" si="8"/>
        <v>0.94486820610181466</v>
      </c>
      <c r="AJ7" s="12">
        <f t="shared" si="9"/>
        <v>0.98275862068965525</v>
      </c>
      <c r="AK7" s="12">
        <f t="shared" si="10"/>
        <v>0.84325754232200001</v>
      </c>
      <c r="AL7">
        <f>AL6+AL5</f>
        <v>175.24</v>
      </c>
      <c r="AM7">
        <f t="shared" ref="AM7:AN7" si="13">AM6+AM5</f>
        <v>208.49</v>
      </c>
      <c r="AN7">
        <f t="shared" si="13"/>
        <v>128.74</v>
      </c>
    </row>
    <row r="8" spans="1:40" x14ac:dyDescent="0.35">
      <c r="A8" s="6">
        <v>3</v>
      </c>
      <c r="B8" s="3">
        <v>1</v>
      </c>
      <c r="C8" s="3">
        <v>0.94827586206896552</v>
      </c>
      <c r="D8" s="3">
        <v>0.97413793103448287</v>
      </c>
      <c r="E8" s="3">
        <v>0.9379310344827585</v>
      </c>
      <c r="G8" s="10">
        <v>122</v>
      </c>
      <c r="H8" s="10">
        <v>96</v>
      </c>
      <c r="I8" s="6">
        <v>144</v>
      </c>
      <c r="J8" s="10">
        <v>914</v>
      </c>
      <c r="K8">
        <f t="shared" si="11"/>
        <v>0.82049803523334375</v>
      </c>
      <c r="L8">
        <f t="shared" si="12"/>
        <v>0.73295515570163206</v>
      </c>
      <c r="N8" s="10">
        <v>255</v>
      </c>
      <c r="O8" s="10">
        <v>148</v>
      </c>
      <c r="P8" s="6">
        <v>200</v>
      </c>
      <c r="Q8" s="10">
        <v>1294</v>
      </c>
      <c r="R8">
        <f t="shared" si="1"/>
        <v>1.0141065830721003</v>
      </c>
      <c r="S8">
        <f t="shared" si="2"/>
        <v>0.79681747126436764</v>
      </c>
      <c r="U8" s="6">
        <v>3</v>
      </c>
      <c r="V8" s="12">
        <v>1</v>
      </c>
      <c r="W8" s="12">
        <f t="shared" si="3"/>
        <v>0.82049803523334375</v>
      </c>
      <c r="X8" s="3">
        <v>0.94827586206896552</v>
      </c>
      <c r="Y8" s="12">
        <f t="shared" si="4"/>
        <v>0.73295515570163206</v>
      </c>
      <c r="AA8" s="6">
        <v>3</v>
      </c>
      <c r="AB8" s="12">
        <v>1</v>
      </c>
      <c r="AC8" s="12">
        <f t="shared" si="5"/>
        <v>1.0141065830721003</v>
      </c>
      <c r="AD8" s="12">
        <v>1</v>
      </c>
      <c r="AE8" s="12">
        <f t="shared" si="6"/>
        <v>0.79681747126436764</v>
      </c>
      <c r="AG8" s="6">
        <v>3</v>
      </c>
      <c r="AH8" s="12">
        <f t="shared" si="7"/>
        <v>1</v>
      </c>
      <c r="AI8" s="12">
        <f t="shared" si="8"/>
        <v>0.91730230915272204</v>
      </c>
      <c r="AJ8" s="12">
        <f t="shared" si="9"/>
        <v>0.97413793103448276</v>
      </c>
      <c r="AK8" s="12">
        <f t="shared" si="10"/>
        <v>0.76488631348299985</v>
      </c>
    </row>
    <row r="9" spans="1:40" x14ac:dyDescent="0.35">
      <c r="A9" s="6">
        <v>4</v>
      </c>
      <c r="B9" s="3">
        <v>1</v>
      </c>
      <c r="C9" s="3">
        <v>0.93103448275862077</v>
      </c>
      <c r="D9" s="3">
        <v>0.9655172413793105</v>
      </c>
      <c r="E9" s="3">
        <v>0.91724137931034466</v>
      </c>
      <c r="G9" s="10">
        <v>120</v>
      </c>
      <c r="H9" s="10">
        <v>90.6</v>
      </c>
      <c r="I9" s="10">
        <v>128.80000000000001</v>
      </c>
      <c r="J9" s="10">
        <v>834.8</v>
      </c>
      <c r="K9">
        <f t="shared" si="11"/>
        <v>0.78893549384078765</v>
      </c>
      <c r="L9">
        <f t="shared" si="12"/>
        <v>0.68004769279334465</v>
      </c>
      <c r="N9" s="10">
        <v>267.39999999999998</v>
      </c>
      <c r="O9" s="10">
        <v>240.8</v>
      </c>
      <c r="P9" s="10">
        <v>190</v>
      </c>
      <c r="Q9" s="10">
        <v>1245.2</v>
      </c>
      <c r="R9">
        <f t="shared" si="1"/>
        <v>1.3676990595611285</v>
      </c>
      <c r="S9">
        <f t="shared" si="2"/>
        <v>0.76774340971449762</v>
      </c>
      <c r="U9" s="6">
        <v>4</v>
      </c>
      <c r="V9" s="12">
        <v>1</v>
      </c>
      <c r="W9" s="12">
        <f t="shared" si="3"/>
        <v>0.78893549384078765</v>
      </c>
      <c r="X9" s="3">
        <v>0.93103448275862077</v>
      </c>
      <c r="Y9" s="12">
        <f t="shared" si="4"/>
        <v>0.68004769279334465</v>
      </c>
      <c r="AA9" s="6">
        <v>4</v>
      </c>
      <c r="AB9" s="12">
        <v>1</v>
      </c>
      <c r="AC9" s="12">
        <f t="shared" si="5"/>
        <v>1.3676990595611285</v>
      </c>
      <c r="AD9" s="12">
        <v>1</v>
      </c>
      <c r="AE9" s="12">
        <f t="shared" si="6"/>
        <v>0.76774340971449762</v>
      </c>
      <c r="AG9" s="6">
        <v>4</v>
      </c>
      <c r="AH9" s="12">
        <f t="shared" si="7"/>
        <v>1</v>
      </c>
      <c r="AI9" s="12">
        <f t="shared" si="8"/>
        <v>1.0783172767009581</v>
      </c>
      <c r="AJ9" s="12">
        <f t="shared" si="9"/>
        <v>0.96551724137931039</v>
      </c>
      <c r="AK9" s="12">
        <f t="shared" si="10"/>
        <v>0.72389555125392113</v>
      </c>
      <c r="AL9">
        <f>AL5/AL7</f>
        <v>0.44276420908468384</v>
      </c>
      <c r="AM9">
        <f t="shared" ref="AM9:AN9" si="14">AM5/AM7</f>
        <v>0.42011607271331958</v>
      </c>
      <c r="AN9">
        <f t="shared" si="14"/>
        <v>0.60268758738542794</v>
      </c>
    </row>
    <row r="10" spans="1:40" x14ac:dyDescent="0.35">
      <c r="A10" s="6">
        <v>5</v>
      </c>
      <c r="B10" s="3">
        <v>1</v>
      </c>
      <c r="C10" s="3">
        <v>0.91379310344827591</v>
      </c>
      <c r="D10" s="3">
        <v>0.95689655172413812</v>
      </c>
      <c r="E10" s="3">
        <v>0.89655172413793083</v>
      </c>
      <c r="G10" s="10">
        <v>118</v>
      </c>
      <c r="H10" s="10">
        <v>85.2</v>
      </c>
      <c r="I10" s="10">
        <v>113.6</v>
      </c>
      <c r="J10" s="10">
        <v>755.6</v>
      </c>
      <c r="K10">
        <f t="shared" si="11"/>
        <v>0.75737295244823177</v>
      </c>
      <c r="L10">
        <f t="shared" si="12"/>
        <v>0.62714022988505747</v>
      </c>
      <c r="N10" s="10">
        <v>279.8</v>
      </c>
      <c r="O10" s="10">
        <v>333.6</v>
      </c>
      <c r="P10" s="10">
        <v>180</v>
      </c>
      <c r="Q10" s="10">
        <v>1196.4000000000001</v>
      </c>
      <c r="R10">
        <f t="shared" si="1"/>
        <v>1.7212915360501566</v>
      </c>
      <c r="S10">
        <f t="shared" si="2"/>
        <v>0.73866934816462737</v>
      </c>
      <c r="U10" s="6">
        <v>5</v>
      </c>
      <c r="V10" s="12">
        <v>1</v>
      </c>
      <c r="W10" s="12">
        <f t="shared" si="3"/>
        <v>0.75737295244823177</v>
      </c>
      <c r="X10" s="3">
        <v>0.91379310344827591</v>
      </c>
      <c r="Y10" s="12">
        <f t="shared" si="4"/>
        <v>0.62714022988505747</v>
      </c>
      <c r="AA10" s="6">
        <v>5</v>
      </c>
      <c r="AB10" s="12">
        <v>1</v>
      </c>
      <c r="AC10" s="12">
        <f t="shared" si="5"/>
        <v>1.7212915360501566</v>
      </c>
      <c r="AD10" s="12">
        <v>1</v>
      </c>
      <c r="AE10" s="12">
        <f t="shared" si="6"/>
        <v>0.73866934816462737</v>
      </c>
      <c r="AG10" s="6">
        <v>5</v>
      </c>
      <c r="AH10" s="12">
        <f t="shared" si="7"/>
        <v>1</v>
      </c>
      <c r="AI10" s="12">
        <f t="shared" si="8"/>
        <v>1.2393322442491943</v>
      </c>
      <c r="AJ10" s="12">
        <f t="shared" si="9"/>
        <v>0.9568965517241379</v>
      </c>
      <c r="AK10" s="12">
        <f t="shared" si="10"/>
        <v>0.68290478902484242</v>
      </c>
      <c r="AL10">
        <f>AL6/AL7</f>
        <v>0.55723579091531616</v>
      </c>
      <c r="AM10">
        <f t="shared" ref="AM10:AN10" si="15">AM6/AM7</f>
        <v>0.57988392728668037</v>
      </c>
      <c r="AN10">
        <f t="shared" si="15"/>
        <v>0.39731241261457195</v>
      </c>
    </row>
    <row r="11" spans="1:40" x14ac:dyDescent="0.35">
      <c r="A11" s="6">
        <v>6</v>
      </c>
      <c r="B11" s="3">
        <v>1</v>
      </c>
      <c r="C11" s="3">
        <v>0.89655172413793105</v>
      </c>
      <c r="D11" s="3">
        <v>0.94827586206896575</v>
      </c>
      <c r="E11" s="3">
        <v>0.87586206896551699</v>
      </c>
      <c r="G11" s="10">
        <v>116</v>
      </c>
      <c r="H11" s="10">
        <v>79.8</v>
      </c>
      <c r="I11" s="10">
        <v>98.4</v>
      </c>
      <c r="J11" s="10">
        <v>676.4</v>
      </c>
      <c r="K11">
        <f t="shared" si="11"/>
        <v>0.72581041105567579</v>
      </c>
      <c r="L11">
        <f t="shared" si="12"/>
        <v>0.57423276697677006</v>
      </c>
      <c r="N11" s="10">
        <v>292.2</v>
      </c>
      <c r="O11" s="10">
        <v>426.4</v>
      </c>
      <c r="P11" s="10">
        <v>170</v>
      </c>
      <c r="Q11" s="10">
        <v>1147.5999999999999</v>
      </c>
      <c r="R11">
        <f t="shared" si="1"/>
        <v>2.0748840125391852</v>
      </c>
      <c r="S11">
        <f t="shared" si="2"/>
        <v>0.70959528661475701</v>
      </c>
      <c r="U11" s="6">
        <v>6</v>
      </c>
      <c r="V11" s="12">
        <v>1</v>
      </c>
      <c r="W11" s="12">
        <f t="shared" si="3"/>
        <v>0.72581041105567579</v>
      </c>
      <c r="X11" s="3">
        <v>0.89655172413793105</v>
      </c>
      <c r="Y11" s="12">
        <f t="shared" si="4"/>
        <v>0.57423276697677006</v>
      </c>
      <c r="AA11" s="6">
        <v>6</v>
      </c>
      <c r="AB11" s="12">
        <v>1</v>
      </c>
      <c r="AC11" s="12">
        <f t="shared" si="5"/>
        <v>2.0748840125391852</v>
      </c>
      <c r="AD11" s="12">
        <v>1</v>
      </c>
      <c r="AE11" s="12">
        <f t="shared" si="6"/>
        <v>0.70959528661475701</v>
      </c>
      <c r="AG11" s="6">
        <v>6</v>
      </c>
      <c r="AH11" s="12">
        <f t="shared" si="7"/>
        <v>1</v>
      </c>
      <c r="AI11" s="12">
        <f t="shared" si="8"/>
        <v>1.4003472117974305</v>
      </c>
      <c r="AJ11" s="12">
        <f t="shared" si="9"/>
        <v>0.94827586206896552</v>
      </c>
      <c r="AK11" s="12">
        <f t="shared" si="10"/>
        <v>0.64191402679576348</v>
      </c>
    </row>
    <row r="12" spans="1:40" x14ac:dyDescent="0.35">
      <c r="A12" s="6">
        <v>7</v>
      </c>
      <c r="B12" s="3">
        <v>1</v>
      </c>
      <c r="C12" s="3">
        <v>0.8793103448275863</v>
      </c>
      <c r="D12" s="3">
        <v>0.93965517241379337</v>
      </c>
      <c r="E12" s="3">
        <v>0.85517241379310316</v>
      </c>
      <c r="G12" s="10">
        <v>114</v>
      </c>
      <c r="H12" s="10">
        <v>74.400000000000006</v>
      </c>
      <c r="I12" s="10">
        <v>83.2</v>
      </c>
      <c r="J12" s="10">
        <v>597.20000000000005</v>
      </c>
      <c r="K12">
        <f t="shared" si="11"/>
        <v>0.6942478696631198</v>
      </c>
      <c r="L12">
        <f t="shared" si="12"/>
        <v>0.52132530406848265</v>
      </c>
      <c r="N12" s="10">
        <v>304.60000000000002</v>
      </c>
      <c r="O12" s="10">
        <v>519.20000000000005</v>
      </c>
      <c r="P12" s="10">
        <v>160</v>
      </c>
      <c r="Q12" s="10">
        <v>1098.8</v>
      </c>
      <c r="R12">
        <f t="shared" si="1"/>
        <v>2.4284764890282138</v>
      </c>
      <c r="S12">
        <f t="shared" si="2"/>
        <v>0.68052122506488677</v>
      </c>
      <c r="U12" s="6">
        <v>7</v>
      </c>
      <c r="V12" s="12">
        <v>1</v>
      </c>
      <c r="W12" s="12">
        <f t="shared" si="3"/>
        <v>0.6942478696631198</v>
      </c>
      <c r="X12" s="3">
        <v>0.8793103448275863</v>
      </c>
      <c r="Y12" s="12">
        <f t="shared" si="4"/>
        <v>0.52132530406848265</v>
      </c>
      <c r="AA12" s="6">
        <v>7</v>
      </c>
      <c r="AB12" s="12">
        <v>1</v>
      </c>
      <c r="AC12" s="12">
        <f t="shared" si="5"/>
        <v>2.4284764890282138</v>
      </c>
      <c r="AD12" s="12">
        <v>1</v>
      </c>
      <c r="AE12" s="12">
        <f t="shared" si="6"/>
        <v>0.68052122506488677</v>
      </c>
      <c r="AG12" s="6">
        <v>7</v>
      </c>
      <c r="AH12" s="12">
        <f t="shared" si="7"/>
        <v>1</v>
      </c>
      <c r="AI12" s="12">
        <f t="shared" si="8"/>
        <v>1.5613621793456667</v>
      </c>
      <c r="AJ12" s="12">
        <f t="shared" si="9"/>
        <v>0.93965517241379315</v>
      </c>
      <c r="AK12" s="12">
        <f t="shared" si="10"/>
        <v>0.60092326456668466</v>
      </c>
    </row>
    <row r="13" spans="1:40" x14ac:dyDescent="0.35">
      <c r="A13" s="6">
        <v>8</v>
      </c>
      <c r="B13" s="15">
        <v>1</v>
      </c>
      <c r="C13" s="15">
        <v>0.86206896551724144</v>
      </c>
      <c r="D13" s="15">
        <v>0.931034482758621</v>
      </c>
      <c r="E13" s="15">
        <v>0.83448275862068944</v>
      </c>
      <c r="G13" s="10">
        <v>112</v>
      </c>
      <c r="H13" s="10">
        <v>69</v>
      </c>
      <c r="I13" s="6">
        <v>68</v>
      </c>
      <c r="J13" s="10">
        <v>518</v>
      </c>
      <c r="K13">
        <f t="shared" si="11"/>
        <v>0.66268532827056381</v>
      </c>
      <c r="L13">
        <f t="shared" si="12"/>
        <v>0.46841784116019536</v>
      </c>
      <c r="N13" s="10">
        <v>317</v>
      </c>
      <c r="O13" s="10">
        <v>612</v>
      </c>
      <c r="P13" s="6">
        <v>150</v>
      </c>
      <c r="Q13" s="10">
        <v>1050</v>
      </c>
      <c r="R13">
        <f t="shared" si="1"/>
        <v>2.782068965517241</v>
      </c>
      <c r="S13">
        <f t="shared" si="2"/>
        <v>0.65144716351501664</v>
      </c>
      <c r="U13" s="6">
        <v>8</v>
      </c>
      <c r="V13" s="12">
        <v>1</v>
      </c>
      <c r="W13" s="12">
        <f t="shared" si="3"/>
        <v>0.66268532827056381</v>
      </c>
      <c r="X13" s="15">
        <v>0.86206896551724144</v>
      </c>
      <c r="Y13" s="12">
        <f t="shared" si="4"/>
        <v>0.46841784116019536</v>
      </c>
      <c r="AA13" s="6">
        <v>8</v>
      </c>
      <c r="AB13" s="12">
        <v>1</v>
      </c>
      <c r="AC13" s="12">
        <f t="shared" si="5"/>
        <v>2.782068965517241</v>
      </c>
      <c r="AD13" s="12">
        <v>1</v>
      </c>
      <c r="AE13" s="12">
        <f t="shared" si="6"/>
        <v>0.65144716351501664</v>
      </c>
      <c r="AG13" s="6">
        <v>8</v>
      </c>
      <c r="AH13" s="12">
        <f t="shared" si="7"/>
        <v>1</v>
      </c>
      <c r="AI13" s="12">
        <f t="shared" si="8"/>
        <v>1.7223771468939024</v>
      </c>
      <c r="AJ13" s="12">
        <f t="shared" si="9"/>
        <v>0.93103448275862077</v>
      </c>
      <c r="AK13" s="12">
        <f t="shared" si="10"/>
        <v>0.55993250233760605</v>
      </c>
    </row>
    <row r="14" spans="1:40" x14ac:dyDescent="0.35">
      <c r="A14" s="6">
        <v>9</v>
      </c>
      <c r="B14" s="3">
        <v>1</v>
      </c>
      <c r="C14" s="3">
        <v>0.84482758620689657</v>
      </c>
      <c r="D14" s="3">
        <v>0.92241379310344862</v>
      </c>
      <c r="E14" s="3">
        <v>0.8137931034482756</v>
      </c>
      <c r="F14" s="16"/>
      <c r="G14" s="10">
        <v>111.85</v>
      </c>
      <c r="H14" s="10">
        <v>67.5</v>
      </c>
      <c r="I14" s="10">
        <v>67.25</v>
      </c>
      <c r="J14" s="10">
        <v>500.4</v>
      </c>
      <c r="K14">
        <f t="shared" si="11"/>
        <v>0.65080524526469163</v>
      </c>
      <c r="L14">
        <f t="shared" si="12"/>
        <v>0.45617380043822991</v>
      </c>
      <c r="N14" s="10">
        <v>312.14999999999998</v>
      </c>
      <c r="O14" s="10">
        <v>562.29999999999995</v>
      </c>
      <c r="P14" s="10">
        <v>148.6</v>
      </c>
      <c r="Q14" s="10">
        <v>1023.3</v>
      </c>
      <c r="R14">
        <f t="shared" si="1"/>
        <v>2.586633228840125</v>
      </c>
      <c r="S14">
        <f t="shared" si="2"/>
        <v>0.63736243529847969</v>
      </c>
      <c r="U14" s="6">
        <v>9</v>
      </c>
      <c r="V14" s="12">
        <v>1</v>
      </c>
      <c r="W14" s="12">
        <f t="shared" si="3"/>
        <v>0.65080524526469163</v>
      </c>
      <c r="X14" s="3">
        <v>0.84482758620689657</v>
      </c>
      <c r="Y14" s="12">
        <f t="shared" si="4"/>
        <v>0.45617380043822991</v>
      </c>
      <c r="AA14" s="6">
        <v>9</v>
      </c>
      <c r="AB14" s="12">
        <v>1</v>
      </c>
      <c r="AC14" s="12">
        <f t="shared" si="5"/>
        <v>2.586633228840125</v>
      </c>
      <c r="AD14" s="12">
        <v>1</v>
      </c>
      <c r="AE14" s="12">
        <f t="shared" si="6"/>
        <v>0.63736243529847969</v>
      </c>
      <c r="AG14" s="6">
        <v>9</v>
      </c>
      <c r="AH14" s="12">
        <f t="shared" si="7"/>
        <v>1</v>
      </c>
      <c r="AI14" s="12">
        <f t="shared" si="8"/>
        <v>1.6187192370524084</v>
      </c>
      <c r="AJ14" s="12">
        <f t="shared" si="9"/>
        <v>0.92241379310344829</v>
      </c>
      <c r="AK14" s="12">
        <f t="shared" si="10"/>
        <v>0.54676811786835477</v>
      </c>
    </row>
    <row r="15" spans="1:40" x14ac:dyDescent="0.35">
      <c r="A15" s="6">
        <v>10</v>
      </c>
      <c r="B15" s="3">
        <v>1</v>
      </c>
      <c r="C15" s="3">
        <v>0.82758620689655182</v>
      </c>
      <c r="D15" s="3">
        <v>0.91379310344827624</v>
      </c>
      <c r="E15" s="3">
        <v>0.79310344827586177</v>
      </c>
      <c r="F15" s="16"/>
      <c r="G15" s="10">
        <v>111.7</v>
      </c>
      <c r="H15" s="10">
        <v>66</v>
      </c>
      <c r="I15" s="10">
        <v>66.5</v>
      </c>
      <c r="J15" s="10">
        <v>482.8</v>
      </c>
      <c r="K15">
        <f t="shared" si="11"/>
        <v>0.63892516225881946</v>
      </c>
      <c r="L15">
        <f t="shared" si="12"/>
        <v>0.44392975971626458</v>
      </c>
      <c r="N15" s="10">
        <v>307.3</v>
      </c>
      <c r="O15" s="10">
        <v>512.6</v>
      </c>
      <c r="P15" s="10">
        <v>147.19999999999999</v>
      </c>
      <c r="Q15" s="10">
        <v>996.6</v>
      </c>
      <c r="R15">
        <f t="shared" si="1"/>
        <v>2.3911974921630095</v>
      </c>
      <c r="S15">
        <f t="shared" si="2"/>
        <v>0.62327770708194286</v>
      </c>
      <c r="U15" s="6">
        <v>10</v>
      </c>
      <c r="V15" s="12">
        <v>1</v>
      </c>
      <c r="W15" s="12">
        <f t="shared" si="3"/>
        <v>0.63892516225881946</v>
      </c>
      <c r="X15" s="3">
        <v>0.82758620689655182</v>
      </c>
      <c r="Y15" s="12">
        <f t="shared" si="4"/>
        <v>0.44392975971626458</v>
      </c>
      <c r="AA15" s="6">
        <v>10</v>
      </c>
      <c r="AB15" s="12">
        <v>1</v>
      </c>
      <c r="AC15" s="12">
        <f t="shared" si="5"/>
        <v>2.3911974921630095</v>
      </c>
      <c r="AD15" s="12">
        <v>1</v>
      </c>
      <c r="AE15" s="12">
        <f t="shared" si="6"/>
        <v>0.62327770708194286</v>
      </c>
      <c r="AG15" s="6">
        <v>10</v>
      </c>
      <c r="AH15" s="12">
        <f t="shared" si="7"/>
        <v>1</v>
      </c>
      <c r="AI15" s="12">
        <f t="shared" si="8"/>
        <v>1.5150613272109146</v>
      </c>
      <c r="AJ15" s="12">
        <f t="shared" si="9"/>
        <v>0.91379310344827591</v>
      </c>
      <c r="AK15" s="12">
        <f t="shared" si="10"/>
        <v>0.53360373339910372</v>
      </c>
    </row>
    <row r="16" spans="1:40" x14ac:dyDescent="0.35">
      <c r="A16" s="6">
        <v>11</v>
      </c>
      <c r="B16" s="3">
        <v>1</v>
      </c>
      <c r="C16" s="3">
        <v>0.81034482758620696</v>
      </c>
      <c r="D16" s="3">
        <v>0.90517241379310387</v>
      </c>
      <c r="E16" s="3">
        <v>0.77241379310344793</v>
      </c>
      <c r="F16" s="16"/>
      <c r="G16" s="10">
        <v>111.55</v>
      </c>
      <c r="H16" s="10">
        <v>64.5</v>
      </c>
      <c r="I16" s="10">
        <v>65.75</v>
      </c>
      <c r="J16" s="10">
        <v>465.2</v>
      </c>
      <c r="K16">
        <f t="shared" si="11"/>
        <v>0.62704507925294717</v>
      </c>
      <c r="L16">
        <f t="shared" si="12"/>
        <v>0.43168571899429919</v>
      </c>
      <c r="N16" s="10">
        <v>302.45</v>
      </c>
      <c r="O16" s="10">
        <v>462.9</v>
      </c>
      <c r="P16" s="10">
        <v>145.80000000000001</v>
      </c>
      <c r="Q16" s="10">
        <v>969.9</v>
      </c>
      <c r="R16">
        <f t="shared" si="1"/>
        <v>2.195761755485893</v>
      </c>
      <c r="S16">
        <f t="shared" si="2"/>
        <v>0.60919297886540602</v>
      </c>
      <c r="U16" s="6">
        <v>11</v>
      </c>
      <c r="V16" s="12">
        <v>1</v>
      </c>
      <c r="W16" s="12">
        <f t="shared" si="3"/>
        <v>0.62704507925294717</v>
      </c>
      <c r="X16" s="3">
        <v>0.81034482758620696</v>
      </c>
      <c r="Y16" s="12">
        <f t="shared" si="4"/>
        <v>0.43168571899429919</v>
      </c>
      <c r="AA16" s="6">
        <v>11</v>
      </c>
      <c r="AB16" s="12">
        <v>1</v>
      </c>
      <c r="AC16" s="12">
        <f t="shared" si="5"/>
        <v>2.195761755485893</v>
      </c>
      <c r="AD16" s="12">
        <v>1</v>
      </c>
      <c r="AE16" s="12">
        <f t="shared" si="6"/>
        <v>0.60919297886540602</v>
      </c>
      <c r="AG16" s="6">
        <v>11</v>
      </c>
      <c r="AH16" s="12">
        <f t="shared" si="7"/>
        <v>1</v>
      </c>
      <c r="AI16" s="12">
        <f t="shared" si="8"/>
        <v>1.4114034173694201</v>
      </c>
      <c r="AJ16" s="12">
        <f t="shared" si="9"/>
        <v>0.90517241379310343</v>
      </c>
      <c r="AK16" s="12">
        <f t="shared" si="10"/>
        <v>0.52043934892985266</v>
      </c>
    </row>
    <row r="17" spans="1:37" x14ac:dyDescent="0.35">
      <c r="A17" s="6">
        <v>12</v>
      </c>
      <c r="B17" s="3">
        <v>1</v>
      </c>
      <c r="C17" s="3">
        <v>0.79310344827586221</v>
      </c>
      <c r="D17" s="3">
        <v>0.89655172413793149</v>
      </c>
      <c r="E17" s="3">
        <v>0.7517241379310341</v>
      </c>
      <c r="F17" s="16"/>
      <c r="G17" s="10">
        <v>111.4</v>
      </c>
      <c r="H17" s="10">
        <v>63</v>
      </c>
      <c r="I17" s="10">
        <v>65</v>
      </c>
      <c r="J17" s="10">
        <v>447.6</v>
      </c>
      <c r="K17">
        <f t="shared" si="11"/>
        <v>0.61516499624707499</v>
      </c>
      <c r="L17">
        <f t="shared" si="12"/>
        <v>0.41944167827233392</v>
      </c>
      <c r="N17" s="10">
        <v>297.60000000000002</v>
      </c>
      <c r="O17" s="10">
        <v>413.2</v>
      </c>
      <c r="P17" s="10">
        <v>144.4</v>
      </c>
      <c r="Q17" s="10">
        <v>943.2</v>
      </c>
      <c r="R17">
        <f t="shared" si="1"/>
        <v>2.0003260188087775</v>
      </c>
      <c r="S17">
        <f t="shared" si="2"/>
        <v>0.59510825064886907</v>
      </c>
      <c r="U17" s="6">
        <v>12</v>
      </c>
      <c r="V17" s="12">
        <v>1</v>
      </c>
      <c r="W17" s="12">
        <f t="shared" si="3"/>
        <v>0.61516499624707499</v>
      </c>
      <c r="X17" s="3">
        <v>0.79310344827586221</v>
      </c>
      <c r="Y17" s="12">
        <f t="shared" si="4"/>
        <v>0.41944167827233392</v>
      </c>
      <c r="AA17" s="6">
        <v>12</v>
      </c>
      <c r="AB17" s="12">
        <v>1</v>
      </c>
      <c r="AC17" s="12">
        <f t="shared" si="5"/>
        <v>2.0003260188087775</v>
      </c>
      <c r="AD17" s="12">
        <v>1</v>
      </c>
      <c r="AE17" s="12">
        <f t="shared" si="6"/>
        <v>0.59510825064886907</v>
      </c>
      <c r="AG17" s="6">
        <v>12</v>
      </c>
      <c r="AH17" s="12">
        <f t="shared" si="7"/>
        <v>1</v>
      </c>
      <c r="AI17" s="12">
        <f t="shared" si="8"/>
        <v>1.3077455075279263</v>
      </c>
      <c r="AJ17" s="12">
        <f t="shared" si="9"/>
        <v>0.89655172413793105</v>
      </c>
      <c r="AK17" s="12">
        <f t="shared" si="10"/>
        <v>0.5072749644606015</v>
      </c>
    </row>
    <row r="18" spans="1:37" x14ac:dyDescent="0.35">
      <c r="A18" s="6">
        <v>13</v>
      </c>
      <c r="B18" s="3">
        <v>1</v>
      </c>
      <c r="C18" s="3">
        <v>0.77586206896551735</v>
      </c>
      <c r="D18" s="3">
        <v>0.88793103448275912</v>
      </c>
      <c r="E18" s="3">
        <v>0.73103448275862026</v>
      </c>
      <c r="F18" s="16"/>
      <c r="G18" s="10">
        <v>111.25</v>
      </c>
      <c r="H18" s="10">
        <v>61.5</v>
      </c>
      <c r="I18" s="10">
        <v>64.25</v>
      </c>
      <c r="J18" s="10">
        <v>430</v>
      </c>
      <c r="K18">
        <f t="shared" si="11"/>
        <v>0.60328491324120281</v>
      </c>
      <c r="L18">
        <f t="shared" si="12"/>
        <v>0.40719763755036847</v>
      </c>
      <c r="N18" s="10">
        <v>292.75</v>
      </c>
      <c r="O18" s="10">
        <v>363.5</v>
      </c>
      <c r="P18" s="10">
        <v>143</v>
      </c>
      <c r="Q18" s="10">
        <v>916.5</v>
      </c>
      <c r="R18">
        <f t="shared" si="1"/>
        <v>1.8048902821316615</v>
      </c>
      <c r="S18">
        <f t="shared" si="2"/>
        <v>0.58102352243233202</v>
      </c>
      <c r="U18" s="6">
        <v>13</v>
      </c>
      <c r="V18" s="12">
        <v>1</v>
      </c>
      <c r="W18" s="12">
        <f t="shared" si="3"/>
        <v>0.60328491324120281</v>
      </c>
      <c r="X18" s="3">
        <v>0.77586206896551735</v>
      </c>
      <c r="Y18" s="12">
        <f t="shared" si="4"/>
        <v>0.40719763755036847</v>
      </c>
      <c r="AA18" s="6">
        <v>13</v>
      </c>
      <c r="AB18" s="12">
        <v>1</v>
      </c>
      <c r="AC18" s="12">
        <f t="shared" si="5"/>
        <v>1.8048902821316615</v>
      </c>
      <c r="AD18" s="12">
        <v>1</v>
      </c>
      <c r="AE18" s="12">
        <f t="shared" si="6"/>
        <v>0.58102352243233202</v>
      </c>
      <c r="AG18" s="6">
        <v>13</v>
      </c>
      <c r="AH18" s="12">
        <f t="shared" si="7"/>
        <v>1</v>
      </c>
      <c r="AI18" s="12">
        <f t="shared" si="8"/>
        <v>1.2040875976864323</v>
      </c>
      <c r="AJ18" s="12">
        <f t="shared" si="9"/>
        <v>0.88793103448275867</v>
      </c>
      <c r="AK18" s="12">
        <f t="shared" si="10"/>
        <v>0.49411057999135022</v>
      </c>
    </row>
    <row r="19" spans="1:37" x14ac:dyDescent="0.35">
      <c r="A19" s="6">
        <v>14</v>
      </c>
      <c r="B19" s="3">
        <v>1</v>
      </c>
      <c r="C19" s="3">
        <v>0.75862068965517249</v>
      </c>
      <c r="D19" s="3">
        <v>0.87931034482758674</v>
      </c>
      <c r="E19" s="3">
        <v>0.71034482758620643</v>
      </c>
      <c r="F19" s="16"/>
      <c r="G19" s="10">
        <v>111.1</v>
      </c>
      <c r="H19" s="10">
        <v>60</v>
      </c>
      <c r="I19" s="10">
        <v>63.5</v>
      </c>
      <c r="J19" s="10">
        <v>412.4</v>
      </c>
      <c r="K19">
        <f t="shared" si="11"/>
        <v>0.59140483023533053</v>
      </c>
      <c r="L19">
        <f t="shared" si="12"/>
        <v>0.39495359682840314</v>
      </c>
      <c r="N19" s="10">
        <v>287.89999999999998</v>
      </c>
      <c r="O19" s="10">
        <v>313.8</v>
      </c>
      <c r="P19" s="10">
        <v>141.6</v>
      </c>
      <c r="Q19" s="10">
        <v>889.8</v>
      </c>
      <c r="R19">
        <f t="shared" si="1"/>
        <v>1.6094545454545455</v>
      </c>
      <c r="S19">
        <f t="shared" si="2"/>
        <v>0.56693879421579518</v>
      </c>
      <c r="U19" s="6">
        <v>14</v>
      </c>
      <c r="V19" s="12">
        <v>1</v>
      </c>
      <c r="W19" s="12">
        <f t="shared" si="3"/>
        <v>0.59140483023533053</v>
      </c>
      <c r="X19" s="3">
        <v>0.75862068965517249</v>
      </c>
      <c r="Y19" s="12">
        <f t="shared" si="4"/>
        <v>0.39495359682840314</v>
      </c>
      <c r="AA19" s="6">
        <v>14</v>
      </c>
      <c r="AB19" s="12">
        <v>1</v>
      </c>
      <c r="AC19" s="12">
        <f t="shared" si="5"/>
        <v>1.6094545454545455</v>
      </c>
      <c r="AD19" s="12">
        <v>1</v>
      </c>
      <c r="AE19" s="12">
        <f t="shared" si="6"/>
        <v>0.56693879421579518</v>
      </c>
      <c r="AG19" s="6">
        <v>14</v>
      </c>
      <c r="AH19" s="12">
        <f t="shared" si="7"/>
        <v>1</v>
      </c>
      <c r="AI19" s="12">
        <f t="shared" si="8"/>
        <v>1.100429687844938</v>
      </c>
      <c r="AJ19" s="12">
        <f t="shared" si="9"/>
        <v>0.8793103448275863</v>
      </c>
      <c r="AK19" s="12">
        <f t="shared" si="10"/>
        <v>0.48094619552209916</v>
      </c>
    </row>
    <row r="20" spans="1:37" x14ac:dyDescent="0.35">
      <c r="A20" s="6">
        <v>15</v>
      </c>
      <c r="B20" s="3">
        <v>1</v>
      </c>
      <c r="C20" s="3">
        <v>0.74137931034482774</v>
      </c>
      <c r="D20" s="3">
        <v>0.87068965517241437</v>
      </c>
      <c r="E20" s="3">
        <v>0.68965517241379259</v>
      </c>
      <c r="F20" s="16"/>
      <c r="G20" s="10">
        <v>110.95</v>
      </c>
      <c r="H20" s="10">
        <v>58.5</v>
      </c>
      <c r="I20" s="10">
        <v>62.75</v>
      </c>
      <c r="J20" s="10">
        <v>394.8</v>
      </c>
      <c r="K20">
        <f t="shared" si="11"/>
        <v>0.57952474722945835</v>
      </c>
      <c r="L20">
        <f t="shared" si="12"/>
        <v>0.38270955610643781</v>
      </c>
      <c r="N20" s="10">
        <v>283.05</v>
      </c>
      <c r="O20" s="10">
        <v>264.10000000000002</v>
      </c>
      <c r="P20" s="10">
        <v>140.19999999999999</v>
      </c>
      <c r="Q20" s="10">
        <v>863.1</v>
      </c>
      <c r="R20">
        <f t="shared" si="1"/>
        <v>1.4140188087774297</v>
      </c>
      <c r="S20">
        <f t="shared" si="2"/>
        <v>0.55285406599925835</v>
      </c>
      <c r="U20" s="6">
        <v>15</v>
      </c>
      <c r="V20" s="12">
        <v>1</v>
      </c>
      <c r="W20" s="12">
        <f t="shared" si="3"/>
        <v>0.57952474722945835</v>
      </c>
      <c r="X20" s="3">
        <v>0.74137931034482774</v>
      </c>
      <c r="Y20" s="12">
        <f t="shared" si="4"/>
        <v>0.38270955610643781</v>
      </c>
      <c r="AA20" s="6">
        <v>15</v>
      </c>
      <c r="AB20" s="12">
        <v>1</v>
      </c>
      <c r="AC20" s="12">
        <f t="shared" si="5"/>
        <v>1.4140188087774297</v>
      </c>
      <c r="AD20" s="12">
        <v>1</v>
      </c>
      <c r="AE20" s="12">
        <f t="shared" si="6"/>
        <v>0.55285406599925835</v>
      </c>
      <c r="AG20" s="6">
        <v>15</v>
      </c>
      <c r="AH20" s="12">
        <f t="shared" si="7"/>
        <v>1</v>
      </c>
      <c r="AI20" s="12">
        <f t="shared" si="8"/>
        <v>0.99677177800344396</v>
      </c>
      <c r="AJ20" s="12">
        <f t="shared" si="9"/>
        <v>0.87068965517241392</v>
      </c>
      <c r="AK20" s="12">
        <f t="shared" si="10"/>
        <v>0.46778181105284811</v>
      </c>
    </row>
    <row r="21" spans="1:37" x14ac:dyDescent="0.35">
      <c r="A21" s="6">
        <v>16</v>
      </c>
      <c r="B21" s="3">
        <v>1</v>
      </c>
      <c r="C21" s="3">
        <v>0.72413793103448287</v>
      </c>
      <c r="D21" s="3">
        <v>0.86206896551724199</v>
      </c>
      <c r="E21" s="3">
        <v>0.66896551724137876</v>
      </c>
      <c r="F21" s="16"/>
      <c r="G21" s="10">
        <v>110.8</v>
      </c>
      <c r="H21" s="10">
        <v>57</v>
      </c>
      <c r="I21" s="10">
        <v>62</v>
      </c>
      <c r="J21" s="10">
        <v>377.2</v>
      </c>
      <c r="K21">
        <f t="shared" si="11"/>
        <v>0.56764466422358617</v>
      </c>
      <c r="L21">
        <f t="shared" si="12"/>
        <v>0.37046551538447242</v>
      </c>
      <c r="N21" s="10">
        <v>278.2</v>
      </c>
      <c r="O21" s="10">
        <v>214.39999999999998</v>
      </c>
      <c r="P21" s="10">
        <v>138.80000000000001</v>
      </c>
      <c r="Q21" s="10">
        <v>836.4</v>
      </c>
      <c r="R21">
        <f t="shared" si="1"/>
        <v>1.2185830721003135</v>
      </c>
      <c r="S21">
        <f t="shared" si="2"/>
        <v>0.5387693377827214</v>
      </c>
      <c r="U21" s="6">
        <v>16</v>
      </c>
      <c r="V21" s="12">
        <v>1</v>
      </c>
      <c r="W21" s="12">
        <f t="shared" si="3"/>
        <v>0.56764466422358617</v>
      </c>
      <c r="X21" s="3">
        <v>0.72413793103448287</v>
      </c>
      <c r="Y21" s="12">
        <f t="shared" si="4"/>
        <v>0.37046551538447242</v>
      </c>
      <c r="AA21" s="6">
        <v>16</v>
      </c>
      <c r="AB21" s="12">
        <v>1</v>
      </c>
      <c r="AC21" s="12">
        <f t="shared" si="5"/>
        <v>1.2185830721003135</v>
      </c>
      <c r="AD21" s="12">
        <v>1</v>
      </c>
      <c r="AE21" s="12">
        <f t="shared" si="6"/>
        <v>0.5387693377827214</v>
      </c>
      <c r="AG21" s="6">
        <v>16</v>
      </c>
      <c r="AH21" s="12">
        <f t="shared" si="7"/>
        <v>1</v>
      </c>
      <c r="AI21" s="12">
        <f t="shared" si="8"/>
        <v>0.89311386816194982</v>
      </c>
      <c r="AJ21" s="12">
        <f t="shared" si="9"/>
        <v>0.86206896551724144</v>
      </c>
      <c r="AK21" s="12">
        <f t="shared" si="10"/>
        <v>0.45461742658359694</v>
      </c>
    </row>
    <row r="22" spans="1:37" x14ac:dyDescent="0.35">
      <c r="A22" s="6">
        <v>17</v>
      </c>
      <c r="B22" s="3">
        <v>1</v>
      </c>
      <c r="C22" s="3">
        <v>0.70689655172413801</v>
      </c>
      <c r="D22" s="3">
        <v>0.85344827586206962</v>
      </c>
      <c r="E22" s="3">
        <v>0.64827586206896493</v>
      </c>
      <c r="F22" s="16"/>
      <c r="G22" s="10">
        <v>110.65</v>
      </c>
      <c r="H22" s="10">
        <v>55.5</v>
      </c>
      <c r="I22" s="10">
        <v>61.25</v>
      </c>
      <c r="J22" s="10">
        <v>359.6</v>
      </c>
      <c r="K22">
        <f t="shared" si="11"/>
        <v>0.55576458121771388</v>
      </c>
      <c r="L22">
        <f t="shared" si="12"/>
        <v>0.35822147466250709</v>
      </c>
      <c r="N22" s="10">
        <v>273.35000000000002</v>
      </c>
      <c r="O22" s="10">
        <v>164.7</v>
      </c>
      <c r="P22" s="10">
        <v>137.4</v>
      </c>
      <c r="Q22" s="10">
        <v>809.7</v>
      </c>
      <c r="R22">
        <f t="shared" si="1"/>
        <v>1.0231473354231975</v>
      </c>
      <c r="S22">
        <f t="shared" si="2"/>
        <v>0.52468460956618446</v>
      </c>
      <c r="U22" s="6">
        <v>17</v>
      </c>
      <c r="V22" s="12">
        <v>1</v>
      </c>
      <c r="W22" s="12">
        <f t="shared" si="3"/>
        <v>0.55576458121771388</v>
      </c>
      <c r="X22" s="3">
        <v>0.70689655172413801</v>
      </c>
      <c r="Y22" s="12">
        <f t="shared" si="4"/>
        <v>0.35822147466250709</v>
      </c>
      <c r="AA22" s="6">
        <v>17</v>
      </c>
      <c r="AB22" s="12">
        <v>1</v>
      </c>
      <c r="AC22" s="12">
        <f t="shared" si="5"/>
        <v>1.0231473354231975</v>
      </c>
      <c r="AD22" s="12">
        <v>1</v>
      </c>
      <c r="AE22" s="12">
        <f t="shared" si="6"/>
        <v>0.52468460956618446</v>
      </c>
      <c r="AG22" s="6">
        <v>17</v>
      </c>
      <c r="AH22" s="12">
        <f t="shared" si="7"/>
        <v>1</v>
      </c>
      <c r="AI22" s="12">
        <f t="shared" si="8"/>
        <v>0.78945595832045568</v>
      </c>
      <c r="AJ22" s="12">
        <f t="shared" si="9"/>
        <v>0.85344827586206895</v>
      </c>
      <c r="AK22" s="12">
        <f t="shared" si="10"/>
        <v>0.44145304211434577</v>
      </c>
    </row>
    <row r="23" spans="1:37" x14ac:dyDescent="0.35">
      <c r="A23" s="6">
        <v>18</v>
      </c>
      <c r="B23" s="3">
        <v>1</v>
      </c>
      <c r="C23" s="3">
        <v>0.68965517241379326</v>
      </c>
      <c r="D23" s="3">
        <v>0.84482758620689724</v>
      </c>
      <c r="E23" s="3">
        <v>0.62758620689655109</v>
      </c>
      <c r="F23" s="16"/>
      <c r="G23" s="10">
        <v>110.5</v>
      </c>
      <c r="H23" s="10">
        <v>54</v>
      </c>
      <c r="I23" s="10">
        <v>60.5</v>
      </c>
      <c r="J23" s="10">
        <v>342</v>
      </c>
      <c r="K23">
        <f t="shared" si="11"/>
        <v>0.54388449821184159</v>
      </c>
      <c r="L23">
        <f t="shared" si="12"/>
        <v>0.3459774339405417</v>
      </c>
      <c r="N23" s="10">
        <v>268.5</v>
      </c>
      <c r="O23" s="6">
        <v>115</v>
      </c>
      <c r="P23" s="10">
        <v>136</v>
      </c>
      <c r="Q23" s="10">
        <v>783</v>
      </c>
      <c r="R23">
        <f t="shared" si="1"/>
        <v>0.82771159874608158</v>
      </c>
      <c r="S23">
        <f t="shared" si="2"/>
        <v>0.51059988134964762</v>
      </c>
      <c r="U23" s="6">
        <v>18</v>
      </c>
      <c r="V23" s="12">
        <v>1</v>
      </c>
      <c r="W23" s="12">
        <f t="shared" si="3"/>
        <v>0.54388449821184159</v>
      </c>
      <c r="X23" s="3">
        <v>0.68965517241379326</v>
      </c>
      <c r="Y23" s="12">
        <f t="shared" si="4"/>
        <v>0.3459774339405417</v>
      </c>
      <c r="AA23" s="6">
        <v>18</v>
      </c>
      <c r="AB23" s="12">
        <v>1</v>
      </c>
      <c r="AC23" s="12">
        <f t="shared" si="5"/>
        <v>0.82771159874608158</v>
      </c>
      <c r="AD23" s="12">
        <v>1</v>
      </c>
      <c r="AE23" s="12">
        <f t="shared" si="6"/>
        <v>0.51059988134964762</v>
      </c>
      <c r="AG23" s="6">
        <v>18</v>
      </c>
      <c r="AH23" s="12">
        <f t="shared" si="7"/>
        <v>1</v>
      </c>
      <c r="AI23" s="12">
        <f t="shared" si="8"/>
        <v>0.68579804847896164</v>
      </c>
      <c r="AJ23" s="12">
        <f t="shared" si="9"/>
        <v>0.84482758620689657</v>
      </c>
      <c r="AK23" s="12">
        <f t="shared" si="10"/>
        <v>0.42828865764509466</v>
      </c>
    </row>
    <row r="24" spans="1:37" x14ac:dyDescent="0.35">
      <c r="A24" s="6">
        <v>19</v>
      </c>
      <c r="B24" s="3">
        <v>1</v>
      </c>
      <c r="C24" s="3">
        <v>0.6724137931034484</v>
      </c>
      <c r="D24" s="3">
        <v>0.83620689655172487</v>
      </c>
      <c r="E24" s="3">
        <v>0.60689655172413726</v>
      </c>
      <c r="F24" s="16"/>
      <c r="G24" s="10">
        <v>110.35</v>
      </c>
      <c r="H24" s="10">
        <v>53.5</v>
      </c>
      <c r="I24" s="10">
        <v>59.75</v>
      </c>
      <c r="J24" s="10">
        <v>333.4</v>
      </c>
      <c r="K24">
        <f t="shared" si="11"/>
        <v>0.53661389023797967</v>
      </c>
      <c r="L24">
        <f t="shared" si="12"/>
        <v>0.33709203619111272</v>
      </c>
      <c r="N24" s="10">
        <v>263.64999999999998</v>
      </c>
      <c r="O24" s="10">
        <v>113.5</v>
      </c>
      <c r="P24" s="10">
        <v>134.6</v>
      </c>
      <c r="Q24" s="10">
        <v>773.7</v>
      </c>
      <c r="R24">
        <f t="shared" si="1"/>
        <v>0.8135924764890281</v>
      </c>
      <c r="S24">
        <f t="shared" si="2"/>
        <v>0.50170147571375578</v>
      </c>
      <c r="U24" s="6">
        <v>19</v>
      </c>
      <c r="V24" s="12">
        <v>1</v>
      </c>
      <c r="W24" s="12">
        <f t="shared" si="3"/>
        <v>0.53661389023797967</v>
      </c>
      <c r="X24" s="3">
        <v>0.6724137931034484</v>
      </c>
      <c r="Y24" s="12">
        <f t="shared" si="4"/>
        <v>0.33709203619111272</v>
      </c>
      <c r="AA24" s="6">
        <v>19</v>
      </c>
      <c r="AB24" s="12">
        <v>1</v>
      </c>
      <c r="AC24" s="12">
        <f t="shared" si="5"/>
        <v>0.8135924764890281</v>
      </c>
      <c r="AD24" s="12">
        <v>1</v>
      </c>
      <c r="AE24" s="12">
        <f t="shared" si="6"/>
        <v>0.50170147571375578</v>
      </c>
      <c r="AG24" s="6">
        <v>19</v>
      </c>
      <c r="AH24" s="12">
        <f t="shared" si="7"/>
        <v>1</v>
      </c>
      <c r="AI24" s="12">
        <f t="shared" si="8"/>
        <v>0.67510318336350394</v>
      </c>
      <c r="AJ24" s="12">
        <f t="shared" si="9"/>
        <v>0.8362068965517242</v>
      </c>
      <c r="AK24" s="12">
        <f t="shared" si="10"/>
        <v>0.41939675595243425</v>
      </c>
    </row>
    <row r="25" spans="1:37" x14ac:dyDescent="0.35">
      <c r="A25" s="6">
        <v>20</v>
      </c>
      <c r="B25" s="3">
        <v>1</v>
      </c>
      <c r="C25" s="3">
        <v>0.65517241379310365</v>
      </c>
      <c r="D25" s="3">
        <v>0.82758620689655249</v>
      </c>
      <c r="E25" s="3">
        <v>0.58620689655172342</v>
      </c>
      <c r="F25" s="16"/>
      <c r="G25" s="10">
        <v>110.2</v>
      </c>
      <c r="H25" s="10">
        <v>53</v>
      </c>
      <c r="I25" s="10">
        <v>59</v>
      </c>
      <c r="J25" s="10">
        <v>324.8</v>
      </c>
      <c r="K25">
        <f t="shared" si="11"/>
        <v>0.52934328226411775</v>
      </c>
      <c r="L25">
        <f t="shared" si="12"/>
        <v>0.32820663844168368</v>
      </c>
      <c r="N25" s="10">
        <v>258.8</v>
      </c>
      <c r="O25" s="10">
        <v>112</v>
      </c>
      <c r="P25" s="10">
        <v>133.19999999999999</v>
      </c>
      <c r="Q25" s="10">
        <v>764.4</v>
      </c>
      <c r="R25">
        <f t="shared" si="1"/>
        <v>0.79947335423197496</v>
      </c>
      <c r="S25">
        <f t="shared" si="2"/>
        <v>0.49280307007786411</v>
      </c>
      <c r="U25" s="6">
        <v>20</v>
      </c>
      <c r="V25" s="12">
        <v>1</v>
      </c>
      <c r="W25" s="12">
        <f t="shared" si="3"/>
        <v>0.52934328226411775</v>
      </c>
      <c r="X25" s="3">
        <v>0.65517241379310365</v>
      </c>
      <c r="Y25" s="12">
        <f t="shared" si="4"/>
        <v>0.32820663844168368</v>
      </c>
      <c r="AA25" s="6">
        <v>20</v>
      </c>
      <c r="AB25" s="12">
        <v>1</v>
      </c>
      <c r="AC25" s="12">
        <f t="shared" si="5"/>
        <v>0.79947335423197496</v>
      </c>
      <c r="AD25" s="12">
        <v>1</v>
      </c>
      <c r="AE25" s="12">
        <f t="shared" si="6"/>
        <v>0.49280307007786411</v>
      </c>
      <c r="AG25" s="6">
        <v>20</v>
      </c>
      <c r="AH25" s="12">
        <f t="shared" si="7"/>
        <v>1</v>
      </c>
      <c r="AI25" s="12">
        <f t="shared" si="8"/>
        <v>0.66440831824804636</v>
      </c>
      <c r="AJ25" s="12">
        <f t="shared" si="9"/>
        <v>0.82758620689655182</v>
      </c>
      <c r="AK25" s="12">
        <f t="shared" si="10"/>
        <v>0.4105048542597739</v>
      </c>
    </row>
    <row r="26" spans="1:37" x14ac:dyDescent="0.35">
      <c r="A26" s="6">
        <v>21</v>
      </c>
      <c r="B26" s="3">
        <v>1</v>
      </c>
      <c r="C26" s="3">
        <v>0.63793103448275879</v>
      </c>
      <c r="D26" s="3">
        <v>0.81896551724138011</v>
      </c>
      <c r="E26" s="3">
        <v>0.56551724137930959</v>
      </c>
      <c r="F26" s="16"/>
      <c r="G26" s="10">
        <v>110.05</v>
      </c>
      <c r="H26" s="10">
        <v>52.5</v>
      </c>
      <c r="I26" s="10">
        <v>58.25</v>
      </c>
      <c r="J26" s="10">
        <v>316.2</v>
      </c>
      <c r="K26">
        <f t="shared" si="11"/>
        <v>0.52207267429025572</v>
      </c>
      <c r="L26">
        <f t="shared" si="12"/>
        <v>0.31932124069225465</v>
      </c>
      <c r="N26" s="10">
        <v>253.95</v>
      </c>
      <c r="O26" s="10">
        <v>110.5</v>
      </c>
      <c r="P26" s="10">
        <v>131.80000000000001</v>
      </c>
      <c r="Q26" s="10">
        <v>755.1</v>
      </c>
      <c r="R26">
        <f t="shared" si="1"/>
        <v>0.7853542319749216</v>
      </c>
      <c r="S26">
        <f t="shared" si="2"/>
        <v>0.48390466444197233</v>
      </c>
      <c r="U26" s="6">
        <v>21</v>
      </c>
      <c r="V26" s="12">
        <v>1</v>
      </c>
      <c r="W26" s="12">
        <f t="shared" si="3"/>
        <v>0.52207267429025572</v>
      </c>
      <c r="X26" s="3">
        <v>0.63793103448275879</v>
      </c>
      <c r="Y26" s="12">
        <f t="shared" si="4"/>
        <v>0.31932124069225465</v>
      </c>
      <c r="AA26" s="6">
        <v>21</v>
      </c>
      <c r="AB26" s="12">
        <v>1</v>
      </c>
      <c r="AC26" s="12">
        <f t="shared" si="5"/>
        <v>0.7853542319749216</v>
      </c>
      <c r="AD26" s="12">
        <v>1</v>
      </c>
      <c r="AE26" s="12">
        <f t="shared" si="6"/>
        <v>0.48390466444197233</v>
      </c>
      <c r="AG26" s="6">
        <v>21</v>
      </c>
      <c r="AH26" s="12">
        <f t="shared" si="7"/>
        <v>1</v>
      </c>
      <c r="AI26" s="12">
        <f t="shared" si="8"/>
        <v>0.65371345313258866</v>
      </c>
      <c r="AJ26" s="12">
        <f t="shared" si="9"/>
        <v>0.81896551724137945</v>
      </c>
      <c r="AK26" s="12">
        <f t="shared" si="10"/>
        <v>0.40161295256711349</v>
      </c>
    </row>
    <row r="27" spans="1:37" x14ac:dyDescent="0.35">
      <c r="A27" s="6">
        <v>22</v>
      </c>
      <c r="B27" s="3">
        <v>1</v>
      </c>
      <c r="C27" s="3">
        <v>0.62068965517241392</v>
      </c>
      <c r="D27" s="3">
        <v>0.81034482758620774</v>
      </c>
      <c r="E27" s="3">
        <v>0.54482758620689586</v>
      </c>
      <c r="F27" s="16"/>
      <c r="G27" s="10">
        <v>109.9</v>
      </c>
      <c r="H27" s="10">
        <v>52</v>
      </c>
      <c r="I27" s="10">
        <v>57.5</v>
      </c>
      <c r="J27" s="10">
        <v>307.60000000000002</v>
      </c>
      <c r="K27">
        <f t="shared" si="11"/>
        <v>0.51480206631639369</v>
      </c>
      <c r="L27">
        <f t="shared" si="12"/>
        <v>0.31043584294282567</v>
      </c>
      <c r="N27" s="10">
        <v>249.1</v>
      </c>
      <c r="O27" s="10">
        <v>109</v>
      </c>
      <c r="P27" s="10">
        <v>130.4</v>
      </c>
      <c r="Q27" s="10">
        <v>745.8</v>
      </c>
      <c r="R27">
        <f t="shared" si="1"/>
        <v>0.77123510971786835</v>
      </c>
      <c r="S27">
        <f t="shared" si="2"/>
        <v>0.47500625880608072</v>
      </c>
      <c r="U27" s="6">
        <v>22</v>
      </c>
      <c r="V27" s="12">
        <v>1</v>
      </c>
      <c r="W27" s="12">
        <f t="shared" si="3"/>
        <v>0.51480206631639369</v>
      </c>
      <c r="X27" s="3">
        <v>0.62068965517241392</v>
      </c>
      <c r="Y27" s="12">
        <f t="shared" si="4"/>
        <v>0.31043584294282567</v>
      </c>
      <c r="AA27" s="6">
        <v>22</v>
      </c>
      <c r="AB27" s="12">
        <v>1</v>
      </c>
      <c r="AC27" s="12">
        <f t="shared" si="5"/>
        <v>0.77123510971786835</v>
      </c>
      <c r="AD27" s="12">
        <v>1</v>
      </c>
      <c r="AE27" s="12">
        <f t="shared" si="6"/>
        <v>0.47500625880608072</v>
      </c>
      <c r="AG27" s="6">
        <v>22</v>
      </c>
      <c r="AH27" s="12">
        <f t="shared" si="7"/>
        <v>1</v>
      </c>
      <c r="AI27" s="12">
        <f t="shared" si="8"/>
        <v>0.64301858801713108</v>
      </c>
      <c r="AJ27" s="12">
        <f t="shared" si="9"/>
        <v>0.81034482758620696</v>
      </c>
      <c r="AK27" s="12">
        <f t="shared" si="10"/>
        <v>0.39272105087445319</v>
      </c>
    </row>
    <row r="28" spans="1:37" x14ac:dyDescent="0.35">
      <c r="A28" s="6">
        <v>23</v>
      </c>
      <c r="B28" s="3">
        <v>1</v>
      </c>
      <c r="C28" s="3">
        <v>0.60344827586206917</v>
      </c>
      <c r="D28" s="3">
        <v>0.80172413793103536</v>
      </c>
      <c r="E28" s="3">
        <v>0.52413793103448203</v>
      </c>
      <c r="F28" s="16"/>
      <c r="G28" s="10">
        <v>109.75</v>
      </c>
      <c r="H28" s="10">
        <v>51.5</v>
      </c>
      <c r="I28" s="10">
        <v>56.75</v>
      </c>
      <c r="J28" s="10">
        <v>299</v>
      </c>
      <c r="K28">
        <f t="shared" si="11"/>
        <v>0.50753145834253177</v>
      </c>
      <c r="L28">
        <f t="shared" si="12"/>
        <v>0.30155044519339669</v>
      </c>
      <c r="N28" s="10">
        <v>244.25</v>
      </c>
      <c r="O28" s="10">
        <v>107.5</v>
      </c>
      <c r="P28" s="10">
        <v>129</v>
      </c>
      <c r="Q28" s="10">
        <v>736.5</v>
      </c>
      <c r="R28">
        <f t="shared" si="1"/>
        <v>0.7571159874608151</v>
      </c>
      <c r="S28">
        <f t="shared" si="2"/>
        <v>0.46610785317018893</v>
      </c>
      <c r="U28" s="6">
        <v>23</v>
      </c>
      <c r="V28" s="12">
        <v>1</v>
      </c>
      <c r="W28" s="12">
        <f t="shared" si="3"/>
        <v>0.50753145834253177</v>
      </c>
      <c r="X28" s="3">
        <v>0.60344827586206917</v>
      </c>
      <c r="Y28" s="12">
        <f t="shared" si="4"/>
        <v>0.30155044519339669</v>
      </c>
      <c r="AA28" s="6">
        <v>23</v>
      </c>
      <c r="AB28" s="12">
        <v>1</v>
      </c>
      <c r="AC28" s="12">
        <f t="shared" si="5"/>
        <v>0.7571159874608151</v>
      </c>
      <c r="AD28" s="12">
        <v>1</v>
      </c>
      <c r="AE28" s="12">
        <f t="shared" si="6"/>
        <v>0.46610785317018893</v>
      </c>
      <c r="AG28" s="6">
        <v>23</v>
      </c>
      <c r="AH28" s="12">
        <f t="shared" si="7"/>
        <v>1</v>
      </c>
      <c r="AI28" s="12">
        <f t="shared" si="8"/>
        <v>0.63232372290167338</v>
      </c>
      <c r="AJ28" s="12">
        <f t="shared" si="9"/>
        <v>0.80172413793103459</v>
      </c>
      <c r="AK28" s="12">
        <f t="shared" si="10"/>
        <v>0.38382914918179278</v>
      </c>
    </row>
    <row r="29" spans="1:37" x14ac:dyDescent="0.35">
      <c r="A29" s="6">
        <v>24</v>
      </c>
      <c r="B29" s="3">
        <v>1</v>
      </c>
      <c r="C29" s="3">
        <v>0.58620689655172431</v>
      </c>
      <c r="D29" s="3">
        <v>0.79310344827586299</v>
      </c>
      <c r="E29" s="3">
        <v>0.5034482758620682</v>
      </c>
      <c r="F29" s="16"/>
      <c r="G29" s="10">
        <v>109.6</v>
      </c>
      <c r="H29" s="10">
        <v>51</v>
      </c>
      <c r="I29" s="10">
        <v>56</v>
      </c>
      <c r="J29" s="10">
        <v>290.39999999999998</v>
      </c>
      <c r="K29">
        <f t="shared" si="11"/>
        <v>0.50026085036866974</v>
      </c>
      <c r="L29">
        <f t="shared" si="12"/>
        <v>0.29266504744396765</v>
      </c>
      <c r="N29" s="10">
        <v>239.4</v>
      </c>
      <c r="O29" s="10">
        <v>106</v>
      </c>
      <c r="P29" s="10">
        <v>127.6</v>
      </c>
      <c r="Q29" s="10">
        <v>727.2</v>
      </c>
      <c r="R29">
        <f t="shared" si="1"/>
        <v>0.74299686520376174</v>
      </c>
      <c r="S29">
        <f t="shared" si="2"/>
        <v>0.45720944753429721</v>
      </c>
      <c r="U29" s="6">
        <v>24</v>
      </c>
      <c r="V29" s="12">
        <v>1</v>
      </c>
      <c r="W29" s="12">
        <f t="shared" si="3"/>
        <v>0.50026085036866974</v>
      </c>
      <c r="X29" s="3">
        <v>0.58620689655172431</v>
      </c>
      <c r="Y29" s="12">
        <f t="shared" si="4"/>
        <v>0.29266504744396765</v>
      </c>
      <c r="AA29" s="6">
        <v>24</v>
      </c>
      <c r="AB29" s="12">
        <v>1</v>
      </c>
      <c r="AC29" s="12">
        <f t="shared" si="5"/>
        <v>0.74299686520376174</v>
      </c>
      <c r="AD29" s="12">
        <v>1</v>
      </c>
      <c r="AE29" s="12">
        <f t="shared" si="6"/>
        <v>0.45720944753429721</v>
      </c>
      <c r="AG29" s="6">
        <v>24</v>
      </c>
      <c r="AH29" s="12">
        <f t="shared" si="7"/>
        <v>1</v>
      </c>
      <c r="AI29" s="12">
        <f t="shared" si="8"/>
        <v>0.62162885778621568</v>
      </c>
      <c r="AJ29" s="12">
        <f t="shared" si="9"/>
        <v>0.7931034482758621</v>
      </c>
      <c r="AK29" s="12">
        <f t="shared" si="10"/>
        <v>0.37493724748913243</v>
      </c>
    </row>
    <row r="30" spans="1:37" x14ac:dyDescent="0.35">
      <c r="A30" s="6">
        <v>25</v>
      </c>
      <c r="B30" s="3">
        <v>1</v>
      </c>
      <c r="C30" s="3">
        <v>0.56896551724137945</v>
      </c>
      <c r="D30" s="3">
        <v>0.78448275862069061</v>
      </c>
      <c r="E30" s="3">
        <v>0.48275862068965436</v>
      </c>
      <c r="F30" s="16"/>
      <c r="G30" s="10">
        <v>109.45</v>
      </c>
      <c r="H30" s="10">
        <v>50.5</v>
      </c>
      <c r="I30" s="10">
        <v>55.25</v>
      </c>
      <c r="J30" s="10">
        <v>281.8</v>
      </c>
      <c r="K30">
        <f t="shared" si="11"/>
        <v>0.49299024239480776</v>
      </c>
      <c r="L30">
        <f t="shared" si="12"/>
        <v>0.28377964969453862</v>
      </c>
      <c r="N30" s="10">
        <v>234.55</v>
      </c>
      <c r="O30" s="10">
        <v>104.5</v>
      </c>
      <c r="P30" s="10">
        <v>126.2</v>
      </c>
      <c r="Q30" s="10">
        <v>717.9</v>
      </c>
      <c r="R30">
        <f t="shared" si="1"/>
        <v>0.7288777429467086</v>
      </c>
      <c r="S30">
        <f t="shared" si="2"/>
        <v>0.44831104189840543</v>
      </c>
      <c r="U30" s="6">
        <v>25</v>
      </c>
      <c r="V30" s="12">
        <v>1</v>
      </c>
      <c r="W30" s="12">
        <f t="shared" si="3"/>
        <v>0.49299024239480776</v>
      </c>
      <c r="X30" s="3">
        <v>0.56896551724137945</v>
      </c>
      <c r="Y30" s="12">
        <f t="shared" si="4"/>
        <v>0.28377964969453862</v>
      </c>
      <c r="AA30" s="6">
        <v>25</v>
      </c>
      <c r="AB30" s="12">
        <v>1</v>
      </c>
      <c r="AC30" s="12">
        <f t="shared" si="5"/>
        <v>0.7288777429467086</v>
      </c>
      <c r="AD30" s="12">
        <v>1</v>
      </c>
      <c r="AE30" s="12">
        <f t="shared" si="6"/>
        <v>0.44831104189840543</v>
      </c>
      <c r="AG30" s="6">
        <v>25</v>
      </c>
      <c r="AH30" s="12">
        <f t="shared" si="7"/>
        <v>1</v>
      </c>
      <c r="AI30" s="12">
        <f t="shared" si="8"/>
        <v>0.61093399267075821</v>
      </c>
      <c r="AJ30" s="12">
        <f t="shared" si="9"/>
        <v>0.78448275862068972</v>
      </c>
      <c r="AK30" s="12">
        <f t="shared" si="10"/>
        <v>0.36604534579647202</v>
      </c>
    </row>
    <row r="31" spans="1:37" x14ac:dyDescent="0.35">
      <c r="A31" s="6">
        <v>26</v>
      </c>
      <c r="B31" s="3">
        <v>1</v>
      </c>
      <c r="C31" s="3">
        <v>0.5517241379310347</v>
      </c>
      <c r="D31" s="3">
        <v>0.77586206896551824</v>
      </c>
      <c r="E31" s="3">
        <v>0.46206896551724053</v>
      </c>
      <c r="F31" s="16"/>
      <c r="G31" s="10">
        <v>109.3</v>
      </c>
      <c r="H31" s="10">
        <v>50</v>
      </c>
      <c r="I31" s="10">
        <v>54.5</v>
      </c>
      <c r="J31" s="10">
        <v>273.2</v>
      </c>
      <c r="K31">
        <f t="shared" si="11"/>
        <v>0.48571963442094579</v>
      </c>
      <c r="L31">
        <f t="shared" si="12"/>
        <v>0.27489425194510964</v>
      </c>
      <c r="N31" s="10">
        <v>229.7</v>
      </c>
      <c r="O31" s="10">
        <v>103</v>
      </c>
      <c r="P31" s="10">
        <v>124.8</v>
      </c>
      <c r="Q31" s="10">
        <v>708.6</v>
      </c>
      <c r="R31">
        <f t="shared" si="1"/>
        <v>0.71475862068965512</v>
      </c>
      <c r="S31">
        <f t="shared" si="2"/>
        <v>0.4394126362625137</v>
      </c>
      <c r="U31" s="6">
        <v>26</v>
      </c>
      <c r="V31" s="12">
        <v>1</v>
      </c>
      <c r="W31" s="12">
        <f t="shared" si="3"/>
        <v>0.48571963442094579</v>
      </c>
      <c r="X31" s="3">
        <v>0.5517241379310347</v>
      </c>
      <c r="Y31" s="12">
        <f t="shared" si="4"/>
        <v>0.27489425194510964</v>
      </c>
      <c r="AA31" s="6">
        <v>26</v>
      </c>
      <c r="AB31" s="12">
        <v>1</v>
      </c>
      <c r="AC31" s="12">
        <f t="shared" si="5"/>
        <v>0.71475862068965512</v>
      </c>
      <c r="AD31" s="12">
        <v>1</v>
      </c>
      <c r="AE31" s="12">
        <f t="shared" si="6"/>
        <v>0.4394126362625137</v>
      </c>
      <c r="AG31" s="6">
        <v>26</v>
      </c>
      <c r="AH31" s="12">
        <f t="shared" si="7"/>
        <v>1</v>
      </c>
      <c r="AI31" s="12">
        <f t="shared" si="8"/>
        <v>0.60023912755530051</v>
      </c>
      <c r="AJ31" s="12">
        <f t="shared" si="9"/>
        <v>0.77586206896551735</v>
      </c>
      <c r="AK31" s="12">
        <f t="shared" si="10"/>
        <v>0.35715344410381167</v>
      </c>
    </row>
    <row r="32" spans="1:37" x14ac:dyDescent="0.35">
      <c r="A32" s="6">
        <v>27</v>
      </c>
      <c r="B32" s="3">
        <v>1</v>
      </c>
      <c r="C32" s="3">
        <v>0.53448275862068984</v>
      </c>
      <c r="D32" s="3">
        <v>0.76724137931034586</v>
      </c>
      <c r="E32" s="3">
        <v>0.44137931034482669</v>
      </c>
      <c r="F32" s="16"/>
      <c r="G32" s="10">
        <v>109.15</v>
      </c>
      <c r="H32" s="10">
        <v>49.5</v>
      </c>
      <c r="I32" s="10">
        <v>53.75</v>
      </c>
      <c r="J32" s="10">
        <v>264.60000000000002</v>
      </c>
      <c r="K32">
        <f t="shared" si="11"/>
        <v>0.47844902644708381</v>
      </c>
      <c r="L32">
        <f t="shared" si="12"/>
        <v>0.2660088541956806</v>
      </c>
      <c r="N32" s="10">
        <v>224.85</v>
      </c>
      <c r="O32" s="10">
        <v>101.5</v>
      </c>
      <c r="P32" s="10">
        <v>123.4</v>
      </c>
      <c r="Q32" s="10">
        <v>699.3</v>
      </c>
      <c r="R32">
        <f t="shared" si="1"/>
        <v>0.70063949843260209</v>
      </c>
      <c r="S32">
        <f t="shared" si="2"/>
        <v>0.43051423062662186</v>
      </c>
      <c r="U32" s="6">
        <v>27</v>
      </c>
      <c r="V32" s="12">
        <v>1</v>
      </c>
      <c r="W32" s="12">
        <f t="shared" si="3"/>
        <v>0.47844902644708381</v>
      </c>
      <c r="X32" s="3">
        <v>0.53448275862068984</v>
      </c>
      <c r="Y32" s="12">
        <f t="shared" si="4"/>
        <v>0.2660088541956806</v>
      </c>
      <c r="AA32" s="6">
        <v>27</v>
      </c>
      <c r="AB32" s="12">
        <v>1</v>
      </c>
      <c r="AC32" s="12">
        <f t="shared" si="5"/>
        <v>0.70063949843260209</v>
      </c>
      <c r="AD32" s="12">
        <v>1</v>
      </c>
      <c r="AE32" s="12">
        <f t="shared" si="6"/>
        <v>0.43051423062662186</v>
      </c>
      <c r="AG32" s="6">
        <v>27</v>
      </c>
      <c r="AH32" s="12">
        <f t="shared" si="7"/>
        <v>1</v>
      </c>
      <c r="AI32" s="12">
        <f t="shared" si="8"/>
        <v>0.58954426243984293</v>
      </c>
      <c r="AJ32" s="12">
        <f t="shared" si="9"/>
        <v>0.76724137931034497</v>
      </c>
      <c r="AK32" s="12">
        <f t="shared" si="10"/>
        <v>0.34826154241115126</v>
      </c>
    </row>
    <row r="33" spans="1:37" x14ac:dyDescent="0.35">
      <c r="A33" s="6">
        <v>28</v>
      </c>
      <c r="B33" s="3">
        <v>1</v>
      </c>
      <c r="C33" s="3">
        <v>0.5</v>
      </c>
      <c r="D33" s="3">
        <v>0.75</v>
      </c>
      <c r="E33" s="3">
        <v>0.40000000000000008</v>
      </c>
      <c r="F33" s="16"/>
      <c r="G33" s="10">
        <v>109</v>
      </c>
      <c r="H33" s="10">
        <v>49</v>
      </c>
      <c r="I33" s="6">
        <v>53</v>
      </c>
      <c r="J33" s="10">
        <v>256</v>
      </c>
      <c r="K33">
        <f t="shared" si="11"/>
        <v>0.46635083226632523</v>
      </c>
      <c r="L33">
        <f t="shared" si="12"/>
        <v>0.25236483575659663</v>
      </c>
      <c r="N33" s="10">
        <v>220</v>
      </c>
      <c r="O33" s="10">
        <v>100</v>
      </c>
      <c r="P33" s="6">
        <v>122</v>
      </c>
      <c r="Q33" s="10">
        <v>690</v>
      </c>
      <c r="R33">
        <f t="shared" si="1"/>
        <v>0.68169278996865201</v>
      </c>
      <c r="S33">
        <f t="shared" si="2"/>
        <v>0.41685720430107526</v>
      </c>
      <c r="U33" s="6">
        <v>28</v>
      </c>
      <c r="V33" s="12">
        <v>1</v>
      </c>
      <c r="W33" s="12">
        <f t="shared" si="3"/>
        <v>0.46635083226632523</v>
      </c>
      <c r="X33" s="3">
        <v>0.5</v>
      </c>
      <c r="Y33" s="12">
        <f t="shared" si="4"/>
        <v>0.25236483575659663</v>
      </c>
      <c r="AA33" s="6">
        <v>28</v>
      </c>
      <c r="AB33" s="12">
        <v>1</v>
      </c>
      <c r="AC33" s="12">
        <f t="shared" si="5"/>
        <v>0.68169278996865201</v>
      </c>
      <c r="AD33" s="12">
        <v>1</v>
      </c>
      <c r="AE33" s="12">
        <f t="shared" si="6"/>
        <v>0.41685720430107526</v>
      </c>
      <c r="AG33" s="6">
        <v>28</v>
      </c>
      <c r="AH33" s="12">
        <f t="shared" si="7"/>
        <v>1</v>
      </c>
      <c r="AI33" s="12">
        <f t="shared" si="8"/>
        <v>0.57402181111748862</v>
      </c>
      <c r="AJ33" s="12">
        <f t="shared" si="9"/>
        <v>0.75</v>
      </c>
      <c r="AK33" s="12">
        <f t="shared" si="10"/>
        <v>0.33461102002883591</v>
      </c>
    </row>
    <row r="34" spans="1:37" x14ac:dyDescent="0.35">
      <c r="D34" s="12"/>
      <c r="X34" s="12"/>
      <c r="AD34" s="12"/>
      <c r="AJ34" s="12"/>
    </row>
  </sheetData>
  <mergeCells count="6">
    <mergeCell ref="AH3:AK3"/>
    <mergeCell ref="B3:E3"/>
    <mergeCell ref="G2:J2"/>
    <mergeCell ref="V3:Y3"/>
    <mergeCell ref="AB3:AE3"/>
    <mergeCell ref="N2:Q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FA66-490B-479A-9BCE-AA982E0D80EA}">
  <sheetPr codeName="Sheet5"/>
  <dimension ref="A2:F33"/>
  <sheetViews>
    <sheetView zoomScale="80" zoomScaleNormal="80" workbookViewId="0">
      <pane xSplit="1" topLeftCell="B1" activePane="topRight" state="frozen"/>
      <selection pane="topRight" activeCell="F5" sqref="F5"/>
    </sheetView>
  </sheetViews>
  <sheetFormatPr defaultRowHeight="14.5" x14ac:dyDescent="0.35"/>
  <cols>
    <col min="1" max="4" width="11.7265625" customWidth="1"/>
  </cols>
  <sheetData>
    <row r="2" spans="1:6" x14ac:dyDescent="0.35">
      <c r="A2" s="91"/>
      <c r="B2" s="92"/>
      <c r="C2" s="92"/>
      <c r="D2" s="93"/>
    </row>
    <row r="3" spans="1:6" ht="63" customHeight="1" x14ac:dyDescent="0.35">
      <c r="A3" s="88" t="s">
        <v>26</v>
      </c>
      <c r="B3" s="89"/>
      <c r="C3" s="89"/>
      <c r="D3" s="90"/>
    </row>
    <row r="4" spans="1:6" s="2" customFormat="1" ht="58" x14ac:dyDescent="0.35">
      <c r="A4" s="5" t="s">
        <v>22</v>
      </c>
      <c r="B4" s="5" t="s">
        <v>23</v>
      </c>
      <c r="C4" s="5" t="s">
        <v>24</v>
      </c>
      <c r="D4" s="5" t="s">
        <v>25</v>
      </c>
    </row>
    <row r="5" spans="1:6" x14ac:dyDescent="0.35">
      <c r="A5" s="9">
        <v>0.2</v>
      </c>
      <c r="B5" s="9">
        <v>0.35</v>
      </c>
      <c r="C5" s="9">
        <v>0.05</v>
      </c>
      <c r="D5" s="9">
        <v>0.2</v>
      </c>
      <c r="F5" s="27">
        <f>AVERAGE(A5:B5)</f>
        <v>0.27500000000000002</v>
      </c>
    </row>
    <row r="6" spans="1:6" x14ac:dyDescent="0.35">
      <c r="A6" s="9">
        <v>0.2</v>
      </c>
      <c r="B6" s="9">
        <v>0.35</v>
      </c>
      <c r="C6" s="9">
        <v>0.05</v>
      </c>
      <c r="D6" s="9">
        <v>0.2</v>
      </c>
    </row>
    <row r="7" spans="1:6" x14ac:dyDescent="0.35">
      <c r="A7" s="9">
        <v>0.2</v>
      </c>
      <c r="B7" s="9">
        <v>0.35</v>
      </c>
      <c r="C7" s="9">
        <v>0.05</v>
      </c>
      <c r="D7" s="9">
        <v>0.2</v>
      </c>
    </row>
    <row r="8" spans="1:6" x14ac:dyDescent="0.35">
      <c r="A8" s="9">
        <v>0.2</v>
      </c>
      <c r="B8" s="9">
        <v>0.35</v>
      </c>
      <c r="C8" s="9">
        <v>0.05</v>
      </c>
      <c r="D8" s="9">
        <v>0.2</v>
      </c>
    </row>
    <row r="9" spans="1:6" x14ac:dyDescent="0.35">
      <c r="A9" s="9">
        <v>0.2</v>
      </c>
      <c r="B9" s="9">
        <v>0.35</v>
      </c>
      <c r="C9" s="9">
        <v>0.05</v>
      </c>
      <c r="D9" s="9">
        <v>0.2</v>
      </c>
    </row>
    <row r="10" spans="1:6" x14ac:dyDescent="0.35">
      <c r="A10" s="9">
        <v>0.2</v>
      </c>
      <c r="B10" s="9">
        <v>0.35</v>
      </c>
      <c r="C10" s="9">
        <v>0.05</v>
      </c>
      <c r="D10" s="9">
        <v>0.2</v>
      </c>
    </row>
    <row r="11" spans="1:6" x14ac:dyDescent="0.35">
      <c r="A11" s="9">
        <v>0.2</v>
      </c>
      <c r="B11" s="9">
        <v>0.35</v>
      </c>
      <c r="C11" s="9">
        <v>0.05</v>
      </c>
      <c r="D11" s="9">
        <v>0.2</v>
      </c>
    </row>
    <row r="12" spans="1:6" x14ac:dyDescent="0.35">
      <c r="A12" s="9">
        <v>0.2</v>
      </c>
      <c r="B12" s="9">
        <v>0.35</v>
      </c>
      <c r="C12" s="9">
        <v>0.05</v>
      </c>
      <c r="D12" s="9">
        <v>0.2</v>
      </c>
    </row>
    <row r="13" spans="1:6" x14ac:dyDescent="0.35">
      <c r="A13" s="9">
        <v>0.2</v>
      </c>
      <c r="B13" s="9">
        <v>0.35</v>
      </c>
      <c r="C13" s="9">
        <v>0.05</v>
      </c>
      <c r="D13" s="9">
        <v>0.2</v>
      </c>
    </row>
    <row r="14" spans="1:6" x14ac:dyDescent="0.35">
      <c r="A14" s="9">
        <v>0.2</v>
      </c>
      <c r="B14" s="9">
        <v>0.35</v>
      </c>
      <c r="C14" s="9">
        <v>0.05</v>
      </c>
      <c r="D14" s="9">
        <v>0.2</v>
      </c>
    </row>
    <row r="15" spans="1:6" x14ac:dyDescent="0.35">
      <c r="A15" s="9">
        <v>0.2</v>
      </c>
      <c r="B15" s="9">
        <v>0.35</v>
      </c>
      <c r="C15" s="9">
        <v>0.05</v>
      </c>
      <c r="D15" s="9">
        <v>0.2</v>
      </c>
    </row>
    <row r="16" spans="1:6" x14ac:dyDescent="0.35">
      <c r="A16" s="9">
        <v>0.2</v>
      </c>
      <c r="B16" s="9">
        <v>0.35</v>
      </c>
      <c r="C16" s="9">
        <v>0.05</v>
      </c>
      <c r="D16" s="9">
        <v>0.2</v>
      </c>
    </row>
    <row r="17" spans="1:4" x14ac:dyDescent="0.35">
      <c r="A17" s="9">
        <v>0.2</v>
      </c>
      <c r="B17" s="9">
        <v>0.35</v>
      </c>
      <c r="C17" s="9">
        <v>0.05</v>
      </c>
      <c r="D17" s="9">
        <v>0.2</v>
      </c>
    </row>
    <row r="18" spans="1:4" x14ac:dyDescent="0.35">
      <c r="A18" s="9">
        <v>0.2</v>
      </c>
      <c r="B18" s="9">
        <v>0.35</v>
      </c>
      <c r="C18" s="9">
        <v>0.05</v>
      </c>
      <c r="D18" s="9">
        <v>0.2</v>
      </c>
    </row>
    <row r="19" spans="1:4" x14ac:dyDescent="0.35">
      <c r="A19" s="9">
        <v>0.2</v>
      </c>
      <c r="B19" s="9">
        <v>0.35</v>
      </c>
      <c r="C19" s="9">
        <v>0.05</v>
      </c>
      <c r="D19" s="9">
        <v>0.2</v>
      </c>
    </row>
    <row r="20" spans="1:4" x14ac:dyDescent="0.35">
      <c r="A20" s="9">
        <v>0.2</v>
      </c>
      <c r="B20" s="9">
        <v>0.35</v>
      </c>
      <c r="C20" s="9">
        <v>0.05</v>
      </c>
      <c r="D20" s="9">
        <v>0.2</v>
      </c>
    </row>
    <row r="21" spans="1:4" x14ac:dyDescent="0.35">
      <c r="A21" s="9">
        <v>0.2</v>
      </c>
      <c r="B21" s="9">
        <v>0.35</v>
      </c>
      <c r="C21" s="9">
        <v>0.05</v>
      </c>
      <c r="D21" s="9">
        <v>0.2</v>
      </c>
    </row>
    <row r="22" spans="1:4" x14ac:dyDescent="0.35">
      <c r="A22" s="9">
        <v>0.2</v>
      </c>
      <c r="B22" s="9">
        <v>0.35</v>
      </c>
      <c r="C22" s="9">
        <v>0.05</v>
      </c>
      <c r="D22" s="9">
        <v>0.2</v>
      </c>
    </row>
    <row r="23" spans="1:4" x14ac:dyDescent="0.35">
      <c r="A23" s="9">
        <v>0.2</v>
      </c>
      <c r="B23" s="9">
        <v>0.35</v>
      </c>
      <c r="C23" s="9">
        <v>0.05</v>
      </c>
      <c r="D23" s="9">
        <v>0.2</v>
      </c>
    </row>
    <row r="24" spans="1:4" x14ac:dyDescent="0.35">
      <c r="A24" s="9">
        <v>0.2</v>
      </c>
      <c r="B24" s="9">
        <v>0.35</v>
      </c>
      <c r="C24" s="9">
        <v>0.05</v>
      </c>
      <c r="D24" s="9">
        <v>0.2</v>
      </c>
    </row>
    <row r="25" spans="1:4" x14ac:dyDescent="0.35">
      <c r="A25" s="9">
        <v>0.2</v>
      </c>
      <c r="B25" s="9">
        <v>0.35</v>
      </c>
      <c r="C25" s="9">
        <v>0.05</v>
      </c>
      <c r="D25" s="9">
        <v>0.2</v>
      </c>
    </row>
    <row r="26" spans="1:4" x14ac:dyDescent="0.35">
      <c r="A26" s="9">
        <v>0.2</v>
      </c>
      <c r="B26" s="9">
        <v>0.35</v>
      </c>
      <c r="C26" s="9">
        <v>0.05</v>
      </c>
      <c r="D26" s="9">
        <v>0.2</v>
      </c>
    </row>
    <row r="27" spans="1:4" x14ac:dyDescent="0.35">
      <c r="A27" s="9">
        <v>0.2</v>
      </c>
      <c r="B27" s="9">
        <v>0.35</v>
      </c>
      <c r="C27" s="9">
        <v>0.05</v>
      </c>
      <c r="D27" s="9">
        <v>0.2</v>
      </c>
    </row>
    <row r="28" spans="1:4" x14ac:dyDescent="0.35">
      <c r="A28" s="9">
        <v>0.2</v>
      </c>
      <c r="B28" s="9">
        <v>0.35</v>
      </c>
      <c r="C28" s="9">
        <v>0.05</v>
      </c>
      <c r="D28" s="9">
        <v>0.2</v>
      </c>
    </row>
    <row r="29" spans="1:4" x14ac:dyDescent="0.35">
      <c r="A29" s="9">
        <v>0.2</v>
      </c>
      <c r="B29" s="9">
        <v>0.35</v>
      </c>
      <c r="C29" s="9">
        <v>0.05</v>
      </c>
      <c r="D29" s="9">
        <v>0.2</v>
      </c>
    </row>
    <row r="30" spans="1:4" x14ac:dyDescent="0.35">
      <c r="A30" s="9">
        <v>0.2</v>
      </c>
      <c r="B30" s="9">
        <v>0.35</v>
      </c>
      <c r="C30" s="9">
        <v>0.05</v>
      </c>
      <c r="D30" s="9">
        <v>0.2</v>
      </c>
    </row>
    <row r="31" spans="1:4" x14ac:dyDescent="0.35">
      <c r="A31" s="9">
        <v>0.2</v>
      </c>
      <c r="B31" s="9">
        <v>0.35</v>
      </c>
      <c r="C31" s="9">
        <v>0.05</v>
      </c>
      <c r="D31" s="9">
        <v>0.2</v>
      </c>
    </row>
    <row r="32" spans="1:4" x14ac:dyDescent="0.35">
      <c r="A32" s="9">
        <v>0.2</v>
      </c>
      <c r="B32" s="9">
        <v>0.35</v>
      </c>
      <c r="C32" s="9">
        <v>0.05</v>
      </c>
      <c r="D32" s="9">
        <v>0.2</v>
      </c>
    </row>
    <row r="33" spans="1:4" x14ac:dyDescent="0.35">
      <c r="A33" s="9">
        <v>0.2</v>
      </c>
      <c r="B33" s="9">
        <v>0.35</v>
      </c>
      <c r="C33" s="9">
        <v>0.05</v>
      </c>
      <c r="D33" s="9">
        <v>0.2</v>
      </c>
    </row>
  </sheetData>
  <mergeCells count="2">
    <mergeCell ref="A3:D3"/>
    <mergeCell ref="A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5CEB-13E1-484B-9E2E-23E1A09E27DD}">
  <sheetPr codeName="Sheet6"/>
  <dimension ref="B2:AA34"/>
  <sheetViews>
    <sheetView topLeftCell="A2" zoomScale="80" zoomScaleNormal="80" workbookViewId="0">
      <pane xSplit="2" topLeftCell="S1" activePane="topRight" state="frozen"/>
      <selection pane="topRight" activeCell="W33" sqref="W5:AA33"/>
    </sheetView>
  </sheetViews>
  <sheetFormatPr defaultRowHeight="14.5" x14ac:dyDescent="0.35"/>
  <cols>
    <col min="2" max="3" width="10.7265625" customWidth="1"/>
    <col min="4" max="4" width="10.1796875" bestFit="1" customWidth="1"/>
    <col min="11" max="11" width="8.7265625" style="1"/>
    <col min="12" max="12" width="15.08984375" customWidth="1"/>
    <col min="13" max="13" width="13" style="1" customWidth="1"/>
    <col min="14" max="14" width="6.90625" customWidth="1"/>
    <col min="15" max="15" width="14" customWidth="1"/>
    <col min="17" max="17" width="8.7265625" style="1"/>
    <col min="18" max="18" width="15.54296875" customWidth="1"/>
    <col min="19" max="19" width="13" style="1" customWidth="1"/>
    <col min="20" max="20" width="6.90625" customWidth="1"/>
    <col min="21" max="21" width="14" customWidth="1"/>
    <col min="23" max="23" width="8.7265625" style="1"/>
    <col min="24" max="24" width="15.08984375" customWidth="1"/>
    <col min="25" max="25" width="13" style="1" customWidth="1"/>
    <col min="26" max="26" width="6.90625" customWidth="1"/>
    <col min="27" max="27" width="14" customWidth="1"/>
  </cols>
  <sheetData>
    <row r="2" spans="2:27" x14ac:dyDescent="0.35">
      <c r="B2" s="87" t="s">
        <v>1</v>
      </c>
      <c r="C2" s="87"/>
      <c r="D2" s="87"/>
      <c r="E2" s="87"/>
    </row>
    <row r="3" spans="2:27" ht="63" customHeight="1" x14ac:dyDescent="0.35">
      <c r="B3" s="94" t="s">
        <v>4</v>
      </c>
      <c r="C3" s="94"/>
      <c r="D3" s="94" t="s">
        <v>5</v>
      </c>
      <c r="E3" s="94"/>
      <c r="F3" s="94" t="s">
        <v>15</v>
      </c>
      <c r="G3" s="94"/>
      <c r="H3" s="94" t="s">
        <v>15</v>
      </c>
      <c r="I3" s="94"/>
      <c r="K3" s="7"/>
      <c r="L3" s="87" t="s">
        <v>28</v>
      </c>
      <c r="M3" s="87"/>
      <c r="N3" s="87"/>
      <c r="O3" s="87"/>
      <c r="Q3" s="7"/>
      <c r="R3" s="87" t="s">
        <v>27</v>
      </c>
      <c r="S3" s="87"/>
      <c r="T3" s="87"/>
      <c r="U3" s="87"/>
      <c r="W3" s="7"/>
      <c r="X3" s="87" t="s">
        <v>148</v>
      </c>
      <c r="Y3" s="87"/>
      <c r="Z3" s="87"/>
      <c r="AA3" s="87"/>
    </row>
    <row r="4" spans="2:27" s="2" customFormat="1" ht="58" x14ac:dyDescent="0.35">
      <c r="B4" s="5" t="s">
        <v>2</v>
      </c>
      <c r="C4" s="5" t="s">
        <v>3</v>
      </c>
      <c r="D4" s="5" t="s">
        <v>6</v>
      </c>
      <c r="E4" s="5" t="s">
        <v>7</v>
      </c>
      <c r="F4" s="5" t="s">
        <v>16</v>
      </c>
      <c r="G4" s="5" t="s">
        <v>17</v>
      </c>
      <c r="H4" s="5" t="s">
        <v>16</v>
      </c>
      <c r="I4" s="5" t="s">
        <v>17</v>
      </c>
      <c r="K4" s="4" t="s">
        <v>0</v>
      </c>
      <c r="L4" s="5" t="s">
        <v>29</v>
      </c>
      <c r="M4" s="5" t="s">
        <v>30</v>
      </c>
      <c r="N4" s="5" t="s">
        <v>31</v>
      </c>
      <c r="O4" s="5" t="s">
        <v>32</v>
      </c>
      <c r="Q4" s="4" t="s">
        <v>0</v>
      </c>
      <c r="R4" s="5" t="s">
        <v>29</v>
      </c>
      <c r="S4" s="5" t="s">
        <v>30</v>
      </c>
      <c r="T4" s="5" t="s">
        <v>31</v>
      </c>
      <c r="U4" s="5" t="s">
        <v>32</v>
      </c>
      <c r="W4" s="4" t="s">
        <v>0</v>
      </c>
      <c r="X4" s="5" t="s">
        <v>29</v>
      </c>
      <c r="Y4" s="5" t="s">
        <v>30</v>
      </c>
      <c r="Z4" s="5" t="s">
        <v>31</v>
      </c>
      <c r="AA4" s="5" t="s">
        <v>32</v>
      </c>
    </row>
    <row r="5" spans="2:27" x14ac:dyDescent="0.35">
      <c r="B5" s="9">
        <v>1</v>
      </c>
      <c r="C5" s="9">
        <v>1</v>
      </c>
      <c r="D5" s="9">
        <v>0.45</v>
      </c>
      <c r="E5" s="9">
        <v>0.5</v>
      </c>
      <c r="F5" s="10">
        <v>141</v>
      </c>
      <c r="G5" s="10">
        <v>200</v>
      </c>
      <c r="H5">
        <f>F5/$F$5</f>
        <v>1</v>
      </c>
      <c r="I5">
        <f>G5/$G$5</f>
        <v>1</v>
      </c>
      <c r="K5" s="6">
        <v>0</v>
      </c>
      <c r="L5" s="12">
        <f>1/B5</f>
        <v>1</v>
      </c>
      <c r="M5" s="12">
        <f>I5</f>
        <v>1</v>
      </c>
      <c r="N5" s="12">
        <f>1/B5</f>
        <v>1</v>
      </c>
      <c r="O5" s="12">
        <f>E5/$E$5</f>
        <v>1</v>
      </c>
      <c r="Q5" s="6">
        <v>0</v>
      </c>
      <c r="R5" s="12">
        <f>1/C5</f>
        <v>1</v>
      </c>
      <c r="S5" s="12">
        <f>H5</f>
        <v>1</v>
      </c>
      <c r="T5" s="12">
        <f>1/C5</f>
        <v>1</v>
      </c>
      <c r="U5" s="12">
        <f>D5/$D$5</f>
        <v>1</v>
      </c>
      <c r="W5" s="6">
        <v>0</v>
      </c>
      <c r="X5" s="12">
        <f>(L5+R5)/2</f>
        <v>1</v>
      </c>
      <c r="Y5" s="12">
        <f t="shared" ref="Y5:AA5" si="0">(M5+S5)/2</f>
        <v>1</v>
      </c>
      <c r="Z5" s="12">
        <f t="shared" si="0"/>
        <v>1</v>
      </c>
      <c r="AA5" s="12">
        <f t="shared" si="0"/>
        <v>1</v>
      </c>
    </row>
    <row r="6" spans="2:27" x14ac:dyDescent="0.35">
      <c r="B6" s="11">
        <f t="shared" ref="B6:C10" si="1">B$5-$A14*(B$5-B$13)/8</f>
        <v>1</v>
      </c>
      <c r="C6" s="11">
        <f t="shared" si="1"/>
        <v>1</v>
      </c>
      <c r="D6" s="11">
        <v>0.45624999999999999</v>
      </c>
      <c r="E6" s="11">
        <v>0.51500000000000001</v>
      </c>
      <c r="F6" s="10">
        <v>148.375</v>
      </c>
      <c r="G6" s="10">
        <v>207.5</v>
      </c>
      <c r="H6">
        <f t="shared" ref="H6:H33" si="2">F6/$F$5</f>
        <v>1.052304964539007</v>
      </c>
      <c r="I6">
        <f t="shared" ref="I6:I33" si="3">G6/$G$5</f>
        <v>1.0375000000000001</v>
      </c>
      <c r="K6" s="6">
        <v>1</v>
      </c>
      <c r="L6" s="12">
        <f t="shared" ref="L6:L33" si="4">1/B6</f>
        <v>1</v>
      </c>
      <c r="M6" s="12">
        <f t="shared" ref="M6:M33" si="5">I6</f>
        <v>1.0375000000000001</v>
      </c>
      <c r="N6" s="12">
        <f t="shared" ref="N6:N33" si="6">1/B6</f>
        <v>1</v>
      </c>
      <c r="O6" s="12">
        <f t="shared" ref="O6:O33" si="7">E6/$E$5</f>
        <v>1.03</v>
      </c>
      <c r="Q6" s="6">
        <v>1</v>
      </c>
      <c r="R6" s="12">
        <f t="shared" ref="R6:R33" si="8">1/C6</f>
        <v>1</v>
      </c>
      <c r="S6" s="12">
        <f t="shared" ref="S6:S33" si="9">H6</f>
        <v>1.052304964539007</v>
      </c>
      <c r="T6" s="12">
        <f t="shared" ref="T6:T33" si="10">1/C6</f>
        <v>1</v>
      </c>
      <c r="U6" s="12">
        <f t="shared" ref="U6:U33" si="11">D6/$D$5</f>
        <v>1.0138888888888888</v>
      </c>
      <c r="W6" s="6">
        <v>1</v>
      </c>
      <c r="X6" s="12">
        <f t="shared" ref="X6:X33" si="12">(L6+R6)/2</f>
        <v>1</v>
      </c>
      <c r="Y6" s="12">
        <f t="shared" ref="Y6:Y33" si="13">(M6+S6)/2</f>
        <v>1.0449024822695034</v>
      </c>
      <c r="Z6" s="12">
        <f t="shared" ref="Z6:Z33" si="14">(N6+T6)/2</f>
        <v>1</v>
      </c>
      <c r="AA6" s="12">
        <f t="shared" ref="AA6:AA33" si="15">(O6+U6)/2</f>
        <v>1.0219444444444443</v>
      </c>
    </row>
    <row r="7" spans="2:27" x14ac:dyDescent="0.35">
      <c r="B7" s="11">
        <f t="shared" si="1"/>
        <v>1</v>
      </c>
      <c r="C7" s="11">
        <f t="shared" si="1"/>
        <v>1</v>
      </c>
      <c r="D7" s="11">
        <v>0.46250000000000002</v>
      </c>
      <c r="E7" s="11">
        <v>0.53</v>
      </c>
      <c r="F7" s="10">
        <v>155.75</v>
      </c>
      <c r="G7" s="10">
        <v>215</v>
      </c>
      <c r="H7">
        <f t="shared" si="2"/>
        <v>1.1046099290780143</v>
      </c>
      <c r="I7">
        <f t="shared" si="3"/>
        <v>1.075</v>
      </c>
      <c r="K7" s="6">
        <v>2</v>
      </c>
      <c r="L7" s="12">
        <f t="shared" si="4"/>
        <v>1</v>
      </c>
      <c r="M7" s="12">
        <f t="shared" si="5"/>
        <v>1.075</v>
      </c>
      <c r="N7" s="12">
        <f t="shared" si="6"/>
        <v>1</v>
      </c>
      <c r="O7" s="12">
        <f t="shared" si="7"/>
        <v>1.06</v>
      </c>
      <c r="Q7" s="6">
        <v>2</v>
      </c>
      <c r="R7" s="12">
        <f t="shared" si="8"/>
        <v>1</v>
      </c>
      <c r="S7" s="12">
        <f t="shared" si="9"/>
        <v>1.1046099290780143</v>
      </c>
      <c r="T7" s="12">
        <f t="shared" si="10"/>
        <v>1</v>
      </c>
      <c r="U7" s="12">
        <f t="shared" si="11"/>
        <v>1.0277777777777779</v>
      </c>
      <c r="W7" s="6">
        <v>2</v>
      </c>
      <c r="X7" s="12">
        <f t="shared" si="12"/>
        <v>1</v>
      </c>
      <c r="Y7" s="12">
        <f t="shared" si="13"/>
        <v>1.0898049645390071</v>
      </c>
      <c r="Z7" s="12">
        <f t="shared" si="14"/>
        <v>1</v>
      </c>
      <c r="AA7" s="12">
        <f t="shared" si="15"/>
        <v>1.0438888888888891</v>
      </c>
    </row>
    <row r="8" spans="2:27" x14ac:dyDescent="0.35">
      <c r="B8" s="11">
        <f t="shared" si="1"/>
        <v>1</v>
      </c>
      <c r="C8" s="11">
        <f t="shared" si="1"/>
        <v>1</v>
      </c>
      <c r="D8" s="11">
        <v>0.46875</v>
      </c>
      <c r="E8" s="11">
        <v>0.54500000000000004</v>
      </c>
      <c r="F8" s="10">
        <v>163.125</v>
      </c>
      <c r="G8" s="10">
        <v>222.5</v>
      </c>
      <c r="H8">
        <f t="shared" si="2"/>
        <v>1.1569148936170213</v>
      </c>
      <c r="I8">
        <f t="shared" si="3"/>
        <v>1.1125</v>
      </c>
      <c r="K8" s="6">
        <v>3</v>
      </c>
      <c r="L8" s="12">
        <f t="shared" si="4"/>
        <v>1</v>
      </c>
      <c r="M8" s="12">
        <f t="shared" si="5"/>
        <v>1.1125</v>
      </c>
      <c r="N8" s="12">
        <f t="shared" si="6"/>
        <v>1</v>
      </c>
      <c r="O8" s="12">
        <f t="shared" si="7"/>
        <v>1.0900000000000001</v>
      </c>
      <c r="Q8" s="6">
        <v>3</v>
      </c>
      <c r="R8" s="12">
        <f t="shared" si="8"/>
        <v>1</v>
      </c>
      <c r="S8" s="12">
        <f t="shared" si="9"/>
        <v>1.1569148936170213</v>
      </c>
      <c r="T8" s="12">
        <f t="shared" si="10"/>
        <v>1</v>
      </c>
      <c r="U8" s="12">
        <f t="shared" si="11"/>
        <v>1.0416666666666667</v>
      </c>
      <c r="W8" s="6">
        <v>3</v>
      </c>
      <c r="X8" s="12">
        <f t="shared" si="12"/>
        <v>1</v>
      </c>
      <c r="Y8" s="12">
        <f t="shared" si="13"/>
        <v>1.1347074468085108</v>
      </c>
      <c r="Z8" s="12">
        <f t="shared" si="14"/>
        <v>1</v>
      </c>
      <c r="AA8" s="12">
        <f t="shared" si="15"/>
        <v>1.0658333333333334</v>
      </c>
    </row>
    <row r="9" spans="2:27" x14ac:dyDescent="0.35">
      <c r="B9" s="11">
        <f t="shared" si="1"/>
        <v>1</v>
      </c>
      <c r="C9" s="11">
        <f t="shared" si="1"/>
        <v>1</v>
      </c>
      <c r="D9" s="11">
        <v>0.47499999999999998</v>
      </c>
      <c r="E9" s="11">
        <v>0.56000000000000005</v>
      </c>
      <c r="F9" s="10">
        <v>170.5</v>
      </c>
      <c r="G9" s="10">
        <v>230</v>
      </c>
      <c r="H9">
        <f t="shared" si="2"/>
        <v>1.2092198581560283</v>
      </c>
      <c r="I9">
        <f t="shared" si="3"/>
        <v>1.1499999999999999</v>
      </c>
      <c r="K9" s="6">
        <v>4</v>
      </c>
      <c r="L9" s="12">
        <f t="shared" si="4"/>
        <v>1</v>
      </c>
      <c r="M9" s="12">
        <f t="shared" si="5"/>
        <v>1.1499999999999999</v>
      </c>
      <c r="N9" s="12">
        <f t="shared" si="6"/>
        <v>1</v>
      </c>
      <c r="O9" s="12">
        <f t="shared" si="7"/>
        <v>1.1200000000000001</v>
      </c>
      <c r="Q9" s="6">
        <v>4</v>
      </c>
      <c r="R9" s="12">
        <f t="shared" si="8"/>
        <v>1</v>
      </c>
      <c r="S9" s="12">
        <f t="shared" si="9"/>
        <v>1.2092198581560283</v>
      </c>
      <c r="T9" s="12">
        <f t="shared" si="10"/>
        <v>1</v>
      </c>
      <c r="U9" s="12">
        <f t="shared" si="11"/>
        <v>1.0555555555555556</v>
      </c>
      <c r="W9" s="6">
        <v>4</v>
      </c>
      <c r="X9" s="12">
        <f t="shared" si="12"/>
        <v>1</v>
      </c>
      <c r="Y9" s="12">
        <f t="shared" si="13"/>
        <v>1.1796099290780142</v>
      </c>
      <c r="Z9" s="12">
        <f t="shared" si="14"/>
        <v>1</v>
      </c>
      <c r="AA9" s="12">
        <f t="shared" si="15"/>
        <v>1.0877777777777777</v>
      </c>
    </row>
    <row r="10" spans="2:27" x14ac:dyDescent="0.35">
      <c r="B10" s="11">
        <f t="shared" si="1"/>
        <v>1</v>
      </c>
      <c r="C10" s="11">
        <f t="shared" si="1"/>
        <v>1</v>
      </c>
      <c r="D10" s="11">
        <v>0.48125000000000001</v>
      </c>
      <c r="E10" s="11">
        <v>0.57499999999999996</v>
      </c>
      <c r="F10" s="10">
        <v>177.875</v>
      </c>
      <c r="G10" s="10">
        <v>237.5</v>
      </c>
      <c r="H10">
        <f t="shared" si="2"/>
        <v>1.2615248226950355</v>
      </c>
      <c r="I10">
        <f t="shared" si="3"/>
        <v>1.1875</v>
      </c>
      <c r="K10" s="6">
        <v>5</v>
      </c>
      <c r="L10" s="12">
        <f t="shared" si="4"/>
        <v>1</v>
      </c>
      <c r="M10" s="12">
        <f t="shared" si="5"/>
        <v>1.1875</v>
      </c>
      <c r="N10" s="12">
        <f t="shared" si="6"/>
        <v>1</v>
      </c>
      <c r="O10" s="12">
        <f t="shared" si="7"/>
        <v>1.1499999999999999</v>
      </c>
      <c r="Q10" s="6">
        <v>5</v>
      </c>
      <c r="R10" s="12">
        <f t="shared" si="8"/>
        <v>1</v>
      </c>
      <c r="S10" s="12">
        <f t="shared" si="9"/>
        <v>1.2615248226950355</v>
      </c>
      <c r="T10" s="12">
        <f t="shared" si="10"/>
        <v>1</v>
      </c>
      <c r="U10" s="12">
        <f t="shared" si="11"/>
        <v>1.0694444444444444</v>
      </c>
      <c r="W10" s="6">
        <v>5</v>
      </c>
      <c r="X10" s="12">
        <f t="shared" si="12"/>
        <v>1</v>
      </c>
      <c r="Y10" s="12">
        <f t="shared" si="13"/>
        <v>1.2245124113475176</v>
      </c>
      <c r="Z10" s="12">
        <f t="shared" si="14"/>
        <v>1</v>
      </c>
      <c r="AA10" s="12">
        <f t="shared" si="15"/>
        <v>1.1097222222222221</v>
      </c>
    </row>
    <row r="11" spans="2:27" x14ac:dyDescent="0.35">
      <c r="B11" s="11">
        <v>0.73750000000000004</v>
      </c>
      <c r="C11" s="11">
        <v>0.92500000000000004</v>
      </c>
      <c r="D11" s="11">
        <v>0.48749999999999999</v>
      </c>
      <c r="E11" s="11">
        <v>0.59</v>
      </c>
      <c r="F11" s="10">
        <v>185.25</v>
      </c>
      <c r="G11" s="10">
        <v>245</v>
      </c>
      <c r="H11">
        <f t="shared" si="2"/>
        <v>1.3138297872340425</v>
      </c>
      <c r="I11">
        <f t="shared" si="3"/>
        <v>1.2250000000000001</v>
      </c>
      <c r="K11" s="6">
        <v>6</v>
      </c>
      <c r="L11" s="12">
        <f t="shared" si="4"/>
        <v>1.3559322033898304</v>
      </c>
      <c r="M11" s="12">
        <f t="shared" si="5"/>
        <v>1.2250000000000001</v>
      </c>
      <c r="N11" s="12">
        <f t="shared" si="6"/>
        <v>1.3559322033898304</v>
      </c>
      <c r="O11" s="12">
        <f t="shared" si="7"/>
        <v>1.18</v>
      </c>
      <c r="Q11" s="6">
        <v>6</v>
      </c>
      <c r="R11" s="12">
        <f t="shared" si="8"/>
        <v>1.0810810810810809</v>
      </c>
      <c r="S11" s="12">
        <f t="shared" si="9"/>
        <v>1.3138297872340425</v>
      </c>
      <c r="T11" s="12">
        <f t="shared" si="10"/>
        <v>1.0810810810810809</v>
      </c>
      <c r="U11" s="12">
        <f t="shared" si="11"/>
        <v>1.0833333333333333</v>
      </c>
      <c r="W11" s="6">
        <v>6</v>
      </c>
      <c r="X11" s="12">
        <f t="shared" si="12"/>
        <v>1.2185066422354556</v>
      </c>
      <c r="Y11" s="12">
        <f t="shared" si="13"/>
        <v>1.2694148936170213</v>
      </c>
      <c r="Z11" s="12">
        <f t="shared" si="14"/>
        <v>1.2185066422354556</v>
      </c>
      <c r="AA11" s="12">
        <f t="shared" si="15"/>
        <v>1.1316666666666666</v>
      </c>
    </row>
    <row r="12" spans="2:27" x14ac:dyDescent="0.35">
      <c r="B12" s="11">
        <v>0.69375000000000009</v>
      </c>
      <c r="C12" s="11">
        <v>0.91249999999999998</v>
      </c>
      <c r="D12" s="11">
        <v>0.49375000000000002</v>
      </c>
      <c r="E12" s="11">
        <v>0.60499999999999998</v>
      </c>
      <c r="F12" s="10">
        <v>192.625</v>
      </c>
      <c r="G12" s="10">
        <v>252.5</v>
      </c>
      <c r="H12">
        <f t="shared" si="2"/>
        <v>1.3661347517730495</v>
      </c>
      <c r="I12">
        <f t="shared" si="3"/>
        <v>1.2625</v>
      </c>
      <c r="K12" s="6">
        <v>7</v>
      </c>
      <c r="L12" s="12">
        <f t="shared" si="4"/>
        <v>1.4414414414414412</v>
      </c>
      <c r="M12" s="12">
        <f t="shared" si="5"/>
        <v>1.2625</v>
      </c>
      <c r="N12" s="12">
        <f t="shared" si="6"/>
        <v>1.4414414414414412</v>
      </c>
      <c r="O12" s="12">
        <f t="shared" si="7"/>
        <v>1.21</v>
      </c>
      <c r="Q12" s="6">
        <v>7</v>
      </c>
      <c r="R12" s="12">
        <f t="shared" si="8"/>
        <v>1.095890410958904</v>
      </c>
      <c r="S12" s="12">
        <f t="shared" si="9"/>
        <v>1.3661347517730495</v>
      </c>
      <c r="T12" s="12">
        <f t="shared" si="10"/>
        <v>1.095890410958904</v>
      </c>
      <c r="U12" s="12">
        <f t="shared" si="11"/>
        <v>1.0972222222222223</v>
      </c>
      <c r="W12" s="6">
        <v>7</v>
      </c>
      <c r="X12" s="12">
        <f t="shared" si="12"/>
        <v>1.2686659262001725</v>
      </c>
      <c r="Y12" s="12">
        <f t="shared" si="13"/>
        <v>1.3143173758865248</v>
      </c>
      <c r="Z12" s="12">
        <f t="shared" si="14"/>
        <v>1.2686659262001725</v>
      </c>
      <c r="AA12" s="12">
        <f t="shared" si="15"/>
        <v>1.1536111111111111</v>
      </c>
    </row>
    <row r="13" spans="2:27" x14ac:dyDescent="0.35">
      <c r="B13" s="9">
        <v>0.65</v>
      </c>
      <c r="C13" s="9">
        <v>0.9</v>
      </c>
      <c r="D13" s="9">
        <v>0.5</v>
      </c>
      <c r="E13" s="9">
        <v>0.62</v>
      </c>
      <c r="F13" s="10">
        <v>200</v>
      </c>
      <c r="G13" s="10">
        <v>260</v>
      </c>
      <c r="H13">
        <f t="shared" si="2"/>
        <v>1.4184397163120568</v>
      </c>
      <c r="I13">
        <f t="shared" si="3"/>
        <v>1.3</v>
      </c>
      <c r="K13" s="6">
        <v>8</v>
      </c>
      <c r="L13" s="12">
        <f t="shared" si="4"/>
        <v>1.5384615384615383</v>
      </c>
      <c r="M13" s="12">
        <f t="shared" si="5"/>
        <v>1.3</v>
      </c>
      <c r="N13" s="12">
        <f t="shared" si="6"/>
        <v>1.5384615384615383</v>
      </c>
      <c r="O13" s="12">
        <f t="shared" si="7"/>
        <v>1.24</v>
      </c>
      <c r="Q13" s="6">
        <v>8</v>
      </c>
      <c r="R13" s="12">
        <f t="shared" si="8"/>
        <v>1.1111111111111112</v>
      </c>
      <c r="S13" s="12">
        <f t="shared" si="9"/>
        <v>1.4184397163120568</v>
      </c>
      <c r="T13" s="12">
        <f t="shared" si="10"/>
        <v>1.1111111111111112</v>
      </c>
      <c r="U13" s="12">
        <f t="shared" si="11"/>
        <v>1.1111111111111112</v>
      </c>
      <c r="W13" s="6">
        <v>8</v>
      </c>
      <c r="X13" s="12">
        <f t="shared" si="12"/>
        <v>1.3247863247863247</v>
      </c>
      <c r="Y13" s="12">
        <f t="shared" si="13"/>
        <v>1.3592198581560284</v>
      </c>
      <c r="Z13" s="12">
        <f t="shared" si="14"/>
        <v>1.3247863247863247</v>
      </c>
      <c r="AA13" s="12">
        <f t="shared" si="15"/>
        <v>1.1755555555555555</v>
      </c>
    </row>
    <row r="14" spans="2:27" x14ac:dyDescent="0.35">
      <c r="B14" s="11">
        <v>0.64600000000000002</v>
      </c>
      <c r="C14" s="11">
        <v>0.89300000000000002</v>
      </c>
      <c r="D14" s="11">
        <v>0.502</v>
      </c>
      <c r="E14" s="11">
        <v>0.62149999999999994</v>
      </c>
      <c r="F14" s="10">
        <v>202.5</v>
      </c>
      <c r="G14" s="10">
        <v>267</v>
      </c>
      <c r="H14">
        <f t="shared" si="2"/>
        <v>1.4361702127659575</v>
      </c>
      <c r="I14">
        <f t="shared" si="3"/>
        <v>1.335</v>
      </c>
      <c r="K14" s="6">
        <v>9</v>
      </c>
      <c r="L14" s="12">
        <f t="shared" si="4"/>
        <v>1.5479876160990711</v>
      </c>
      <c r="M14" s="12">
        <f t="shared" si="5"/>
        <v>1.335</v>
      </c>
      <c r="N14" s="12">
        <f t="shared" si="6"/>
        <v>1.5479876160990711</v>
      </c>
      <c r="O14" s="12">
        <f t="shared" si="7"/>
        <v>1.2429999999999999</v>
      </c>
      <c r="Q14" s="6">
        <v>9</v>
      </c>
      <c r="R14" s="12">
        <f t="shared" si="8"/>
        <v>1.1198208286674132</v>
      </c>
      <c r="S14" s="12">
        <f t="shared" si="9"/>
        <v>1.4361702127659575</v>
      </c>
      <c r="T14" s="12">
        <f t="shared" si="10"/>
        <v>1.1198208286674132</v>
      </c>
      <c r="U14" s="12">
        <f t="shared" si="11"/>
        <v>1.1155555555555556</v>
      </c>
      <c r="W14" s="6">
        <v>9</v>
      </c>
      <c r="X14" s="12">
        <f t="shared" si="12"/>
        <v>1.333904222383242</v>
      </c>
      <c r="Y14" s="12">
        <f t="shared" si="13"/>
        <v>1.3855851063829787</v>
      </c>
      <c r="Z14" s="12">
        <f t="shared" si="14"/>
        <v>1.333904222383242</v>
      </c>
      <c r="AA14" s="12">
        <f t="shared" si="15"/>
        <v>1.1792777777777776</v>
      </c>
    </row>
    <row r="15" spans="2:27" x14ac:dyDescent="0.35">
      <c r="B15" s="11">
        <v>0.64200000000000002</v>
      </c>
      <c r="C15" s="11">
        <v>0.88600000000000001</v>
      </c>
      <c r="D15" s="11">
        <v>0.504</v>
      </c>
      <c r="E15" s="11">
        <v>0.623</v>
      </c>
      <c r="F15" s="10">
        <v>205</v>
      </c>
      <c r="G15" s="10">
        <v>274</v>
      </c>
      <c r="H15">
        <f t="shared" si="2"/>
        <v>1.4539007092198581</v>
      </c>
      <c r="I15">
        <f t="shared" si="3"/>
        <v>1.37</v>
      </c>
      <c r="K15" s="6">
        <v>10</v>
      </c>
      <c r="L15" s="12">
        <f t="shared" si="4"/>
        <v>1.557632398753894</v>
      </c>
      <c r="M15" s="12">
        <f t="shared" si="5"/>
        <v>1.37</v>
      </c>
      <c r="N15" s="12">
        <f t="shared" si="6"/>
        <v>1.557632398753894</v>
      </c>
      <c r="O15" s="12">
        <f t="shared" si="7"/>
        <v>1.246</v>
      </c>
      <c r="Q15" s="6">
        <v>10</v>
      </c>
      <c r="R15" s="12">
        <f t="shared" si="8"/>
        <v>1.1286681715575622</v>
      </c>
      <c r="S15" s="12">
        <f t="shared" si="9"/>
        <v>1.4539007092198581</v>
      </c>
      <c r="T15" s="12">
        <f t="shared" si="10"/>
        <v>1.1286681715575622</v>
      </c>
      <c r="U15" s="12">
        <f t="shared" si="11"/>
        <v>1.1199999999999999</v>
      </c>
      <c r="W15" s="6">
        <v>10</v>
      </c>
      <c r="X15" s="12">
        <f t="shared" si="12"/>
        <v>1.343150285155728</v>
      </c>
      <c r="Y15" s="12">
        <f t="shared" si="13"/>
        <v>1.411950354609929</v>
      </c>
      <c r="Z15" s="12">
        <f t="shared" si="14"/>
        <v>1.343150285155728</v>
      </c>
      <c r="AA15" s="12">
        <f t="shared" si="15"/>
        <v>1.1829999999999998</v>
      </c>
    </row>
    <row r="16" spans="2:27" x14ac:dyDescent="0.35">
      <c r="B16" s="11">
        <v>0.63800000000000001</v>
      </c>
      <c r="C16" s="11">
        <v>0.879</v>
      </c>
      <c r="D16" s="11">
        <v>0.50600000000000001</v>
      </c>
      <c r="E16" s="11">
        <v>0.62450000000000006</v>
      </c>
      <c r="F16" s="10">
        <v>207.5</v>
      </c>
      <c r="G16" s="10">
        <v>281</v>
      </c>
      <c r="H16">
        <f t="shared" si="2"/>
        <v>1.4716312056737588</v>
      </c>
      <c r="I16">
        <f t="shared" si="3"/>
        <v>1.405</v>
      </c>
      <c r="K16" s="6">
        <v>11</v>
      </c>
      <c r="L16" s="12">
        <f t="shared" si="4"/>
        <v>1.567398119122257</v>
      </c>
      <c r="M16" s="12">
        <f t="shared" si="5"/>
        <v>1.405</v>
      </c>
      <c r="N16" s="12">
        <f t="shared" si="6"/>
        <v>1.567398119122257</v>
      </c>
      <c r="O16" s="12">
        <f t="shared" si="7"/>
        <v>1.2490000000000001</v>
      </c>
      <c r="Q16" s="6">
        <v>11</v>
      </c>
      <c r="R16" s="12">
        <f t="shared" si="8"/>
        <v>1.1376564277588168</v>
      </c>
      <c r="S16" s="12">
        <f t="shared" si="9"/>
        <v>1.4716312056737588</v>
      </c>
      <c r="T16" s="12">
        <f t="shared" si="10"/>
        <v>1.1376564277588168</v>
      </c>
      <c r="U16" s="12">
        <f t="shared" si="11"/>
        <v>1.1244444444444444</v>
      </c>
      <c r="W16" s="6">
        <v>11</v>
      </c>
      <c r="X16" s="12">
        <f t="shared" si="12"/>
        <v>1.3525272734405369</v>
      </c>
      <c r="Y16" s="12">
        <f t="shared" si="13"/>
        <v>1.4383156028368793</v>
      </c>
      <c r="Z16" s="12">
        <f t="shared" si="14"/>
        <v>1.3525272734405369</v>
      </c>
      <c r="AA16" s="12">
        <f t="shared" si="15"/>
        <v>1.1867222222222222</v>
      </c>
    </row>
    <row r="17" spans="2:27" x14ac:dyDescent="0.35">
      <c r="B17" s="11">
        <v>0.63400000000000001</v>
      </c>
      <c r="C17" s="11">
        <v>0.872</v>
      </c>
      <c r="D17" s="11">
        <v>0.50800000000000001</v>
      </c>
      <c r="E17" s="11">
        <v>0.626</v>
      </c>
      <c r="F17" s="10">
        <v>210</v>
      </c>
      <c r="G17" s="10">
        <v>288</v>
      </c>
      <c r="H17">
        <f t="shared" si="2"/>
        <v>1.4893617021276595</v>
      </c>
      <c r="I17">
        <f t="shared" si="3"/>
        <v>1.44</v>
      </c>
      <c r="K17" s="6">
        <v>12</v>
      </c>
      <c r="L17" s="12">
        <f t="shared" si="4"/>
        <v>1.5772870662460567</v>
      </c>
      <c r="M17" s="12">
        <f t="shared" si="5"/>
        <v>1.44</v>
      </c>
      <c r="N17" s="12">
        <f t="shared" si="6"/>
        <v>1.5772870662460567</v>
      </c>
      <c r="O17" s="12">
        <f t="shared" si="7"/>
        <v>1.252</v>
      </c>
      <c r="Q17" s="6">
        <v>12</v>
      </c>
      <c r="R17" s="12">
        <f t="shared" si="8"/>
        <v>1.1467889908256881</v>
      </c>
      <c r="S17" s="12">
        <f t="shared" si="9"/>
        <v>1.4893617021276595</v>
      </c>
      <c r="T17" s="12">
        <f t="shared" si="10"/>
        <v>1.1467889908256881</v>
      </c>
      <c r="U17" s="12">
        <f t="shared" si="11"/>
        <v>1.1288888888888888</v>
      </c>
      <c r="W17" s="6">
        <v>12</v>
      </c>
      <c r="X17" s="12">
        <f t="shared" si="12"/>
        <v>1.3620380285358724</v>
      </c>
      <c r="Y17" s="12">
        <f t="shared" si="13"/>
        <v>1.4646808510638296</v>
      </c>
      <c r="Z17" s="12">
        <f t="shared" si="14"/>
        <v>1.3620380285358724</v>
      </c>
      <c r="AA17" s="12">
        <f t="shared" si="15"/>
        <v>1.1904444444444444</v>
      </c>
    </row>
    <row r="18" spans="2:27" x14ac:dyDescent="0.35">
      <c r="B18" s="11">
        <v>0.63</v>
      </c>
      <c r="C18" s="11">
        <v>0.86499999999999999</v>
      </c>
      <c r="D18" s="11">
        <v>0.51</v>
      </c>
      <c r="E18" s="11">
        <v>0.62749999999999995</v>
      </c>
      <c r="F18" s="10">
        <v>212.5</v>
      </c>
      <c r="G18" s="10">
        <v>295</v>
      </c>
      <c r="H18">
        <f t="shared" si="2"/>
        <v>1.5070921985815602</v>
      </c>
      <c r="I18">
        <f t="shared" si="3"/>
        <v>1.4750000000000001</v>
      </c>
      <c r="K18" s="6">
        <v>13</v>
      </c>
      <c r="L18" s="12">
        <f t="shared" si="4"/>
        <v>1.5873015873015872</v>
      </c>
      <c r="M18" s="12">
        <f t="shared" si="5"/>
        <v>1.4750000000000001</v>
      </c>
      <c r="N18" s="12">
        <f t="shared" si="6"/>
        <v>1.5873015873015872</v>
      </c>
      <c r="O18" s="12">
        <f t="shared" si="7"/>
        <v>1.2549999999999999</v>
      </c>
      <c r="Q18" s="6">
        <v>13</v>
      </c>
      <c r="R18" s="12">
        <f t="shared" si="8"/>
        <v>1.1560693641618498</v>
      </c>
      <c r="S18" s="12">
        <f t="shared" si="9"/>
        <v>1.5070921985815602</v>
      </c>
      <c r="T18" s="12">
        <f t="shared" si="10"/>
        <v>1.1560693641618498</v>
      </c>
      <c r="U18" s="12">
        <f t="shared" si="11"/>
        <v>1.1333333333333333</v>
      </c>
      <c r="W18" s="6">
        <v>13</v>
      </c>
      <c r="X18" s="12">
        <f t="shared" si="12"/>
        <v>1.3716854757317185</v>
      </c>
      <c r="Y18" s="12">
        <f t="shared" si="13"/>
        <v>1.4910460992907801</v>
      </c>
      <c r="Z18" s="12">
        <f t="shared" si="14"/>
        <v>1.3716854757317185</v>
      </c>
      <c r="AA18" s="12">
        <f t="shared" si="15"/>
        <v>1.1941666666666666</v>
      </c>
    </row>
    <row r="19" spans="2:27" x14ac:dyDescent="0.35">
      <c r="B19" s="11">
        <v>0.626</v>
      </c>
      <c r="C19" s="11">
        <v>0.85799999999999998</v>
      </c>
      <c r="D19" s="11">
        <v>0.51200000000000001</v>
      </c>
      <c r="E19" s="11">
        <v>0.629</v>
      </c>
      <c r="F19" s="10">
        <v>215</v>
      </c>
      <c r="G19" s="10">
        <v>302</v>
      </c>
      <c r="H19">
        <f t="shared" si="2"/>
        <v>1.5248226950354611</v>
      </c>
      <c r="I19">
        <f t="shared" si="3"/>
        <v>1.51</v>
      </c>
      <c r="K19" s="6">
        <v>14</v>
      </c>
      <c r="L19" s="12">
        <f t="shared" si="4"/>
        <v>1.5974440894568691</v>
      </c>
      <c r="M19" s="12">
        <f t="shared" si="5"/>
        <v>1.51</v>
      </c>
      <c r="N19" s="12">
        <f t="shared" si="6"/>
        <v>1.5974440894568691</v>
      </c>
      <c r="O19" s="12">
        <f t="shared" si="7"/>
        <v>1.258</v>
      </c>
      <c r="Q19" s="6">
        <v>14</v>
      </c>
      <c r="R19" s="12">
        <f t="shared" si="8"/>
        <v>1.1655011655011656</v>
      </c>
      <c r="S19" s="12">
        <f t="shared" si="9"/>
        <v>1.5248226950354611</v>
      </c>
      <c r="T19" s="12">
        <f t="shared" si="10"/>
        <v>1.1655011655011656</v>
      </c>
      <c r="U19" s="12">
        <f t="shared" si="11"/>
        <v>1.1377777777777778</v>
      </c>
      <c r="W19" s="6">
        <v>14</v>
      </c>
      <c r="X19" s="12">
        <f t="shared" si="12"/>
        <v>1.3814726274790172</v>
      </c>
      <c r="Y19" s="12">
        <f t="shared" si="13"/>
        <v>1.5174113475177307</v>
      </c>
      <c r="Z19" s="12">
        <f t="shared" si="14"/>
        <v>1.3814726274790172</v>
      </c>
      <c r="AA19" s="12">
        <f t="shared" si="15"/>
        <v>1.197888888888889</v>
      </c>
    </row>
    <row r="20" spans="2:27" x14ac:dyDescent="0.35">
      <c r="B20" s="11">
        <v>0.622</v>
      </c>
      <c r="C20" s="11">
        <v>0.85099999999999998</v>
      </c>
      <c r="D20" s="11">
        <v>0.51400000000000001</v>
      </c>
      <c r="E20" s="11">
        <v>0.63050000000000006</v>
      </c>
      <c r="F20" s="10">
        <v>217.5</v>
      </c>
      <c r="G20" s="10">
        <v>309</v>
      </c>
      <c r="H20">
        <f t="shared" si="2"/>
        <v>1.5425531914893618</v>
      </c>
      <c r="I20">
        <f t="shared" si="3"/>
        <v>1.5449999999999999</v>
      </c>
      <c r="K20" s="6">
        <v>15</v>
      </c>
      <c r="L20" s="12">
        <f t="shared" si="4"/>
        <v>1.607717041800643</v>
      </c>
      <c r="M20" s="12">
        <f t="shared" si="5"/>
        <v>1.5449999999999999</v>
      </c>
      <c r="N20" s="12">
        <f t="shared" si="6"/>
        <v>1.607717041800643</v>
      </c>
      <c r="O20" s="12">
        <f t="shared" si="7"/>
        <v>1.2610000000000001</v>
      </c>
      <c r="Q20" s="6">
        <v>15</v>
      </c>
      <c r="R20" s="12">
        <f t="shared" si="8"/>
        <v>1.1750881316098707</v>
      </c>
      <c r="S20" s="12">
        <f t="shared" si="9"/>
        <v>1.5425531914893618</v>
      </c>
      <c r="T20" s="12">
        <f t="shared" si="10"/>
        <v>1.1750881316098707</v>
      </c>
      <c r="U20" s="12">
        <f t="shared" si="11"/>
        <v>1.1422222222222222</v>
      </c>
      <c r="W20" s="6">
        <v>15</v>
      </c>
      <c r="X20" s="12">
        <f t="shared" si="12"/>
        <v>1.3914025867052568</v>
      </c>
      <c r="Y20" s="12">
        <f t="shared" si="13"/>
        <v>1.543776595744681</v>
      </c>
      <c r="Z20" s="12">
        <f t="shared" si="14"/>
        <v>1.3914025867052568</v>
      </c>
      <c r="AA20" s="12">
        <f t="shared" si="15"/>
        <v>1.2016111111111112</v>
      </c>
    </row>
    <row r="21" spans="2:27" x14ac:dyDescent="0.35">
      <c r="B21" s="11">
        <v>0.61799999999999999</v>
      </c>
      <c r="C21" s="11">
        <v>0.84399999999999997</v>
      </c>
      <c r="D21" s="11">
        <v>0.51600000000000001</v>
      </c>
      <c r="E21" s="11">
        <v>0.63200000000000001</v>
      </c>
      <c r="F21" s="10">
        <v>220</v>
      </c>
      <c r="G21" s="10">
        <v>316</v>
      </c>
      <c r="H21">
        <f t="shared" si="2"/>
        <v>1.5602836879432624</v>
      </c>
      <c r="I21">
        <f t="shared" si="3"/>
        <v>1.58</v>
      </c>
      <c r="K21" s="6">
        <v>16</v>
      </c>
      <c r="L21" s="12">
        <f t="shared" si="4"/>
        <v>1.6181229773462784</v>
      </c>
      <c r="M21" s="12">
        <f t="shared" si="5"/>
        <v>1.58</v>
      </c>
      <c r="N21" s="12">
        <f t="shared" si="6"/>
        <v>1.6181229773462784</v>
      </c>
      <c r="O21" s="12">
        <f t="shared" si="7"/>
        <v>1.264</v>
      </c>
      <c r="Q21" s="6">
        <v>16</v>
      </c>
      <c r="R21" s="12">
        <f t="shared" si="8"/>
        <v>1.1848341232227488</v>
      </c>
      <c r="S21" s="12">
        <f t="shared" si="9"/>
        <v>1.5602836879432624</v>
      </c>
      <c r="T21" s="12">
        <f t="shared" si="10"/>
        <v>1.1848341232227488</v>
      </c>
      <c r="U21" s="12">
        <f t="shared" si="11"/>
        <v>1.1466666666666667</v>
      </c>
      <c r="W21" s="6">
        <v>16</v>
      </c>
      <c r="X21" s="12">
        <f t="shared" si="12"/>
        <v>1.4014785502845135</v>
      </c>
      <c r="Y21" s="12">
        <f t="shared" si="13"/>
        <v>1.5701418439716313</v>
      </c>
      <c r="Z21" s="12">
        <f t="shared" si="14"/>
        <v>1.4014785502845135</v>
      </c>
      <c r="AA21" s="12">
        <f t="shared" si="15"/>
        <v>1.2053333333333334</v>
      </c>
    </row>
    <row r="22" spans="2:27" x14ac:dyDescent="0.35">
      <c r="B22" s="11">
        <v>0.61399999999999999</v>
      </c>
      <c r="C22" s="11">
        <v>0.83699999999999997</v>
      </c>
      <c r="D22" s="11">
        <v>0.51800000000000002</v>
      </c>
      <c r="E22" s="11">
        <v>0.63349999999999995</v>
      </c>
      <c r="F22" s="10">
        <v>222.5</v>
      </c>
      <c r="G22" s="10">
        <v>323</v>
      </c>
      <c r="H22">
        <f t="shared" si="2"/>
        <v>1.5780141843971631</v>
      </c>
      <c r="I22">
        <f t="shared" si="3"/>
        <v>1.615</v>
      </c>
      <c r="K22" s="6">
        <v>17</v>
      </c>
      <c r="L22" s="12">
        <f t="shared" si="4"/>
        <v>1.6286644951140066</v>
      </c>
      <c r="M22" s="12">
        <f t="shared" si="5"/>
        <v>1.615</v>
      </c>
      <c r="N22" s="12">
        <f t="shared" si="6"/>
        <v>1.6286644951140066</v>
      </c>
      <c r="O22" s="12">
        <f t="shared" si="7"/>
        <v>1.2669999999999999</v>
      </c>
      <c r="Q22" s="6">
        <v>17</v>
      </c>
      <c r="R22" s="12">
        <f t="shared" si="8"/>
        <v>1.1947431302270013</v>
      </c>
      <c r="S22" s="12">
        <f t="shared" si="9"/>
        <v>1.5780141843971631</v>
      </c>
      <c r="T22" s="12">
        <f t="shared" si="10"/>
        <v>1.1947431302270013</v>
      </c>
      <c r="U22" s="12">
        <f t="shared" si="11"/>
        <v>1.1511111111111112</v>
      </c>
      <c r="W22" s="6">
        <v>17</v>
      </c>
      <c r="X22" s="12">
        <f t="shared" si="12"/>
        <v>1.4117038126705039</v>
      </c>
      <c r="Y22" s="12">
        <f t="shared" si="13"/>
        <v>1.5965070921985816</v>
      </c>
      <c r="Z22" s="12">
        <f t="shared" si="14"/>
        <v>1.4117038126705039</v>
      </c>
      <c r="AA22" s="12">
        <f t="shared" si="15"/>
        <v>1.2090555555555556</v>
      </c>
    </row>
    <row r="23" spans="2:27" x14ac:dyDescent="0.35">
      <c r="B23" s="11">
        <v>0.61</v>
      </c>
      <c r="C23" s="9">
        <v>0.83</v>
      </c>
      <c r="D23" s="11">
        <v>0.52</v>
      </c>
      <c r="E23" s="11">
        <v>0.63500000000000001</v>
      </c>
      <c r="F23" s="10">
        <v>225</v>
      </c>
      <c r="G23" s="10">
        <v>330</v>
      </c>
      <c r="H23">
        <f t="shared" si="2"/>
        <v>1.5957446808510638</v>
      </c>
      <c r="I23">
        <f t="shared" si="3"/>
        <v>1.65</v>
      </c>
      <c r="K23" s="6">
        <v>18</v>
      </c>
      <c r="L23" s="12">
        <f t="shared" si="4"/>
        <v>1.639344262295082</v>
      </c>
      <c r="M23" s="12">
        <f t="shared" si="5"/>
        <v>1.65</v>
      </c>
      <c r="N23" s="12">
        <f t="shared" si="6"/>
        <v>1.639344262295082</v>
      </c>
      <c r="O23" s="12">
        <f t="shared" si="7"/>
        <v>1.27</v>
      </c>
      <c r="Q23" s="6">
        <v>18</v>
      </c>
      <c r="R23" s="12">
        <f t="shared" si="8"/>
        <v>1.2048192771084338</v>
      </c>
      <c r="S23" s="12">
        <f t="shared" si="9"/>
        <v>1.5957446808510638</v>
      </c>
      <c r="T23" s="12">
        <f t="shared" si="10"/>
        <v>1.2048192771084338</v>
      </c>
      <c r="U23" s="12">
        <f t="shared" si="11"/>
        <v>1.1555555555555557</v>
      </c>
      <c r="W23" s="6">
        <v>18</v>
      </c>
      <c r="X23" s="12">
        <f t="shared" si="12"/>
        <v>1.4220817697017578</v>
      </c>
      <c r="Y23" s="12">
        <f t="shared" si="13"/>
        <v>1.6228723404255319</v>
      </c>
      <c r="Z23" s="12">
        <f t="shared" si="14"/>
        <v>1.4220817697017578</v>
      </c>
      <c r="AA23" s="12">
        <f t="shared" si="15"/>
        <v>1.2127777777777777</v>
      </c>
    </row>
    <row r="24" spans="2:27" x14ac:dyDescent="0.35">
      <c r="B24" s="11">
        <v>0.60899999999999999</v>
      </c>
      <c r="C24" s="11">
        <v>0.82699999999999996</v>
      </c>
      <c r="D24" s="11">
        <v>0.52200000000000002</v>
      </c>
      <c r="E24" s="11">
        <v>0.63650000000000007</v>
      </c>
      <c r="F24" s="10">
        <v>227.5</v>
      </c>
      <c r="G24" s="10">
        <v>337</v>
      </c>
      <c r="H24">
        <f t="shared" si="2"/>
        <v>1.6134751773049645</v>
      </c>
      <c r="I24">
        <f t="shared" si="3"/>
        <v>1.6850000000000001</v>
      </c>
      <c r="K24" s="6">
        <v>19</v>
      </c>
      <c r="L24" s="12">
        <f t="shared" si="4"/>
        <v>1.6420361247947455</v>
      </c>
      <c r="M24" s="12">
        <f t="shared" si="5"/>
        <v>1.6850000000000001</v>
      </c>
      <c r="N24" s="12">
        <f t="shared" si="6"/>
        <v>1.6420361247947455</v>
      </c>
      <c r="O24" s="12">
        <f t="shared" si="7"/>
        <v>1.2730000000000001</v>
      </c>
      <c r="Q24" s="6">
        <v>19</v>
      </c>
      <c r="R24" s="12">
        <f t="shared" si="8"/>
        <v>1.2091898428053205</v>
      </c>
      <c r="S24" s="12">
        <f t="shared" si="9"/>
        <v>1.6134751773049645</v>
      </c>
      <c r="T24" s="12">
        <f t="shared" si="10"/>
        <v>1.2091898428053205</v>
      </c>
      <c r="U24" s="12">
        <f t="shared" si="11"/>
        <v>1.1599999999999999</v>
      </c>
      <c r="W24" s="6">
        <v>19</v>
      </c>
      <c r="X24" s="12">
        <f t="shared" si="12"/>
        <v>1.4256129838000331</v>
      </c>
      <c r="Y24" s="12">
        <f t="shared" si="13"/>
        <v>1.6492375886524822</v>
      </c>
      <c r="Z24" s="12">
        <f t="shared" si="14"/>
        <v>1.4256129838000331</v>
      </c>
      <c r="AA24" s="12">
        <f t="shared" si="15"/>
        <v>1.2164999999999999</v>
      </c>
    </row>
    <row r="25" spans="2:27" x14ac:dyDescent="0.35">
      <c r="B25" s="11">
        <v>0.60799999999999998</v>
      </c>
      <c r="C25" s="11">
        <v>0.82399999999999995</v>
      </c>
      <c r="D25" s="11">
        <v>0.52400000000000002</v>
      </c>
      <c r="E25" s="11">
        <v>0.63800000000000001</v>
      </c>
      <c r="F25" s="10">
        <v>230</v>
      </c>
      <c r="G25" s="10">
        <v>344</v>
      </c>
      <c r="H25">
        <f t="shared" si="2"/>
        <v>1.6312056737588652</v>
      </c>
      <c r="I25">
        <f t="shared" si="3"/>
        <v>1.72</v>
      </c>
      <c r="K25" s="6">
        <v>20</v>
      </c>
      <c r="L25" s="12">
        <f t="shared" si="4"/>
        <v>1.6447368421052633</v>
      </c>
      <c r="M25" s="12">
        <f t="shared" si="5"/>
        <v>1.72</v>
      </c>
      <c r="N25" s="12">
        <f t="shared" si="6"/>
        <v>1.6447368421052633</v>
      </c>
      <c r="O25" s="12">
        <f t="shared" si="7"/>
        <v>1.276</v>
      </c>
      <c r="Q25" s="6">
        <v>20</v>
      </c>
      <c r="R25" s="12">
        <f t="shared" si="8"/>
        <v>1.2135922330097089</v>
      </c>
      <c r="S25" s="12">
        <f t="shared" si="9"/>
        <v>1.6312056737588652</v>
      </c>
      <c r="T25" s="12">
        <f t="shared" si="10"/>
        <v>1.2135922330097089</v>
      </c>
      <c r="U25" s="12">
        <f t="shared" si="11"/>
        <v>1.1644444444444444</v>
      </c>
      <c r="W25" s="6">
        <v>20</v>
      </c>
      <c r="X25" s="12">
        <f t="shared" si="12"/>
        <v>1.4291645375574862</v>
      </c>
      <c r="Y25" s="12">
        <f t="shared" si="13"/>
        <v>1.6756028368794325</v>
      </c>
      <c r="Z25" s="12">
        <f t="shared" si="14"/>
        <v>1.4291645375574862</v>
      </c>
      <c r="AA25" s="12">
        <f t="shared" si="15"/>
        <v>1.2202222222222221</v>
      </c>
    </row>
    <row r="26" spans="2:27" x14ac:dyDescent="0.35">
      <c r="B26" s="11">
        <v>0.60699999999999998</v>
      </c>
      <c r="C26" s="11">
        <v>0.82099999999999995</v>
      </c>
      <c r="D26" s="11">
        <v>0.52600000000000002</v>
      </c>
      <c r="E26" s="11">
        <v>0.63949999999999996</v>
      </c>
      <c r="F26" s="10">
        <v>232.5</v>
      </c>
      <c r="G26" s="10">
        <v>351</v>
      </c>
      <c r="H26">
        <f t="shared" si="2"/>
        <v>1.6489361702127661</v>
      </c>
      <c r="I26">
        <f t="shared" si="3"/>
        <v>1.7549999999999999</v>
      </c>
      <c r="K26" s="6">
        <v>21</v>
      </c>
      <c r="L26" s="12">
        <f t="shared" si="4"/>
        <v>1.6474464579901154</v>
      </c>
      <c r="M26" s="12">
        <f t="shared" si="5"/>
        <v>1.7549999999999999</v>
      </c>
      <c r="N26" s="12">
        <f t="shared" si="6"/>
        <v>1.6474464579901154</v>
      </c>
      <c r="O26" s="12">
        <f t="shared" si="7"/>
        <v>1.2789999999999999</v>
      </c>
      <c r="Q26" s="6">
        <v>21</v>
      </c>
      <c r="R26" s="12">
        <f t="shared" si="8"/>
        <v>1.2180267965895251</v>
      </c>
      <c r="S26" s="12">
        <f t="shared" si="9"/>
        <v>1.6489361702127661</v>
      </c>
      <c r="T26" s="12">
        <f t="shared" si="10"/>
        <v>1.2180267965895251</v>
      </c>
      <c r="U26" s="12">
        <f t="shared" si="11"/>
        <v>1.1688888888888889</v>
      </c>
      <c r="W26" s="6">
        <v>21</v>
      </c>
      <c r="X26" s="12">
        <f t="shared" si="12"/>
        <v>1.4327366272898203</v>
      </c>
      <c r="Y26" s="12">
        <f t="shared" si="13"/>
        <v>1.701968085106383</v>
      </c>
      <c r="Z26" s="12">
        <f t="shared" si="14"/>
        <v>1.4327366272898203</v>
      </c>
      <c r="AA26" s="12">
        <f t="shared" si="15"/>
        <v>1.2239444444444443</v>
      </c>
    </row>
    <row r="27" spans="2:27" x14ac:dyDescent="0.35">
      <c r="B27" s="11">
        <v>0.60599999999999998</v>
      </c>
      <c r="C27" s="11">
        <v>0.81799999999999995</v>
      </c>
      <c r="D27" s="11">
        <v>0.52800000000000002</v>
      </c>
      <c r="E27" s="11">
        <v>0.64100000000000001</v>
      </c>
      <c r="F27" s="10">
        <v>235</v>
      </c>
      <c r="G27" s="10">
        <v>358</v>
      </c>
      <c r="H27">
        <f t="shared" si="2"/>
        <v>1.6666666666666667</v>
      </c>
      <c r="I27">
        <f t="shared" si="3"/>
        <v>1.79</v>
      </c>
      <c r="K27" s="6">
        <v>22</v>
      </c>
      <c r="L27" s="12">
        <f t="shared" si="4"/>
        <v>1.6501650165016502</v>
      </c>
      <c r="M27" s="12">
        <f t="shared" si="5"/>
        <v>1.79</v>
      </c>
      <c r="N27" s="12">
        <f t="shared" si="6"/>
        <v>1.6501650165016502</v>
      </c>
      <c r="O27" s="12">
        <f t="shared" si="7"/>
        <v>1.282</v>
      </c>
      <c r="Q27" s="6">
        <v>22</v>
      </c>
      <c r="R27" s="12">
        <f t="shared" si="8"/>
        <v>1.2224938875305624</v>
      </c>
      <c r="S27" s="12">
        <f t="shared" si="9"/>
        <v>1.6666666666666667</v>
      </c>
      <c r="T27" s="12">
        <f t="shared" si="10"/>
        <v>1.2224938875305624</v>
      </c>
      <c r="U27" s="12">
        <f t="shared" si="11"/>
        <v>1.1733333333333333</v>
      </c>
      <c r="W27" s="6">
        <v>22</v>
      </c>
      <c r="X27" s="12">
        <f t="shared" si="12"/>
        <v>1.4363294520161063</v>
      </c>
      <c r="Y27" s="12">
        <f t="shared" si="13"/>
        <v>1.7283333333333335</v>
      </c>
      <c r="Z27" s="12">
        <f t="shared" si="14"/>
        <v>1.4363294520161063</v>
      </c>
      <c r="AA27" s="12">
        <f t="shared" si="15"/>
        <v>1.2276666666666667</v>
      </c>
    </row>
    <row r="28" spans="2:27" x14ac:dyDescent="0.35">
      <c r="B28" s="11">
        <v>0.60499999999999998</v>
      </c>
      <c r="C28" s="11">
        <v>0.81499999999999995</v>
      </c>
      <c r="D28" s="11">
        <v>0.53</v>
      </c>
      <c r="E28" s="11">
        <v>0.64250000000000007</v>
      </c>
      <c r="F28" s="10">
        <v>237.5</v>
      </c>
      <c r="G28" s="10">
        <v>365</v>
      </c>
      <c r="H28">
        <f t="shared" si="2"/>
        <v>1.6843971631205674</v>
      </c>
      <c r="I28">
        <f t="shared" si="3"/>
        <v>1.825</v>
      </c>
      <c r="K28" s="6">
        <v>23</v>
      </c>
      <c r="L28" s="12">
        <f t="shared" si="4"/>
        <v>1.6528925619834711</v>
      </c>
      <c r="M28" s="12">
        <f t="shared" si="5"/>
        <v>1.825</v>
      </c>
      <c r="N28" s="12">
        <f t="shared" si="6"/>
        <v>1.6528925619834711</v>
      </c>
      <c r="O28" s="12">
        <f t="shared" si="7"/>
        <v>1.2850000000000001</v>
      </c>
      <c r="Q28" s="6">
        <v>23</v>
      </c>
      <c r="R28" s="12">
        <f t="shared" si="8"/>
        <v>1.2269938650306749</v>
      </c>
      <c r="S28" s="12">
        <f t="shared" si="9"/>
        <v>1.6843971631205674</v>
      </c>
      <c r="T28" s="12">
        <f t="shared" si="10"/>
        <v>1.2269938650306749</v>
      </c>
      <c r="U28" s="12">
        <f t="shared" si="11"/>
        <v>1.1777777777777778</v>
      </c>
      <c r="W28" s="6">
        <v>23</v>
      </c>
      <c r="X28" s="12">
        <f t="shared" si="12"/>
        <v>1.4399432135070729</v>
      </c>
      <c r="Y28" s="12">
        <f t="shared" si="13"/>
        <v>1.7546985815602838</v>
      </c>
      <c r="Z28" s="12">
        <f t="shared" si="14"/>
        <v>1.4399432135070729</v>
      </c>
      <c r="AA28" s="12">
        <f t="shared" si="15"/>
        <v>1.2313888888888891</v>
      </c>
    </row>
    <row r="29" spans="2:27" x14ac:dyDescent="0.35">
      <c r="B29" s="11">
        <v>0.60399999999999998</v>
      </c>
      <c r="C29" s="11">
        <v>0.81200000000000006</v>
      </c>
      <c r="D29" s="11">
        <v>0.53200000000000003</v>
      </c>
      <c r="E29" s="11">
        <v>0.64400000000000002</v>
      </c>
      <c r="F29" s="10">
        <v>240</v>
      </c>
      <c r="G29" s="10">
        <v>372</v>
      </c>
      <c r="H29">
        <f t="shared" si="2"/>
        <v>1.7021276595744681</v>
      </c>
      <c r="I29">
        <f t="shared" si="3"/>
        <v>1.86</v>
      </c>
      <c r="K29" s="6">
        <v>24</v>
      </c>
      <c r="L29" s="12">
        <f t="shared" si="4"/>
        <v>1.6556291390728477</v>
      </c>
      <c r="M29" s="12">
        <f t="shared" si="5"/>
        <v>1.86</v>
      </c>
      <c r="N29" s="12">
        <f t="shared" si="6"/>
        <v>1.6556291390728477</v>
      </c>
      <c r="O29" s="12">
        <f t="shared" si="7"/>
        <v>1.288</v>
      </c>
      <c r="Q29" s="6">
        <v>24</v>
      </c>
      <c r="R29" s="12">
        <f t="shared" si="8"/>
        <v>1.2315270935960589</v>
      </c>
      <c r="S29" s="12">
        <f t="shared" si="9"/>
        <v>1.7021276595744681</v>
      </c>
      <c r="T29" s="12">
        <f t="shared" si="10"/>
        <v>1.2315270935960589</v>
      </c>
      <c r="U29" s="12">
        <f t="shared" si="11"/>
        <v>1.1822222222222223</v>
      </c>
      <c r="W29" s="6">
        <v>24</v>
      </c>
      <c r="X29" s="12">
        <f t="shared" si="12"/>
        <v>1.4435781163344532</v>
      </c>
      <c r="Y29" s="12">
        <f t="shared" si="13"/>
        <v>1.7810638297872341</v>
      </c>
      <c r="Z29" s="12">
        <f t="shared" si="14"/>
        <v>1.4435781163344532</v>
      </c>
      <c r="AA29" s="12">
        <f t="shared" si="15"/>
        <v>1.2351111111111113</v>
      </c>
    </row>
    <row r="30" spans="2:27" x14ac:dyDescent="0.35">
      <c r="B30" s="11">
        <v>0.60299999999999998</v>
      </c>
      <c r="C30" s="11">
        <v>0.80900000000000005</v>
      </c>
      <c r="D30" s="11">
        <v>0.53400000000000003</v>
      </c>
      <c r="E30" s="11">
        <v>0.64549999999999996</v>
      </c>
      <c r="F30" s="10">
        <v>242.5</v>
      </c>
      <c r="G30" s="10">
        <v>379</v>
      </c>
      <c r="H30">
        <f t="shared" si="2"/>
        <v>1.7198581560283688</v>
      </c>
      <c r="I30">
        <f t="shared" si="3"/>
        <v>1.895</v>
      </c>
      <c r="K30" s="6">
        <v>25</v>
      </c>
      <c r="L30" s="12">
        <f t="shared" si="4"/>
        <v>1.6583747927031509</v>
      </c>
      <c r="M30" s="12">
        <f t="shared" si="5"/>
        <v>1.895</v>
      </c>
      <c r="N30" s="12">
        <f t="shared" si="6"/>
        <v>1.6583747927031509</v>
      </c>
      <c r="O30" s="12">
        <f t="shared" si="7"/>
        <v>1.2909999999999999</v>
      </c>
      <c r="Q30" s="6">
        <v>25</v>
      </c>
      <c r="R30" s="12">
        <f t="shared" si="8"/>
        <v>1.2360939431396785</v>
      </c>
      <c r="S30" s="12">
        <f t="shared" si="9"/>
        <v>1.7198581560283688</v>
      </c>
      <c r="T30" s="12">
        <f t="shared" si="10"/>
        <v>1.2360939431396785</v>
      </c>
      <c r="U30" s="12">
        <f t="shared" si="11"/>
        <v>1.1866666666666668</v>
      </c>
      <c r="W30" s="6">
        <v>25</v>
      </c>
      <c r="X30" s="12">
        <f t="shared" si="12"/>
        <v>1.4472343679214146</v>
      </c>
      <c r="Y30" s="12">
        <f t="shared" si="13"/>
        <v>1.8074290780141844</v>
      </c>
      <c r="Z30" s="12">
        <f t="shared" si="14"/>
        <v>1.4472343679214146</v>
      </c>
      <c r="AA30" s="12">
        <f t="shared" si="15"/>
        <v>1.2388333333333335</v>
      </c>
    </row>
    <row r="31" spans="2:27" x14ac:dyDescent="0.35">
      <c r="B31" s="11">
        <v>0.60199999999999998</v>
      </c>
      <c r="C31" s="11">
        <v>0.80600000000000005</v>
      </c>
      <c r="D31" s="11">
        <v>0.53600000000000003</v>
      </c>
      <c r="E31" s="11">
        <v>0.64700000000000002</v>
      </c>
      <c r="F31" s="10">
        <v>245</v>
      </c>
      <c r="G31" s="10">
        <v>386</v>
      </c>
      <c r="H31">
        <f t="shared" si="2"/>
        <v>1.7375886524822695</v>
      </c>
      <c r="I31">
        <f t="shared" si="3"/>
        <v>1.93</v>
      </c>
      <c r="K31" s="6">
        <v>26</v>
      </c>
      <c r="L31" s="12">
        <f t="shared" si="4"/>
        <v>1.6611295681063123</v>
      </c>
      <c r="M31" s="12">
        <f t="shared" si="5"/>
        <v>1.93</v>
      </c>
      <c r="N31" s="12">
        <f t="shared" si="6"/>
        <v>1.6611295681063123</v>
      </c>
      <c r="O31" s="12">
        <f t="shared" si="7"/>
        <v>1.294</v>
      </c>
      <c r="Q31" s="6">
        <v>26</v>
      </c>
      <c r="R31" s="12">
        <f t="shared" si="8"/>
        <v>1.2406947890818858</v>
      </c>
      <c r="S31" s="12">
        <f t="shared" si="9"/>
        <v>1.7375886524822695</v>
      </c>
      <c r="T31" s="12">
        <f t="shared" si="10"/>
        <v>1.2406947890818858</v>
      </c>
      <c r="U31" s="12">
        <f t="shared" si="11"/>
        <v>1.1911111111111112</v>
      </c>
      <c r="W31" s="6">
        <v>26</v>
      </c>
      <c r="X31" s="12">
        <f t="shared" si="12"/>
        <v>1.450912178594099</v>
      </c>
      <c r="Y31" s="12">
        <f t="shared" si="13"/>
        <v>1.8337943262411347</v>
      </c>
      <c r="Z31" s="12">
        <f t="shared" si="14"/>
        <v>1.450912178594099</v>
      </c>
      <c r="AA31" s="12">
        <f t="shared" si="15"/>
        <v>1.2425555555555556</v>
      </c>
    </row>
    <row r="32" spans="2:27" x14ac:dyDescent="0.35">
      <c r="B32" s="11">
        <v>0.60099999999999998</v>
      </c>
      <c r="C32" s="11">
        <v>0.80300000000000005</v>
      </c>
      <c r="D32" s="11">
        <v>0.53800000000000003</v>
      </c>
      <c r="E32" s="11">
        <v>0.64850000000000008</v>
      </c>
      <c r="F32" s="10">
        <v>247.5</v>
      </c>
      <c r="G32" s="10">
        <v>393</v>
      </c>
      <c r="H32">
        <f t="shared" si="2"/>
        <v>1.7553191489361701</v>
      </c>
      <c r="I32">
        <f t="shared" si="3"/>
        <v>1.9650000000000001</v>
      </c>
      <c r="K32" s="6">
        <v>27</v>
      </c>
      <c r="L32" s="12">
        <f t="shared" si="4"/>
        <v>1.6638935108153079</v>
      </c>
      <c r="M32" s="12">
        <f t="shared" si="5"/>
        <v>1.9650000000000001</v>
      </c>
      <c r="N32" s="12">
        <f t="shared" si="6"/>
        <v>1.6638935108153079</v>
      </c>
      <c r="O32" s="12">
        <f t="shared" si="7"/>
        <v>1.2970000000000002</v>
      </c>
      <c r="Q32" s="6">
        <v>27</v>
      </c>
      <c r="R32" s="12">
        <f t="shared" si="8"/>
        <v>1.2453300124533</v>
      </c>
      <c r="S32" s="12">
        <f t="shared" si="9"/>
        <v>1.7553191489361701</v>
      </c>
      <c r="T32" s="12">
        <f t="shared" si="10"/>
        <v>1.2453300124533</v>
      </c>
      <c r="U32" s="12">
        <f t="shared" si="11"/>
        <v>1.1955555555555557</v>
      </c>
      <c r="W32" s="6">
        <v>27</v>
      </c>
      <c r="X32" s="12">
        <f t="shared" si="12"/>
        <v>1.4546117616343039</v>
      </c>
      <c r="Y32" s="12">
        <f t="shared" si="13"/>
        <v>1.860159574468085</v>
      </c>
      <c r="Z32" s="12">
        <f t="shared" si="14"/>
        <v>1.4546117616343039</v>
      </c>
      <c r="AA32" s="12">
        <f t="shared" si="15"/>
        <v>1.2462777777777778</v>
      </c>
    </row>
    <row r="33" spans="2:27" x14ac:dyDescent="0.35">
      <c r="B33" s="9">
        <v>0.6</v>
      </c>
      <c r="C33" s="9">
        <v>0.8</v>
      </c>
      <c r="D33" s="9">
        <v>0.54</v>
      </c>
      <c r="E33" s="9">
        <v>0.65</v>
      </c>
      <c r="F33" s="10">
        <v>250</v>
      </c>
      <c r="G33" s="10">
        <v>400</v>
      </c>
      <c r="H33">
        <f t="shared" si="2"/>
        <v>1.7730496453900708</v>
      </c>
      <c r="I33">
        <f t="shared" si="3"/>
        <v>2</v>
      </c>
      <c r="K33" s="6">
        <v>28</v>
      </c>
      <c r="L33" s="12">
        <f t="shared" si="4"/>
        <v>1.6666666666666667</v>
      </c>
      <c r="M33" s="12">
        <f t="shared" si="5"/>
        <v>2</v>
      </c>
      <c r="N33" s="12">
        <f t="shared" si="6"/>
        <v>1.6666666666666667</v>
      </c>
      <c r="O33" s="12">
        <f t="shared" si="7"/>
        <v>1.3</v>
      </c>
      <c r="Q33" s="6">
        <v>28</v>
      </c>
      <c r="R33" s="12">
        <f t="shared" si="8"/>
        <v>1.25</v>
      </c>
      <c r="S33" s="12">
        <f t="shared" si="9"/>
        <v>1.7730496453900708</v>
      </c>
      <c r="T33" s="12">
        <f t="shared" si="10"/>
        <v>1.25</v>
      </c>
      <c r="U33" s="12">
        <f t="shared" si="11"/>
        <v>1.2</v>
      </c>
      <c r="W33" s="6">
        <v>28</v>
      </c>
      <c r="X33" s="12">
        <f t="shared" si="12"/>
        <v>1.4583333333333335</v>
      </c>
      <c r="Y33" s="12">
        <f t="shared" si="13"/>
        <v>1.8865248226950353</v>
      </c>
      <c r="Z33" s="12">
        <f t="shared" si="14"/>
        <v>1.4583333333333335</v>
      </c>
      <c r="AA33" s="12">
        <f t="shared" si="15"/>
        <v>1.25</v>
      </c>
    </row>
    <row r="34" spans="2:27" x14ac:dyDescent="0.35"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N34" s="12"/>
      <c r="T34" s="12"/>
      <c r="Z34" s="12"/>
    </row>
  </sheetData>
  <mergeCells count="8">
    <mergeCell ref="X3:AA3"/>
    <mergeCell ref="L3:O3"/>
    <mergeCell ref="R3:U3"/>
    <mergeCell ref="H3:I3"/>
    <mergeCell ref="B2:E2"/>
    <mergeCell ref="B3:C3"/>
    <mergeCell ref="D3:E3"/>
    <mergeCell ref="F3:G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1C7C-66D9-4A1F-9BFD-5E8573FD2E20}">
  <dimension ref="A1:O11"/>
  <sheetViews>
    <sheetView workbookViewId="0">
      <selection activeCell="D8" sqref="D8"/>
    </sheetView>
  </sheetViews>
  <sheetFormatPr defaultRowHeight="14.5" x14ac:dyDescent="0.35"/>
  <sheetData>
    <row r="1" spans="1:15" x14ac:dyDescent="0.35">
      <c r="B1" t="s">
        <v>108</v>
      </c>
      <c r="C1" t="s">
        <v>109</v>
      </c>
      <c r="N1">
        <v>3.7854100000000002</v>
      </c>
      <c r="O1" t="s">
        <v>118</v>
      </c>
    </row>
    <row r="2" spans="1:15" x14ac:dyDescent="0.35">
      <c r="A2" t="s">
        <v>111</v>
      </c>
      <c r="B2" s="51">
        <f>B3*J2*H10</f>
        <v>14285.185185185186</v>
      </c>
      <c r="C2">
        <v>0</v>
      </c>
      <c r="D2">
        <f t="shared" ref="D2:D4" si="0">C2+B2</f>
        <v>14285.185185185186</v>
      </c>
      <c r="E2" t="s">
        <v>117</v>
      </c>
      <c r="H2" t="s">
        <v>125</v>
      </c>
      <c r="J2">
        <f>0.9/0.027</f>
        <v>33.333333333333336</v>
      </c>
      <c r="K2" t="s">
        <v>128</v>
      </c>
      <c r="N2">
        <v>0.63</v>
      </c>
      <c r="O2" t="s">
        <v>116</v>
      </c>
    </row>
    <row r="3" spans="1:15" x14ac:dyDescent="0.35">
      <c r="A3" t="s">
        <v>110</v>
      </c>
      <c r="B3" s="52">
        <v>203</v>
      </c>
      <c r="C3">
        <v>0</v>
      </c>
      <c r="D3">
        <f>C3+B3</f>
        <v>203</v>
      </c>
      <c r="E3" t="s">
        <v>112</v>
      </c>
      <c r="H3" t="s">
        <v>126</v>
      </c>
      <c r="N3">
        <f>N2*1000/N1</f>
        <v>166.42847142053304</v>
      </c>
    </row>
    <row r="4" spans="1:15" x14ac:dyDescent="0.35">
      <c r="A4" t="s">
        <v>96</v>
      </c>
      <c r="B4" s="51">
        <f>0.262*C4</f>
        <v>511.42400000000004</v>
      </c>
      <c r="C4">
        <v>1952</v>
      </c>
      <c r="D4">
        <f t="shared" si="0"/>
        <v>2463.424</v>
      </c>
      <c r="E4" t="s">
        <v>124</v>
      </c>
      <c r="H4" t="s">
        <v>127</v>
      </c>
    </row>
    <row r="5" spans="1:15" x14ac:dyDescent="0.35">
      <c r="A5" t="s">
        <v>29</v>
      </c>
      <c r="B5" s="51">
        <f>0.533*C5</f>
        <v>5400.8890000000001</v>
      </c>
      <c r="C5">
        <v>10133</v>
      </c>
      <c r="D5">
        <f>C5+B5</f>
        <v>15533.888999999999</v>
      </c>
      <c r="E5" t="s">
        <v>119</v>
      </c>
    </row>
    <row r="7" spans="1:15" x14ac:dyDescent="0.35">
      <c r="A7" t="s">
        <v>60</v>
      </c>
      <c r="B7" t="s">
        <v>66</v>
      </c>
      <c r="C7" t="s">
        <v>67</v>
      </c>
      <c r="G7">
        <v>38</v>
      </c>
      <c r="H7" t="s">
        <v>115</v>
      </c>
      <c r="J7" t="s">
        <v>120</v>
      </c>
      <c r="K7">
        <v>2020</v>
      </c>
      <c r="L7">
        <v>2026</v>
      </c>
      <c r="M7">
        <v>1</v>
      </c>
    </row>
    <row r="8" spans="1:15" x14ac:dyDescent="0.35">
      <c r="A8" t="s">
        <v>62</v>
      </c>
      <c r="B8" s="51">
        <f>$D2*EFF!B27/1000</f>
        <v>448.30427333675732</v>
      </c>
      <c r="C8" s="51">
        <f>$D2*EFF!D27/1000</f>
        <v>821.89116778405503</v>
      </c>
      <c r="D8" t="s">
        <v>129</v>
      </c>
      <c r="G8">
        <v>27</v>
      </c>
      <c r="H8" t="s">
        <v>115</v>
      </c>
      <c r="J8" t="s">
        <v>121</v>
      </c>
      <c r="K8">
        <v>2027</v>
      </c>
      <c r="L8">
        <v>2035</v>
      </c>
      <c r="M8">
        <f>G8/G7</f>
        <v>0.71052631578947367</v>
      </c>
    </row>
    <row r="9" spans="1:15" x14ac:dyDescent="0.35">
      <c r="A9" t="s">
        <v>63</v>
      </c>
      <c r="B9" s="51">
        <f>$D3*EFF!B28/1000</f>
        <v>164.50008547197547</v>
      </c>
      <c r="C9" s="51">
        <f>$D3*EFF!D28/1000</f>
        <v>307.35542285553305</v>
      </c>
      <c r="D9" t="s">
        <v>129</v>
      </c>
      <c r="G9">
        <v>18</v>
      </c>
      <c r="H9" t="s">
        <v>115</v>
      </c>
      <c r="J9" t="s">
        <v>122</v>
      </c>
      <c r="K9">
        <v>2036</v>
      </c>
      <c r="L9">
        <v>2050</v>
      </c>
      <c r="M9">
        <f>G9/G7</f>
        <v>0.47368421052631576</v>
      </c>
    </row>
    <row r="10" spans="1:15" x14ac:dyDescent="0.35">
      <c r="A10" t="s">
        <v>64</v>
      </c>
      <c r="B10" s="51">
        <f>$D4*EFF!B29/1000</f>
        <v>699.5437038247544</v>
      </c>
      <c r="C10" s="51">
        <f>$D4*EFF!D29/1000</f>
        <v>943.32408546065403</v>
      </c>
      <c r="D10" t="s">
        <v>129</v>
      </c>
      <c r="H10">
        <f>G7/G9</f>
        <v>2.1111111111111112</v>
      </c>
    </row>
    <row r="11" spans="1:15" x14ac:dyDescent="0.35">
      <c r="A11" t="s">
        <v>65</v>
      </c>
      <c r="B11" s="51">
        <f>$D5*EFF!B30/1000</f>
        <v>955.67674443013163</v>
      </c>
      <c r="C11" s="51">
        <f>$D5*EFF!D30/1000</f>
        <v>1149.0875141362296</v>
      </c>
      <c r="D11" t="s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BF03-02B1-4724-AA2A-D08D44BBFD8B}">
  <sheetPr codeName="Sheet7"/>
  <dimension ref="A1:R34"/>
  <sheetViews>
    <sheetView topLeftCell="A11" workbookViewId="0">
      <selection activeCell="N3" sqref="N3:R31"/>
    </sheetView>
  </sheetViews>
  <sheetFormatPr defaultRowHeight="14.5" x14ac:dyDescent="0.35"/>
  <sheetData>
    <row r="1" spans="1:18" x14ac:dyDescent="0.35">
      <c r="A1" s="7"/>
      <c r="B1" s="95" t="s">
        <v>28</v>
      </c>
      <c r="C1" s="95"/>
      <c r="D1" s="95"/>
      <c r="E1" s="95"/>
      <c r="F1" s="19"/>
      <c r="G1" s="21"/>
      <c r="H1" s="95" t="s">
        <v>27</v>
      </c>
      <c r="I1" s="95"/>
      <c r="J1" s="95"/>
      <c r="K1" s="95"/>
      <c r="N1" s="7"/>
      <c r="O1" s="87" t="s">
        <v>148</v>
      </c>
      <c r="P1" s="87"/>
      <c r="Q1" s="87"/>
      <c r="R1" s="87"/>
    </row>
    <row r="2" spans="1:18" ht="29" x14ac:dyDescent="0.35">
      <c r="A2" s="4" t="s">
        <v>0</v>
      </c>
      <c r="B2" s="5" t="s">
        <v>29</v>
      </c>
      <c r="C2" s="5" t="s">
        <v>30</v>
      </c>
      <c r="D2" s="5" t="s">
        <v>31</v>
      </c>
      <c r="E2" s="5" t="s">
        <v>32</v>
      </c>
      <c r="F2" s="2"/>
      <c r="G2" s="4" t="s">
        <v>0</v>
      </c>
      <c r="H2" s="5" t="s">
        <v>29</v>
      </c>
      <c r="I2" s="5" t="s">
        <v>30</v>
      </c>
      <c r="J2" s="5" t="s">
        <v>31</v>
      </c>
      <c r="K2" s="5" t="s">
        <v>32</v>
      </c>
      <c r="N2" s="4" t="s">
        <v>0</v>
      </c>
      <c r="O2" s="5" t="s">
        <v>29</v>
      </c>
      <c r="P2" s="5" t="s">
        <v>30</v>
      </c>
      <c r="Q2" s="5" t="s">
        <v>31</v>
      </c>
      <c r="R2" s="5" t="s">
        <v>32</v>
      </c>
    </row>
    <row r="3" spans="1:18" x14ac:dyDescent="0.35">
      <c r="A3" s="6">
        <v>0</v>
      </c>
      <c r="B3" s="12">
        <v>1</v>
      </c>
      <c r="C3" s="12">
        <v>1</v>
      </c>
      <c r="D3" s="12">
        <v>1</v>
      </c>
      <c r="E3" s="12">
        <v>1</v>
      </c>
      <c r="G3" s="6">
        <v>0</v>
      </c>
      <c r="H3" s="12">
        <v>1</v>
      </c>
      <c r="I3" s="12">
        <v>1</v>
      </c>
      <c r="J3" s="12">
        <v>1</v>
      </c>
      <c r="K3" s="12">
        <v>1</v>
      </c>
      <c r="L3">
        <v>2022</v>
      </c>
      <c r="N3" s="6">
        <v>0</v>
      </c>
      <c r="O3" s="12">
        <f>(B3+H3)/2</f>
        <v>1</v>
      </c>
      <c r="P3" s="12">
        <f t="shared" ref="P3:R18" si="0">(C3+I3)/2</f>
        <v>1</v>
      </c>
      <c r="Q3" s="12">
        <f t="shared" si="0"/>
        <v>1</v>
      </c>
      <c r="R3" s="12">
        <f t="shared" si="0"/>
        <v>1</v>
      </c>
    </row>
    <row r="4" spans="1:18" x14ac:dyDescent="0.35">
      <c r="A4" s="6">
        <v>1</v>
      </c>
      <c r="B4" s="12">
        <v>1</v>
      </c>
      <c r="C4" s="12">
        <v>1</v>
      </c>
      <c r="D4" s="12">
        <v>1</v>
      </c>
      <c r="E4" s="12">
        <v>1</v>
      </c>
      <c r="G4" s="6">
        <v>1</v>
      </c>
      <c r="H4" s="12">
        <v>1</v>
      </c>
      <c r="I4" s="12">
        <v>1</v>
      </c>
      <c r="J4" s="12">
        <v>1</v>
      </c>
      <c r="K4" s="12">
        <v>1</v>
      </c>
      <c r="L4">
        <v>2023</v>
      </c>
      <c r="N4" s="6">
        <v>1</v>
      </c>
      <c r="O4" s="12">
        <f t="shared" ref="O4:R31" si="1">(B4+H4)/2</f>
        <v>1</v>
      </c>
      <c r="P4" s="12">
        <f t="shared" si="0"/>
        <v>1</v>
      </c>
      <c r="Q4" s="12">
        <f t="shared" si="0"/>
        <v>1</v>
      </c>
      <c r="R4" s="12">
        <f t="shared" si="0"/>
        <v>1</v>
      </c>
    </row>
    <row r="5" spans="1:18" x14ac:dyDescent="0.35">
      <c r="A5" s="6">
        <v>2</v>
      </c>
      <c r="B5" s="12">
        <v>1</v>
      </c>
      <c r="C5" s="12">
        <v>1</v>
      </c>
      <c r="D5" s="12">
        <v>1</v>
      </c>
      <c r="E5" s="12">
        <v>1</v>
      </c>
      <c r="G5" s="6">
        <v>2</v>
      </c>
      <c r="H5" s="12">
        <v>1</v>
      </c>
      <c r="I5" s="12">
        <v>1</v>
      </c>
      <c r="J5" s="12">
        <v>1</v>
      </c>
      <c r="K5" s="12">
        <v>1</v>
      </c>
      <c r="L5">
        <v>2024</v>
      </c>
      <c r="N5" s="6">
        <v>2</v>
      </c>
      <c r="O5" s="12">
        <f t="shared" si="1"/>
        <v>1</v>
      </c>
      <c r="P5" s="12">
        <f t="shared" si="0"/>
        <v>1</v>
      </c>
      <c r="Q5" s="12">
        <f t="shared" si="0"/>
        <v>1</v>
      </c>
      <c r="R5" s="12">
        <f t="shared" si="0"/>
        <v>1</v>
      </c>
    </row>
    <row r="6" spans="1:18" x14ac:dyDescent="0.35">
      <c r="A6" s="6">
        <v>3</v>
      </c>
      <c r="B6" s="12">
        <v>1</v>
      </c>
      <c r="C6" s="12">
        <v>1</v>
      </c>
      <c r="D6" s="12">
        <v>1</v>
      </c>
      <c r="E6" s="12">
        <v>1</v>
      </c>
      <c r="G6" s="6">
        <v>3</v>
      </c>
      <c r="H6" s="12">
        <v>1</v>
      </c>
      <c r="I6" s="12">
        <v>1</v>
      </c>
      <c r="J6" s="12">
        <v>1</v>
      </c>
      <c r="K6" s="12">
        <v>1</v>
      </c>
      <c r="L6">
        <v>2025</v>
      </c>
      <c r="N6" s="6">
        <v>3</v>
      </c>
      <c r="O6" s="12">
        <f t="shared" si="1"/>
        <v>1</v>
      </c>
      <c r="P6" s="12">
        <f t="shared" si="0"/>
        <v>1</v>
      </c>
      <c r="Q6" s="12">
        <f t="shared" si="0"/>
        <v>1</v>
      </c>
      <c r="R6" s="12">
        <f t="shared" si="0"/>
        <v>1</v>
      </c>
    </row>
    <row r="7" spans="1:18" x14ac:dyDescent="0.35">
      <c r="A7" s="6">
        <v>4</v>
      </c>
      <c r="B7" s="12">
        <v>1</v>
      </c>
      <c r="C7" s="12">
        <v>1</v>
      </c>
      <c r="D7" s="12">
        <v>1</v>
      </c>
      <c r="E7" s="12">
        <v>1</v>
      </c>
      <c r="G7" s="6">
        <v>4</v>
      </c>
      <c r="H7" s="12">
        <v>1</v>
      </c>
      <c r="I7" s="12">
        <v>1</v>
      </c>
      <c r="J7" s="12">
        <v>1</v>
      </c>
      <c r="K7" s="12">
        <v>1</v>
      </c>
      <c r="L7">
        <v>2026</v>
      </c>
      <c r="N7" s="6">
        <v>4</v>
      </c>
      <c r="O7" s="12">
        <f t="shared" si="1"/>
        <v>1</v>
      </c>
      <c r="P7" s="12">
        <f t="shared" si="0"/>
        <v>1</v>
      </c>
      <c r="Q7" s="12">
        <f t="shared" si="0"/>
        <v>1</v>
      </c>
      <c r="R7" s="12">
        <f t="shared" si="0"/>
        <v>1</v>
      </c>
    </row>
    <row r="8" spans="1:18" x14ac:dyDescent="0.35">
      <c r="A8" s="6">
        <v>5</v>
      </c>
      <c r="B8" s="12">
        <v>1</v>
      </c>
      <c r="C8" s="12">
        <v>1</v>
      </c>
      <c r="D8" s="12">
        <v>1</v>
      </c>
      <c r="E8" s="12">
        <v>1</v>
      </c>
      <c r="G8" s="6">
        <v>5</v>
      </c>
      <c r="H8" s="12">
        <v>1</v>
      </c>
      <c r="I8" s="12">
        <v>1</v>
      </c>
      <c r="J8" s="12">
        <v>1</v>
      </c>
      <c r="K8" s="12">
        <v>0.71052631578947367</v>
      </c>
      <c r="L8">
        <v>2027</v>
      </c>
      <c r="N8" s="6">
        <v>5</v>
      </c>
      <c r="O8" s="12">
        <f t="shared" si="1"/>
        <v>1</v>
      </c>
      <c r="P8" s="12">
        <f t="shared" si="0"/>
        <v>1</v>
      </c>
      <c r="Q8" s="12">
        <f t="shared" si="0"/>
        <v>1</v>
      </c>
      <c r="R8" s="12">
        <f t="shared" si="0"/>
        <v>0.85526315789473684</v>
      </c>
    </row>
    <row r="9" spans="1:18" x14ac:dyDescent="0.35">
      <c r="A9" s="6">
        <v>6</v>
      </c>
      <c r="B9" s="12">
        <v>1</v>
      </c>
      <c r="C9" s="12">
        <v>1</v>
      </c>
      <c r="D9" s="12">
        <v>1</v>
      </c>
      <c r="E9" s="12">
        <v>1</v>
      </c>
      <c r="G9" s="6">
        <v>6</v>
      </c>
      <c r="H9" s="12">
        <v>1</v>
      </c>
      <c r="I9" s="12">
        <v>1</v>
      </c>
      <c r="J9" s="12">
        <v>1</v>
      </c>
      <c r="K9" s="12">
        <v>0.71052631578947367</v>
      </c>
      <c r="L9">
        <v>2028</v>
      </c>
      <c r="N9" s="6">
        <v>6</v>
      </c>
      <c r="O9" s="12">
        <f t="shared" si="1"/>
        <v>1</v>
      </c>
      <c r="P9" s="12">
        <f t="shared" si="0"/>
        <v>1</v>
      </c>
      <c r="Q9" s="12">
        <f t="shared" si="0"/>
        <v>1</v>
      </c>
      <c r="R9" s="12">
        <f t="shared" si="0"/>
        <v>0.85526315789473684</v>
      </c>
    </row>
    <row r="10" spans="1:18" x14ac:dyDescent="0.35">
      <c r="A10" s="6">
        <v>7</v>
      </c>
      <c r="B10" s="12">
        <v>1</v>
      </c>
      <c r="C10" s="12">
        <v>1</v>
      </c>
      <c r="D10" s="12">
        <v>1</v>
      </c>
      <c r="E10" s="12">
        <v>1</v>
      </c>
      <c r="G10" s="6">
        <v>7</v>
      </c>
      <c r="H10" s="12">
        <v>1</v>
      </c>
      <c r="I10" s="12">
        <v>1</v>
      </c>
      <c r="J10" s="12">
        <v>1</v>
      </c>
      <c r="K10" s="12">
        <v>0.71052631578947367</v>
      </c>
      <c r="L10">
        <v>2029</v>
      </c>
      <c r="N10" s="6">
        <v>7</v>
      </c>
      <c r="O10" s="12">
        <f t="shared" si="1"/>
        <v>1</v>
      </c>
      <c r="P10" s="12">
        <f t="shared" si="0"/>
        <v>1</v>
      </c>
      <c r="Q10" s="12">
        <f t="shared" si="0"/>
        <v>1</v>
      </c>
      <c r="R10" s="12">
        <f t="shared" si="0"/>
        <v>0.85526315789473684</v>
      </c>
    </row>
    <row r="11" spans="1:18" x14ac:dyDescent="0.35">
      <c r="A11" s="6">
        <v>8</v>
      </c>
      <c r="B11" s="12">
        <v>1</v>
      </c>
      <c r="C11" s="12">
        <v>1</v>
      </c>
      <c r="D11" s="12">
        <v>1</v>
      </c>
      <c r="E11" s="12">
        <v>1</v>
      </c>
      <c r="G11" s="6">
        <v>8</v>
      </c>
      <c r="H11" s="12">
        <v>1</v>
      </c>
      <c r="I11" s="12">
        <v>1</v>
      </c>
      <c r="J11" s="12">
        <v>1</v>
      </c>
      <c r="K11" s="12">
        <v>0.71052631578947367</v>
      </c>
      <c r="L11">
        <v>2030</v>
      </c>
      <c r="N11" s="6">
        <v>8</v>
      </c>
      <c r="O11" s="12">
        <f t="shared" si="1"/>
        <v>1</v>
      </c>
      <c r="P11" s="12">
        <f t="shared" si="0"/>
        <v>1</v>
      </c>
      <c r="Q11" s="12">
        <f t="shared" si="0"/>
        <v>1</v>
      </c>
      <c r="R11" s="12">
        <f t="shared" si="0"/>
        <v>0.85526315789473684</v>
      </c>
    </row>
    <row r="12" spans="1:18" x14ac:dyDescent="0.35">
      <c r="A12" s="6">
        <v>9</v>
      </c>
      <c r="B12" s="12">
        <v>1</v>
      </c>
      <c r="C12" s="12">
        <v>1</v>
      </c>
      <c r="D12" s="12">
        <v>1</v>
      </c>
      <c r="E12" s="12">
        <v>1</v>
      </c>
      <c r="G12" s="6">
        <v>9</v>
      </c>
      <c r="H12" s="12">
        <v>1</v>
      </c>
      <c r="I12" s="12">
        <v>1</v>
      </c>
      <c r="J12" s="12">
        <v>1</v>
      </c>
      <c r="K12" s="12">
        <v>0.71052631578947367</v>
      </c>
      <c r="L12">
        <v>2031</v>
      </c>
      <c r="N12" s="6">
        <v>9</v>
      </c>
      <c r="O12" s="12">
        <f t="shared" si="1"/>
        <v>1</v>
      </c>
      <c r="P12" s="12">
        <f t="shared" si="0"/>
        <v>1</v>
      </c>
      <c r="Q12" s="12">
        <f t="shared" si="0"/>
        <v>1</v>
      </c>
      <c r="R12" s="12">
        <f t="shared" si="0"/>
        <v>0.85526315789473684</v>
      </c>
    </row>
    <row r="13" spans="1:18" x14ac:dyDescent="0.35">
      <c r="A13" s="6">
        <v>10</v>
      </c>
      <c r="B13" s="12">
        <v>1</v>
      </c>
      <c r="C13" s="12">
        <v>1</v>
      </c>
      <c r="D13" s="12">
        <v>1</v>
      </c>
      <c r="E13" s="12">
        <v>1</v>
      </c>
      <c r="G13" s="6">
        <v>10</v>
      </c>
      <c r="H13" s="12">
        <v>1</v>
      </c>
      <c r="I13" s="12">
        <v>1</v>
      </c>
      <c r="J13" s="12">
        <v>1</v>
      </c>
      <c r="K13" s="12">
        <v>0.71052631578947367</v>
      </c>
      <c r="L13">
        <v>2032</v>
      </c>
      <c r="N13" s="6">
        <v>10</v>
      </c>
      <c r="O13" s="12">
        <f t="shared" si="1"/>
        <v>1</v>
      </c>
      <c r="P13" s="12">
        <f t="shared" si="0"/>
        <v>1</v>
      </c>
      <c r="Q13" s="12">
        <f t="shared" si="0"/>
        <v>1</v>
      </c>
      <c r="R13" s="12">
        <f t="shared" si="0"/>
        <v>0.85526315789473684</v>
      </c>
    </row>
    <row r="14" spans="1:18" x14ac:dyDescent="0.35">
      <c r="A14" s="6">
        <v>11</v>
      </c>
      <c r="B14" s="12">
        <v>1</v>
      </c>
      <c r="C14" s="12">
        <v>1</v>
      </c>
      <c r="D14" s="12">
        <v>1</v>
      </c>
      <c r="E14" s="12">
        <v>1</v>
      </c>
      <c r="G14" s="6">
        <v>11</v>
      </c>
      <c r="H14" s="12">
        <v>1</v>
      </c>
      <c r="I14" s="12">
        <v>1</v>
      </c>
      <c r="J14" s="12">
        <v>1</v>
      </c>
      <c r="K14" s="12">
        <v>0.71052631578947367</v>
      </c>
      <c r="L14">
        <v>2033</v>
      </c>
      <c r="N14" s="6">
        <v>11</v>
      </c>
      <c r="O14" s="12">
        <f t="shared" si="1"/>
        <v>1</v>
      </c>
      <c r="P14" s="12">
        <f t="shared" si="0"/>
        <v>1</v>
      </c>
      <c r="Q14" s="12">
        <f t="shared" si="0"/>
        <v>1</v>
      </c>
      <c r="R14" s="12">
        <f t="shared" si="0"/>
        <v>0.85526315789473684</v>
      </c>
    </row>
    <row r="15" spans="1:18" x14ac:dyDescent="0.35">
      <c r="A15" s="6">
        <v>12</v>
      </c>
      <c r="B15" s="12">
        <v>1</v>
      </c>
      <c r="C15" s="12">
        <v>1</v>
      </c>
      <c r="D15" s="12">
        <v>1</v>
      </c>
      <c r="E15" s="12">
        <v>1</v>
      </c>
      <c r="G15" s="6">
        <v>12</v>
      </c>
      <c r="H15" s="12">
        <v>1</v>
      </c>
      <c r="I15" s="12">
        <v>1</v>
      </c>
      <c r="J15" s="12">
        <v>1</v>
      </c>
      <c r="K15" s="12">
        <v>0.71052631578947367</v>
      </c>
      <c r="L15">
        <v>2034</v>
      </c>
      <c r="N15" s="6">
        <v>12</v>
      </c>
      <c r="O15" s="12">
        <f t="shared" si="1"/>
        <v>1</v>
      </c>
      <c r="P15" s="12">
        <f t="shared" si="0"/>
        <v>1</v>
      </c>
      <c r="Q15" s="12">
        <f t="shared" si="0"/>
        <v>1</v>
      </c>
      <c r="R15" s="12">
        <f t="shared" si="0"/>
        <v>0.85526315789473684</v>
      </c>
    </row>
    <row r="16" spans="1:18" x14ac:dyDescent="0.35">
      <c r="A16" s="6">
        <v>13</v>
      </c>
      <c r="B16" s="12">
        <v>1</v>
      </c>
      <c r="C16" s="12">
        <v>1</v>
      </c>
      <c r="D16" s="12">
        <v>1</v>
      </c>
      <c r="E16" s="12">
        <v>1</v>
      </c>
      <c r="G16" s="6">
        <v>13</v>
      </c>
      <c r="H16" s="12">
        <v>1</v>
      </c>
      <c r="I16" s="12">
        <v>1</v>
      </c>
      <c r="J16" s="12">
        <v>1</v>
      </c>
      <c r="K16" s="12">
        <v>0.71052631578947367</v>
      </c>
      <c r="L16">
        <v>2035</v>
      </c>
      <c r="N16" s="6">
        <v>13</v>
      </c>
      <c r="O16" s="12">
        <f t="shared" si="1"/>
        <v>1</v>
      </c>
      <c r="P16" s="12">
        <f t="shared" si="0"/>
        <v>1</v>
      </c>
      <c r="Q16" s="12">
        <f t="shared" si="0"/>
        <v>1</v>
      </c>
      <c r="R16" s="12">
        <f t="shared" si="0"/>
        <v>0.85526315789473684</v>
      </c>
    </row>
    <row r="17" spans="1:18" x14ac:dyDescent="0.35">
      <c r="A17" s="6">
        <v>14</v>
      </c>
      <c r="B17" s="12">
        <v>1</v>
      </c>
      <c r="C17" s="12">
        <v>1</v>
      </c>
      <c r="D17" s="12">
        <v>1</v>
      </c>
      <c r="E17" s="12">
        <v>1</v>
      </c>
      <c r="G17" s="6">
        <v>14</v>
      </c>
      <c r="H17" s="12">
        <v>1</v>
      </c>
      <c r="I17" s="12">
        <v>1</v>
      </c>
      <c r="J17" s="12">
        <v>1</v>
      </c>
      <c r="K17" s="12">
        <v>0.47368421052631576</v>
      </c>
      <c r="L17">
        <v>2036</v>
      </c>
      <c r="N17" s="6">
        <v>14</v>
      </c>
      <c r="O17" s="12">
        <f t="shared" si="1"/>
        <v>1</v>
      </c>
      <c r="P17" s="12">
        <f t="shared" si="0"/>
        <v>1</v>
      </c>
      <c r="Q17" s="12">
        <f t="shared" si="0"/>
        <v>1</v>
      </c>
      <c r="R17" s="12">
        <f t="shared" si="0"/>
        <v>0.73684210526315785</v>
      </c>
    </row>
    <row r="18" spans="1:18" x14ac:dyDescent="0.35">
      <c r="A18" s="6">
        <v>15</v>
      </c>
      <c r="B18" s="12">
        <v>1</v>
      </c>
      <c r="C18" s="12">
        <v>1</v>
      </c>
      <c r="D18" s="12">
        <v>1</v>
      </c>
      <c r="E18" s="12">
        <v>1</v>
      </c>
      <c r="G18" s="6">
        <v>15</v>
      </c>
      <c r="H18" s="12">
        <v>1</v>
      </c>
      <c r="I18" s="12">
        <v>1</v>
      </c>
      <c r="J18" s="12">
        <v>1</v>
      </c>
      <c r="K18" s="12">
        <v>0.47368421052631576</v>
      </c>
      <c r="L18">
        <v>2037</v>
      </c>
      <c r="N18" s="6">
        <v>15</v>
      </c>
      <c r="O18" s="12">
        <f t="shared" si="1"/>
        <v>1</v>
      </c>
      <c r="P18" s="12">
        <f t="shared" si="0"/>
        <v>1</v>
      </c>
      <c r="Q18" s="12">
        <f t="shared" si="0"/>
        <v>1</v>
      </c>
      <c r="R18" s="12">
        <f t="shared" si="0"/>
        <v>0.73684210526315785</v>
      </c>
    </row>
    <row r="19" spans="1:18" x14ac:dyDescent="0.35">
      <c r="A19" s="6">
        <v>16</v>
      </c>
      <c r="B19" s="12">
        <v>1</v>
      </c>
      <c r="C19" s="12">
        <v>1</v>
      </c>
      <c r="D19" s="12">
        <v>1</v>
      </c>
      <c r="E19" s="12">
        <v>1</v>
      </c>
      <c r="G19" s="6">
        <v>16</v>
      </c>
      <c r="H19" s="12">
        <v>1</v>
      </c>
      <c r="I19" s="12">
        <v>1</v>
      </c>
      <c r="J19" s="12">
        <v>1</v>
      </c>
      <c r="K19" s="12">
        <v>0.47368421052631576</v>
      </c>
      <c r="L19">
        <v>2038</v>
      </c>
      <c r="N19" s="6">
        <v>16</v>
      </c>
      <c r="O19" s="12">
        <f t="shared" si="1"/>
        <v>1</v>
      </c>
      <c r="P19" s="12">
        <f t="shared" si="1"/>
        <v>1</v>
      </c>
      <c r="Q19" s="12">
        <f t="shared" si="1"/>
        <v>1</v>
      </c>
      <c r="R19" s="12">
        <f t="shared" si="1"/>
        <v>0.73684210526315785</v>
      </c>
    </row>
    <row r="20" spans="1:18" x14ac:dyDescent="0.35">
      <c r="A20" s="6">
        <v>17</v>
      </c>
      <c r="B20" s="12">
        <v>1</v>
      </c>
      <c r="C20" s="12">
        <v>1</v>
      </c>
      <c r="D20" s="12">
        <v>1</v>
      </c>
      <c r="E20" s="12">
        <v>1</v>
      </c>
      <c r="G20" s="6">
        <v>17</v>
      </c>
      <c r="H20" s="12">
        <v>1</v>
      </c>
      <c r="I20" s="12">
        <v>1</v>
      </c>
      <c r="J20" s="12">
        <v>1</v>
      </c>
      <c r="K20" s="12">
        <v>0.47368421052631576</v>
      </c>
      <c r="L20">
        <v>2039</v>
      </c>
      <c r="N20" s="6">
        <v>17</v>
      </c>
      <c r="O20" s="12">
        <f t="shared" si="1"/>
        <v>1</v>
      </c>
      <c r="P20" s="12">
        <f t="shared" si="1"/>
        <v>1</v>
      </c>
      <c r="Q20" s="12">
        <f t="shared" si="1"/>
        <v>1</v>
      </c>
      <c r="R20" s="12">
        <f t="shared" si="1"/>
        <v>0.73684210526315785</v>
      </c>
    </row>
    <row r="21" spans="1:18" x14ac:dyDescent="0.35">
      <c r="A21" s="6">
        <v>18</v>
      </c>
      <c r="B21" s="12">
        <v>1</v>
      </c>
      <c r="C21" s="12">
        <v>1</v>
      </c>
      <c r="D21" s="12">
        <v>1</v>
      </c>
      <c r="E21" s="12">
        <v>1</v>
      </c>
      <c r="G21" s="6">
        <v>18</v>
      </c>
      <c r="H21" s="12">
        <v>1</v>
      </c>
      <c r="I21" s="12">
        <v>1</v>
      </c>
      <c r="J21" s="12">
        <v>1</v>
      </c>
      <c r="K21" s="12">
        <v>0.47368421052631576</v>
      </c>
      <c r="L21">
        <v>2040</v>
      </c>
      <c r="N21" s="6">
        <v>18</v>
      </c>
      <c r="O21" s="12">
        <f t="shared" si="1"/>
        <v>1</v>
      </c>
      <c r="P21" s="12">
        <f t="shared" si="1"/>
        <v>1</v>
      </c>
      <c r="Q21" s="12">
        <f t="shared" si="1"/>
        <v>1</v>
      </c>
      <c r="R21" s="12">
        <f t="shared" si="1"/>
        <v>0.73684210526315785</v>
      </c>
    </row>
    <row r="22" spans="1:18" x14ac:dyDescent="0.35">
      <c r="A22" s="6">
        <v>19</v>
      </c>
      <c r="B22" s="12">
        <v>1</v>
      </c>
      <c r="C22" s="12">
        <v>1</v>
      </c>
      <c r="D22" s="12">
        <v>1</v>
      </c>
      <c r="E22" s="12">
        <v>1</v>
      </c>
      <c r="G22" s="6">
        <v>19</v>
      </c>
      <c r="H22" s="12">
        <v>1</v>
      </c>
      <c r="I22" s="12">
        <v>1</v>
      </c>
      <c r="J22" s="12">
        <v>1</v>
      </c>
      <c r="K22" s="12">
        <v>0.47368421052631576</v>
      </c>
      <c r="L22">
        <v>2041</v>
      </c>
      <c r="N22" s="6">
        <v>19</v>
      </c>
      <c r="O22" s="12">
        <f t="shared" si="1"/>
        <v>1</v>
      </c>
      <c r="P22" s="12">
        <f t="shared" si="1"/>
        <v>1</v>
      </c>
      <c r="Q22" s="12">
        <f t="shared" si="1"/>
        <v>1</v>
      </c>
      <c r="R22" s="12">
        <f t="shared" si="1"/>
        <v>0.73684210526315785</v>
      </c>
    </row>
    <row r="23" spans="1:18" x14ac:dyDescent="0.35">
      <c r="A23" s="6">
        <v>20</v>
      </c>
      <c r="B23" s="12">
        <v>1</v>
      </c>
      <c r="C23" s="12">
        <v>1</v>
      </c>
      <c r="D23" s="12">
        <v>1</v>
      </c>
      <c r="E23" s="12">
        <v>1</v>
      </c>
      <c r="G23" s="6">
        <v>20</v>
      </c>
      <c r="H23" s="12">
        <v>1</v>
      </c>
      <c r="I23" s="12">
        <v>1</v>
      </c>
      <c r="J23" s="12">
        <v>1</v>
      </c>
      <c r="K23" s="12">
        <v>0.47368421052631576</v>
      </c>
      <c r="L23">
        <v>2042</v>
      </c>
      <c r="N23" s="6">
        <v>20</v>
      </c>
      <c r="O23" s="12">
        <f t="shared" si="1"/>
        <v>1</v>
      </c>
      <c r="P23" s="12">
        <f t="shared" si="1"/>
        <v>1</v>
      </c>
      <c r="Q23" s="12">
        <f t="shared" si="1"/>
        <v>1</v>
      </c>
      <c r="R23" s="12">
        <f t="shared" si="1"/>
        <v>0.73684210526315785</v>
      </c>
    </row>
    <row r="24" spans="1:18" x14ac:dyDescent="0.35">
      <c r="A24" s="6">
        <v>21</v>
      </c>
      <c r="B24" s="12">
        <v>1</v>
      </c>
      <c r="C24" s="12">
        <v>1</v>
      </c>
      <c r="D24" s="12">
        <v>1</v>
      </c>
      <c r="E24" s="12">
        <v>1</v>
      </c>
      <c r="G24" s="6">
        <v>21</v>
      </c>
      <c r="H24" s="12">
        <v>1</v>
      </c>
      <c r="I24" s="12">
        <v>1</v>
      </c>
      <c r="J24" s="12">
        <v>1</v>
      </c>
      <c r="K24" s="12">
        <v>0.47368421052631576</v>
      </c>
      <c r="L24">
        <v>2043</v>
      </c>
      <c r="N24" s="6">
        <v>21</v>
      </c>
      <c r="O24" s="12">
        <f t="shared" si="1"/>
        <v>1</v>
      </c>
      <c r="P24" s="12">
        <f t="shared" si="1"/>
        <v>1</v>
      </c>
      <c r="Q24" s="12">
        <f t="shared" si="1"/>
        <v>1</v>
      </c>
      <c r="R24" s="12">
        <f t="shared" si="1"/>
        <v>0.73684210526315785</v>
      </c>
    </row>
    <row r="25" spans="1:18" x14ac:dyDescent="0.35">
      <c r="A25" s="6">
        <v>22</v>
      </c>
      <c r="B25" s="12">
        <v>1</v>
      </c>
      <c r="C25" s="12">
        <v>1</v>
      </c>
      <c r="D25" s="12">
        <v>1</v>
      </c>
      <c r="E25" s="12">
        <v>1</v>
      </c>
      <c r="G25" s="6">
        <v>22</v>
      </c>
      <c r="H25" s="12">
        <v>1</v>
      </c>
      <c r="I25" s="12">
        <v>1</v>
      </c>
      <c r="J25" s="12">
        <v>1</v>
      </c>
      <c r="K25" s="12">
        <v>0.47368421052631576</v>
      </c>
      <c r="L25">
        <v>2044</v>
      </c>
      <c r="N25" s="6">
        <v>22</v>
      </c>
      <c r="O25" s="12">
        <f t="shared" si="1"/>
        <v>1</v>
      </c>
      <c r="P25" s="12">
        <f t="shared" si="1"/>
        <v>1</v>
      </c>
      <c r="Q25" s="12">
        <f t="shared" si="1"/>
        <v>1</v>
      </c>
      <c r="R25" s="12">
        <f t="shared" si="1"/>
        <v>0.73684210526315785</v>
      </c>
    </row>
    <row r="26" spans="1:18" x14ac:dyDescent="0.35">
      <c r="A26" s="6">
        <v>23</v>
      </c>
      <c r="B26" s="12">
        <v>1</v>
      </c>
      <c r="C26" s="12">
        <v>1</v>
      </c>
      <c r="D26" s="12">
        <v>1</v>
      </c>
      <c r="E26" s="12">
        <v>1</v>
      </c>
      <c r="G26" s="6">
        <v>23</v>
      </c>
      <c r="H26" s="12">
        <v>1</v>
      </c>
      <c r="I26" s="12">
        <v>1</v>
      </c>
      <c r="J26" s="12">
        <v>1</v>
      </c>
      <c r="K26" s="12">
        <v>0.47368421052631576</v>
      </c>
      <c r="L26">
        <v>2045</v>
      </c>
      <c r="N26" s="6">
        <v>23</v>
      </c>
      <c r="O26" s="12">
        <f t="shared" si="1"/>
        <v>1</v>
      </c>
      <c r="P26" s="12">
        <f t="shared" si="1"/>
        <v>1</v>
      </c>
      <c r="Q26" s="12">
        <f t="shared" si="1"/>
        <v>1</v>
      </c>
      <c r="R26" s="12">
        <f t="shared" si="1"/>
        <v>0.73684210526315785</v>
      </c>
    </row>
    <row r="27" spans="1:18" x14ac:dyDescent="0.35">
      <c r="A27" s="6">
        <v>24</v>
      </c>
      <c r="B27" s="12">
        <v>1</v>
      </c>
      <c r="C27" s="12">
        <v>1</v>
      </c>
      <c r="D27" s="12">
        <v>1</v>
      </c>
      <c r="E27" s="12">
        <v>1</v>
      </c>
      <c r="G27" s="6">
        <v>24</v>
      </c>
      <c r="H27" s="12">
        <v>1</v>
      </c>
      <c r="I27" s="12">
        <v>1</v>
      </c>
      <c r="J27" s="12">
        <v>1</v>
      </c>
      <c r="K27" s="12">
        <v>0.47368421052631576</v>
      </c>
      <c r="L27">
        <v>2046</v>
      </c>
      <c r="N27" s="6">
        <v>24</v>
      </c>
      <c r="O27" s="12">
        <f t="shared" si="1"/>
        <v>1</v>
      </c>
      <c r="P27" s="12">
        <f t="shared" si="1"/>
        <v>1</v>
      </c>
      <c r="Q27" s="12">
        <f t="shared" si="1"/>
        <v>1</v>
      </c>
      <c r="R27" s="12">
        <f t="shared" si="1"/>
        <v>0.73684210526315785</v>
      </c>
    </row>
    <row r="28" spans="1:18" x14ac:dyDescent="0.35">
      <c r="A28" s="6">
        <v>25</v>
      </c>
      <c r="B28" s="12">
        <v>1</v>
      </c>
      <c r="C28" s="12">
        <v>1</v>
      </c>
      <c r="D28" s="12">
        <v>1</v>
      </c>
      <c r="E28" s="12">
        <v>1</v>
      </c>
      <c r="G28" s="6">
        <v>25</v>
      </c>
      <c r="H28" s="12">
        <v>1</v>
      </c>
      <c r="I28" s="12">
        <v>1</v>
      </c>
      <c r="J28" s="12">
        <v>1</v>
      </c>
      <c r="K28" s="12">
        <v>0.47368421052631576</v>
      </c>
      <c r="L28">
        <v>2047</v>
      </c>
      <c r="N28" s="6">
        <v>25</v>
      </c>
      <c r="O28" s="12">
        <f t="shared" si="1"/>
        <v>1</v>
      </c>
      <c r="P28" s="12">
        <f t="shared" si="1"/>
        <v>1</v>
      </c>
      <c r="Q28" s="12">
        <f t="shared" si="1"/>
        <v>1</v>
      </c>
      <c r="R28" s="12">
        <f t="shared" si="1"/>
        <v>0.73684210526315785</v>
      </c>
    </row>
    <row r="29" spans="1:18" x14ac:dyDescent="0.35">
      <c r="A29" s="6">
        <v>26</v>
      </c>
      <c r="B29" s="12">
        <v>1</v>
      </c>
      <c r="C29" s="12">
        <v>1</v>
      </c>
      <c r="D29" s="12">
        <v>1</v>
      </c>
      <c r="E29" s="12">
        <v>1</v>
      </c>
      <c r="G29" s="6">
        <v>26</v>
      </c>
      <c r="H29" s="12">
        <v>1</v>
      </c>
      <c r="I29" s="12">
        <v>1</v>
      </c>
      <c r="J29" s="12">
        <v>1</v>
      </c>
      <c r="K29" s="12">
        <v>0.47368421052631576</v>
      </c>
      <c r="L29">
        <v>2048</v>
      </c>
      <c r="N29" s="6">
        <v>26</v>
      </c>
      <c r="O29" s="12">
        <f t="shared" si="1"/>
        <v>1</v>
      </c>
      <c r="P29" s="12">
        <f t="shared" si="1"/>
        <v>1</v>
      </c>
      <c r="Q29" s="12">
        <f t="shared" si="1"/>
        <v>1</v>
      </c>
      <c r="R29" s="12">
        <f t="shared" si="1"/>
        <v>0.73684210526315785</v>
      </c>
    </row>
    <row r="30" spans="1:18" x14ac:dyDescent="0.35">
      <c r="A30" s="6">
        <v>27</v>
      </c>
      <c r="B30" s="12">
        <v>1</v>
      </c>
      <c r="C30" s="12">
        <v>1</v>
      </c>
      <c r="D30" s="12">
        <v>1</v>
      </c>
      <c r="E30" s="12">
        <v>1</v>
      </c>
      <c r="G30" s="6">
        <v>27</v>
      </c>
      <c r="H30" s="12">
        <v>1</v>
      </c>
      <c r="I30" s="12">
        <v>1</v>
      </c>
      <c r="J30" s="12">
        <v>1</v>
      </c>
      <c r="K30" s="12">
        <v>0.47368421052631576</v>
      </c>
      <c r="L30">
        <v>2049</v>
      </c>
      <c r="N30" s="6">
        <v>27</v>
      </c>
      <c r="O30" s="12">
        <f t="shared" si="1"/>
        <v>1</v>
      </c>
      <c r="P30" s="12">
        <f t="shared" si="1"/>
        <v>1</v>
      </c>
      <c r="Q30" s="12">
        <f t="shared" si="1"/>
        <v>1</v>
      </c>
      <c r="R30" s="12">
        <f t="shared" si="1"/>
        <v>0.73684210526315785</v>
      </c>
    </row>
    <row r="31" spans="1:18" x14ac:dyDescent="0.35">
      <c r="A31" s="6">
        <v>28</v>
      </c>
      <c r="B31" s="12">
        <v>1</v>
      </c>
      <c r="C31" s="12">
        <v>1</v>
      </c>
      <c r="D31" s="12">
        <v>1</v>
      </c>
      <c r="E31" s="12">
        <v>1</v>
      </c>
      <c r="G31" s="6">
        <v>28</v>
      </c>
      <c r="H31" s="12">
        <v>1</v>
      </c>
      <c r="I31" s="12">
        <v>1</v>
      </c>
      <c r="J31" s="12">
        <v>1</v>
      </c>
      <c r="K31" s="12">
        <v>0.47368421052631576</v>
      </c>
      <c r="L31">
        <v>2050</v>
      </c>
      <c r="N31" s="6">
        <v>28</v>
      </c>
      <c r="O31" s="12">
        <f t="shared" si="1"/>
        <v>1</v>
      </c>
      <c r="P31" s="12">
        <f t="shared" si="1"/>
        <v>1</v>
      </c>
      <c r="Q31" s="12">
        <f t="shared" si="1"/>
        <v>1</v>
      </c>
      <c r="R31" s="12">
        <f t="shared" si="1"/>
        <v>0.73684210526315785</v>
      </c>
    </row>
    <row r="34" spans="1:15" x14ac:dyDescent="0.35">
      <c r="A34">
        <f>(5000/1800)</f>
        <v>2.7777777777777777</v>
      </c>
      <c r="B34">
        <f>POWER(A34,1/10)</f>
        <v>1.1075663432482898</v>
      </c>
      <c r="N34">
        <f>(5000/1800)</f>
        <v>2.7777777777777777</v>
      </c>
      <c r="O34">
        <f>POWER(N34,1/10)</f>
        <v>1.1075663432482898</v>
      </c>
    </row>
  </sheetData>
  <mergeCells count="3">
    <mergeCell ref="B1:E1"/>
    <mergeCell ref="H1:K1"/>
    <mergeCell ref="O1:R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9D4D-E05F-41D5-B19A-111C40C9F544}">
  <sheetPr codeName="Sheet8"/>
  <dimension ref="A1:R34"/>
  <sheetViews>
    <sheetView topLeftCell="A11" workbookViewId="0">
      <selection activeCell="N11" sqref="N1:R1048576"/>
    </sheetView>
  </sheetViews>
  <sheetFormatPr defaultRowHeight="14.5" x14ac:dyDescent="0.35"/>
  <sheetData>
    <row r="1" spans="1:18" x14ac:dyDescent="0.35">
      <c r="A1" s="7"/>
      <c r="B1" s="87" t="s">
        <v>28</v>
      </c>
      <c r="C1" s="87"/>
      <c r="D1" s="87"/>
      <c r="E1" s="87"/>
      <c r="G1" s="7"/>
      <c r="H1" s="87" t="s">
        <v>27</v>
      </c>
      <c r="I1" s="87"/>
      <c r="J1" s="87"/>
      <c r="K1" s="87"/>
      <c r="N1" s="7"/>
      <c r="O1" s="87" t="s">
        <v>148</v>
      </c>
      <c r="P1" s="87"/>
      <c r="Q1" s="87"/>
      <c r="R1" s="87"/>
    </row>
    <row r="2" spans="1:18" ht="29" x14ac:dyDescent="0.35">
      <c r="A2" s="4" t="s">
        <v>0</v>
      </c>
      <c r="B2" s="5" t="s">
        <v>29</v>
      </c>
      <c r="C2" s="5" t="s">
        <v>30</v>
      </c>
      <c r="D2" s="5" t="s">
        <v>31</v>
      </c>
      <c r="E2" s="5" t="s">
        <v>32</v>
      </c>
      <c r="F2" s="2"/>
      <c r="G2" s="4" t="s">
        <v>0</v>
      </c>
      <c r="H2" s="5" t="s">
        <v>29</v>
      </c>
      <c r="I2" s="5" t="s">
        <v>30</v>
      </c>
      <c r="J2" s="5" t="s">
        <v>31</v>
      </c>
      <c r="K2" s="5" t="s">
        <v>32</v>
      </c>
      <c r="N2" s="4" t="s">
        <v>0</v>
      </c>
      <c r="O2" s="5" t="s">
        <v>29</v>
      </c>
      <c r="P2" s="5" t="s">
        <v>30</v>
      </c>
      <c r="Q2" s="5" t="s">
        <v>31</v>
      </c>
      <c r="R2" s="5" t="s">
        <v>32</v>
      </c>
    </row>
    <row r="3" spans="1:18" x14ac:dyDescent="0.35">
      <c r="A3" s="6">
        <v>0</v>
      </c>
      <c r="B3" s="12">
        <v>0</v>
      </c>
      <c r="C3" s="12">
        <v>0</v>
      </c>
      <c r="D3" s="12">
        <v>0</v>
      </c>
      <c r="E3" s="12">
        <v>0</v>
      </c>
      <c r="G3" s="6">
        <v>0</v>
      </c>
      <c r="H3" s="12">
        <v>0</v>
      </c>
      <c r="I3" s="12">
        <v>0</v>
      </c>
      <c r="J3" s="12">
        <v>0</v>
      </c>
      <c r="K3" s="12">
        <v>0</v>
      </c>
      <c r="L3">
        <v>2022</v>
      </c>
      <c r="N3" s="6">
        <v>0</v>
      </c>
      <c r="O3" s="12">
        <f>(B3+H3)/2</f>
        <v>0</v>
      </c>
      <c r="P3" s="12">
        <f t="shared" ref="P3:R18" si="0">(C3+I3)/2</f>
        <v>0</v>
      </c>
      <c r="Q3" s="12">
        <f t="shared" si="0"/>
        <v>0</v>
      </c>
      <c r="R3" s="12">
        <f t="shared" si="0"/>
        <v>0</v>
      </c>
    </row>
    <row r="4" spans="1:18" x14ac:dyDescent="0.35">
      <c r="A4" s="6">
        <v>1</v>
      </c>
      <c r="B4" s="12">
        <v>0</v>
      </c>
      <c r="C4" s="12">
        <v>0</v>
      </c>
      <c r="D4" s="12">
        <v>0</v>
      </c>
      <c r="E4" s="12">
        <v>0</v>
      </c>
      <c r="G4" s="6">
        <v>1</v>
      </c>
      <c r="H4" s="12">
        <v>0.05</v>
      </c>
      <c r="I4" s="12">
        <v>-0.35</v>
      </c>
      <c r="J4" s="12">
        <v>0.05</v>
      </c>
      <c r="K4" s="12">
        <v>-0.35</v>
      </c>
      <c r="L4">
        <v>2023</v>
      </c>
      <c r="N4" s="6">
        <v>1</v>
      </c>
      <c r="O4" s="12">
        <f t="shared" ref="O4:R31" si="1">(B4+H4)/2</f>
        <v>2.5000000000000001E-2</v>
      </c>
      <c r="P4" s="12">
        <f t="shared" si="0"/>
        <v>-0.17499999999999999</v>
      </c>
      <c r="Q4" s="12">
        <f t="shared" si="0"/>
        <v>2.5000000000000001E-2</v>
      </c>
      <c r="R4" s="12">
        <f t="shared" si="0"/>
        <v>-0.17499999999999999</v>
      </c>
    </row>
    <row r="5" spans="1:18" x14ac:dyDescent="0.35">
      <c r="A5" s="6">
        <v>2</v>
      </c>
      <c r="B5" s="12">
        <v>0</v>
      </c>
      <c r="C5" s="12">
        <v>0</v>
      </c>
      <c r="D5" s="12">
        <v>0</v>
      </c>
      <c r="E5" s="12">
        <v>0</v>
      </c>
      <c r="G5" s="6">
        <v>2</v>
      </c>
      <c r="H5" s="12">
        <v>0.1</v>
      </c>
      <c r="I5" s="12">
        <v>-0.35</v>
      </c>
      <c r="J5" s="12">
        <v>0.1</v>
      </c>
      <c r="K5" s="12">
        <v>-0.35</v>
      </c>
      <c r="L5">
        <v>2024</v>
      </c>
      <c r="N5" s="6">
        <v>2</v>
      </c>
      <c r="O5" s="12">
        <f t="shared" si="1"/>
        <v>0.05</v>
      </c>
      <c r="P5" s="12">
        <f t="shared" si="0"/>
        <v>-0.17499999999999999</v>
      </c>
      <c r="Q5" s="12">
        <f t="shared" si="0"/>
        <v>0.05</v>
      </c>
      <c r="R5" s="12">
        <f t="shared" si="0"/>
        <v>-0.17499999999999999</v>
      </c>
    </row>
    <row r="6" spans="1:18" x14ac:dyDescent="0.35">
      <c r="A6" s="6">
        <v>3</v>
      </c>
      <c r="B6" s="12">
        <v>0</v>
      </c>
      <c r="C6" s="12">
        <v>0</v>
      </c>
      <c r="D6" s="12">
        <v>0</v>
      </c>
      <c r="E6" s="12">
        <v>0</v>
      </c>
      <c r="G6" s="6">
        <v>3</v>
      </c>
      <c r="H6" s="12">
        <v>0.15</v>
      </c>
      <c r="I6" s="12">
        <v>-0.35</v>
      </c>
      <c r="J6" s="12">
        <v>0.15</v>
      </c>
      <c r="K6" s="12">
        <v>-0.35</v>
      </c>
      <c r="L6">
        <v>2025</v>
      </c>
      <c r="N6" s="6">
        <v>3</v>
      </c>
      <c r="O6" s="12">
        <f t="shared" si="1"/>
        <v>7.4999999999999997E-2</v>
      </c>
      <c r="P6" s="12">
        <f t="shared" si="0"/>
        <v>-0.17499999999999999</v>
      </c>
      <c r="Q6" s="12">
        <f t="shared" si="0"/>
        <v>7.4999999999999997E-2</v>
      </c>
      <c r="R6" s="12">
        <f t="shared" si="0"/>
        <v>-0.17499999999999999</v>
      </c>
    </row>
    <row r="7" spans="1:18" x14ac:dyDescent="0.35">
      <c r="A7" s="6">
        <v>4</v>
      </c>
      <c r="B7" s="12">
        <v>0</v>
      </c>
      <c r="C7" s="12">
        <v>0</v>
      </c>
      <c r="D7" s="12">
        <v>0</v>
      </c>
      <c r="E7" s="12">
        <v>0</v>
      </c>
      <c r="G7" s="6">
        <v>4</v>
      </c>
      <c r="H7" s="12">
        <v>0.2</v>
      </c>
      <c r="I7" s="12">
        <v>-0.35</v>
      </c>
      <c r="J7" s="12">
        <v>0.2</v>
      </c>
      <c r="K7" s="12">
        <v>-0.35</v>
      </c>
      <c r="L7">
        <v>2026</v>
      </c>
      <c r="N7" s="6">
        <v>4</v>
      </c>
      <c r="O7" s="12">
        <f t="shared" si="1"/>
        <v>0.1</v>
      </c>
      <c r="P7" s="12">
        <f t="shared" si="0"/>
        <v>-0.17499999999999999</v>
      </c>
      <c r="Q7" s="12">
        <f t="shared" si="0"/>
        <v>0.1</v>
      </c>
      <c r="R7" s="12">
        <f t="shared" si="0"/>
        <v>-0.17499999999999999</v>
      </c>
    </row>
    <row r="8" spans="1:18" x14ac:dyDescent="0.35">
      <c r="A8" s="6">
        <v>5</v>
      </c>
      <c r="B8" s="12">
        <v>0</v>
      </c>
      <c r="C8" s="12">
        <v>0</v>
      </c>
      <c r="D8" s="12">
        <v>0</v>
      </c>
      <c r="E8" s="12">
        <v>0</v>
      </c>
      <c r="G8" s="6">
        <v>5</v>
      </c>
      <c r="H8" s="12">
        <v>0.25</v>
      </c>
      <c r="I8" s="12">
        <v>-0.35</v>
      </c>
      <c r="J8" s="12">
        <v>0.25</v>
      </c>
      <c r="K8" s="12">
        <v>-0.35</v>
      </c>
      <c r="L8">
        <v>2027</v>
      </c>
      <c r="N8" s="6">
        <v>5</v>
      </c>
      <c r="O8" s="12">
        <f t="shared" si="1"/>
        <v>0.125</v>
      </c>
      <c r="P8" s="12">
        <f t="shared" si="0"/>
        <v>-0.17499999999999999</v>
      </c>
      <c r="Q8" s="12">
        <f t="shared" si="0"/>
        <v>0.125</v>
      </c>
      <c r="R8" s="12">
        <f t="shared" si="0"/>
        <v>-0.17499999999999999</v>
      </c>
    </row>
    <row r="9" spans="1:18" x14ac:dyDescent="0.35">
      <c r="A9" s="6">
        <v>6</v>
      </c>
      <c r="B9" s="12">
        <v>0</v>
      </c>
      <c r="C9" s="12">
        <v>0</v>
      </c>
      <c r="D9" s="12">
        <v>0</v>
      </c>
      <c r="E9" s="12">
        <v>0</v>
      </c>
      <c r="G9" s="6">
        <v>6</v>
      </c>
      <c r="H9" s="12">
        <v>0.3</v>
      </c>
      <c r="I9" s="12">
        <v>-0.35</v>
      </c>
      <c r="J9" s="12">
        <v>0.3</v>
      </c>
      <c r="K9" s="12">
        <v>-0.35</v>
      </c>
      <c r="L9">
        <v>2028</v>
      </c>
      <c r="N9" s="6">
        <v>6</v>
      </c>
      <c r="O9" s="12">
        <f t="shared" si="1"/>
        <v>0.15</v>
      </c>
      <c r="P9" s="12">
        <f t="shared" si="0"/>
        <v>-0.17499999999999999</v>
      </c>
      <c r="Q9" s="12">
        <f t="shared" si="0"/>
        <v>0.15</v>
      </c>
      <c r="R9" s="12">
        <f t="shared" si="0"/>
        <v>-0.17499999999999999</v>
      </c>
    </row>
    <row r="10" spans="1:18" x14ac:dyDescent="0.35">
      <c r="A10" s="6">
        <v>7</v>
      </c>
      <c r="B10" s="12">
        <v>0</v>
      </c>
      <c r="C10" s="12">
        <v>0</v>
      </c>
      <c r="D10" s="12">
        <v>0</v>
      </c>
      <c r="E10" s="12">
        <v>0</v>
      </c>
      <c r="G10" s="6">
        <v>7</v>
      </c>
      <c r="H10" s="12">
        <v>0.3</v>
      </c>
      <c r="I10" s="12">
        <v>-0.35</v>
      </c>
      <c r="J10" s="12">
        <v>0.3</v>
      </c>
      <c r="K10" s="12">
        <v>-0.35</v>
      </c>
      <c r="L10">
        <v>2029</v>
      </c>
      <c r="N10" s="6">
        <v>7</v>
      </c>
      <c r="O10" s="12">
        <f t="shared" si="1"/>
        <v>0.15</v>
      </c>
      <c r="P10" s="12">
        <f t="shared" si="0"/>
        <v>-0.17499999999999999</v>
      </c>
      <c r="Q10" s="12">
        <f t="shared" si="0"/>
        <v>0.15</v>
      </c>
      <c r="R10" s="12">
        <f t="shared" si="0"/>
        <v>-0.17499999999999999</v>
      </c>
    </row>
    <row r="11" spans="1:18" x14ac:dyDescent="0.35">
      <c r="A11" s="6">
        <v>8</v>
      </c>
      <c r="B11" s="12">
        <v>0</v>
      </c>
      <c r="C11" s="12">
        <v>0</v>
      </c>
      <c r="D11" s="12">
        <v>0</v>
      </c>
      <c r="E11" s="12">
        <v>0</v>
      </c>
      <c r="G11" s="6">
        <v>8</v>
      </c>
      <c r="H11" s="12">
        <v>0.3</v>
      </c>
      <c r="I11" s="12">
        <v>-0.35</v>
      </c>
      <c r="J11" s="12">
        <v>0.3</v>
      </c>
      <c r="K11" s="12">
        <v>-0.35</v>
      </c>
      <c r="L11">
        <v>2030</v>
      </c>
      <c r="N11" s="6">
        <v>8</v>
      </c>
      <c r="O11" s="12">
        <f t="shared" si="1"/>
        <v>0.15</v>
      </c>
      <c r="P11" s="12">
        <f t="shared" si="0"/>
        <v>-0.17499999999999999</v>
      </c>
      <c r="Q11" s="12">
        <f t="shared" si="0"/>
        <v>0.15</v>
      </c>
      <c r="R11" s="12">
        <f t="shared" si="0"/>
        <v>-0.17499999999999999</v>
      </c>
    </row>
    <row r="12" spans="1:18" x14ac:dyDescent="0.35">
      <c r="A12" s="6">
        <v>9</v>
      </c>
      <c r="B12" s="12">
        <v>0</v>
      </c>
      <c r="C12" s="12">
        <v>0</v>
      </c>
      <c r="D12" s="12">
        <v>0</v>
      </c>
      <c r="E12" s="12">
        <v>0</v>
      </c>
      <c r="G12" s="6">
        <v>9</v>
      </c>
      <c r="H12" s="12">
        <v>0.3</v>
      </c>
      <c r="I12" s="12">
        <v>-0.35</v>
      </c>
      <c r="J12" s="12">
        <v>0.3</v>
      </c>
      <c r="K12" s="12">
        <v>-0.35</v>
      </c>
      <c r="L12">
        <v>2031</v>
      </c>
      <c r="N12" s="6">
        <v>9</v>
      </c>
      <c r="O12" s="12">
        <f t="shared" si="1"/>
        <v>0.15</v>
      </c>
      <c r="P12" s="12">
        <f t="shared" si="0"/>
        <v>-0.17499999999999999</v>
      </c>
      <c r="Q12" s="12">
        <f t="shared" si="0"/>
        <v>0.15</v>
      </c>
      <c r="R12" s="12">
        <f t="shared" si="0"/>
        <v>-0.17499999999999999</v>
      </c>
    </row>
    <row r="13" spans="1:18" x14ac:dyDescent="0.35">
      <c r="A13" s="6">
        <v>10</v>
      </c>
      <c r="B13" s="12">
        <v>0</v>
      </c>
      <c r="C13" s="12">
        <v>0</v>
      </c>
      <c r="D13" s="12">
        <v>0</v>
      </c>
      <c r="E13" s="12">
        <v>0</v>
      </c>
      <c r="G13" s="6">
        <v>10</v>
      </c>
      <c r="H13" s="12">
        <v>0.3</v>
      </c>
      <c r="I13" s="12">
        <v>-0.35</v>
      </c>
      <c r="J13" s="12">
        <v>0.3</v>
      </c>
      <c r="K13" s="12">
        <v>-0.35</v>
      </c>
      <c r="L13">
        <v>2032</v>
      </c>
      <c r="N13" s="6">
        <v>10</v>
      </c>
      <c r="O13" s="12">
        <f t="shared" si="1"/>
        <v>0.15</v>
      </c>
      <c r="P13" s="12">
        <f t="shared" si="0"/>
        <v>-0.17499999999999999</v>
      </c>
      <c r="Q13" s="12">
        <f t="shared" si="0"/>
        <v>0.15</v>
      </c>
      <c r="R13" s="12">
        <f t="shared" si="0"/>
        <v>-0.17499999999999999</v>
      </c>
    </row>
    <row r="14" spans="1:18" x14ac:dyDescent="0.35">
      <c r="A14" s="6">
        <v>11</v>
      </c>
      <c r="B14" s="12">
        <v>0</v>
      </c>
      <c r="C14" s="12">
        <v>0</v>
      </c>
      <c r="D14" s="12">
        <v>0</v>
      </c>
      <c r="E14" s="12">
        <v>0</v>
      </c>
      <c r="G14" s="6">
        <v>11</v>
      </c>
      <c r="H14" s="12">
        <v>0.3</v>
      </c>
      <c r="I14" s="12">
        <v>-0.35</v>
      </c>
      <c r="J14" s="12">
        <v>0.3</v>
      </c>
      <c r="K14" s="12">
        <v>-0.35</v>
      </c>
      <c r="L14">
        <v>2033</v>
      </c>
      <c r="N14" s="6">
        <v>11</v>
      </c>
      <c r="O14" s="12">
        <f t="shared" si="1"/>
        <v>0.15</v>
      </c>
      <c r="P14" s="12">
        <f t="shared" si="0"/>
        <v>-0.17499999999999999</v>
      </c>
      <c r="Q14" s="12">
        <f t="shared" si="0"/>
        <v>0.15</v>
      </c>
      <c r="R14" s="12">
        <f t="shared" si="0"/>
        <v>-0.17499999999999999</v>
      </c>
    </row>
    <row r="15" spans="1:18" x14ac:dyDescent="0.35">
      <c r="A15" s="6">
        <v>12</v>
      </c>
      <c r="B15" s="12">
        <v>0</v>
      </c>
      <c r="C15" s="12">
        <v>0</v>
      </c>
      <c r="D15" s="12">
        <v>0</v>
      </c>
      <c r="E15" s="12">
        <v>0</v>
      </c>
      <c r="G15" s="6">
        <v>12</v>
      </c>
      <c r="H15" s="12">
        <v>0.3</v>
      </c>
      <c r="I15" s="12">
        <v>-0.35</v>
      </c>
      <c r="J15" s="12">
        <v>0.3</v>
      </c>
      <c r="K15" s="12">
        <v>-0.35</v>
      </c>
      <c r="L15">
        <v>2034</v>
      </c>
      <c r="N15" s="6">
        <v>12</v>
      </c>
      <c r="O15" s="12">
        <f t="shared" si="1"/>
        <v>0.15</v>
      </c>
      <c r="P15" s="12">
        <f t="shared" si="0"/>
        <v>-0.17499999999999999</v>
      </c>
      <c r="Q15" s="12">
        <f t="shared" si="0"/>
        <v>0.15</v>
      </c>
      <c r="R15" s="12">
        <f t="shared" si="0"/>
        <v>-0.17499999999999999</v>
      </c>
    </row>
    <row r="16" spans="1:18" x14ac:dyDescent="0.35">
      <c r="A16" s="6">
        <v>13</v>
      </c>
      <c r="B16" s="12">
        <v>0</v>
      </c>
      <c r="C16" s="12">
        <v>0</v>
      </c>
      <c r="D16" s="12">
        <v>0</v>
      </c>
      <c r="E16" s="12">
        <v>0</v>
      </c>
      <c r="G16" s="6">
        <v>13</v>
      </c>
      <c r="H16" s="12">
        <v>0.3</v>
      </c>
      <c r="I16" s="12">
        <v>-0.35</v>
      </c>
      <c r="J16" s="12">
        <v>0.3</v>
      </c>
      <c r="K16" s="12">
        <v>-0.35</v>
      </c>
      <c r="L16">
        <v>2035</v>
      </c>
      <c r="N16" s="6">
        <v>13</v>
      </c>
      <c r="O16" s="12">
        <f t="shared" si="1"/>
        <v>0.15</v>
      </c>
      <c r="P16" s="12">
        <f t="shared" si="0"/>
        <v>-0.17499999999999999</v>
      </c>
      <c r="Q16" s="12">
        <f t="shared" si="0"/>
        <v>0.15</v>
      </c>
      <c r="R16" s="12">
        <f t="shared" si="0"/>
        <v>-0.17499999999999999</v>
      </c>
    </row>
    <row r="17" spans="1:18" x14ac:dyDescent="0.35">
      <c r="A17" s="6">
        <v>14</v>
      </c>
      <c r="B17" s="12">
        <v>0</v>
      </c>
      <c r="C17" s="12">
        <v>0</v>
      </c>
      <c r="D17" s="12">
        <v>0</v>
      </c>
      <c r="E17" s="12">
        <v>0</v>
      </c>
      <c r="G17" s="6">
        <v>14</v>
      </c>
      <c r="H17" s="12">
        <v>0.3</v>
      </c>
      <c r="I17" s="12">
        <v>-0.35</v>
      </c>
      <c r="J17" s="12">
        <v>0.3</v>
      </c>
      <c r="K17" s="12">
        <v>-0.35</v>
      </c>
      <c r="L17">
        <v>2036</v>
      </c>
      <c r="N17" s="6">
        <v>14</v>
      </c>
      <c r="O17" s="12">
        <f t="shared" si="1"/>
        <v>0.15</v>
      </c>
      <c r="P17" s="12">
        <f t="shared" si="0"/>
        <v>-0.17499999999999999</v>
      </c>
      <c r="Q17" s="12">
        <f t="shared" si="0"/>
        <v>0.15</v>
      </c>
      <c r="R17" s="12">
        <f t="shared" si="0"/>
        <v>-0.17499999999999999</v>
      </c>
    </row>
    <row r="18" spans="1:18" x14ac:dyDescent="0.35">
      <c r="A18" s="6">
        <v>15</v>
      </c>
      <c r="B18" s="12">
        <v>0</v>
      </c>
      <c r="C18" s="12">
        <v>0</v>
      </c>
      <c r="D18" s="12">
        <v>0</v>
      </c>
      <c r="E18" s="12">
        <v>0</v>
      </c>
      <c r="G18" s="6">
        <v>15</v>
      </c>
      <c r="H18" s="12">
        <v>0.3</v>
      </c>
      <c r="I18" s="12">
        <v>-0.35</v>
      </c>
      <c r="J18" s="12">
        <v>0.3</v>
      </c>
      <c r="K18" s="12">
        <v>-0.35</v>
      </c>
      <c r="L18">
        <v>2037</v>
      </c>
      <c r="N18" s="6">
        <v>15</v>
      </c>
      <c r="O18" s="12">
        <f t="shared" si="1"/>
        <v>0.15</v>
      </c>
      <c r="P18" s="12">
        <f t="shared" si="0"/>
        <v>-0.17499999999999999</v>
      </c>
      <c r="Q18" s="12">
        <f t="shared" si="0"/>
        <v>0.15</v>
      </c>
      <c r="R18" s="12">
        <f t="shared" si="0"/>
        <v>-0.17499999999999999</v>
      </c>
    </row>
    <row r="19" spans="1:18" x14ac:dyDescent="0.35">
      <c r="A19" s="6">
        <v>16</v>
      </c>
      <c r="B19" s="12">
        <v>0</v>
      </c>
      <c r="C19" s="12">
        <v>0</v>
      </c>
      <c r="D19" s="12">
        <v>0</v>
      </c>
      <c r="E19" s="12">
        <v>0</v>
      </c>
      <c r="G19" s="6">
        <v>16</v>
      </c>
      <c r="H19" s="12">
        <v>0.3</v>
      </c>
      <c r="I19" s="12">
        <v>-0.35</v>
      </c>
      <c r="J19" s="12">
        <v>0.3</v>
      </c>
      <c r="K19" s="12">
        <v>-0.35</v>
      </c>
      <c r="L19">
        <v>2038</v>
      </c>
      <c r="N19" s="6">
        <v>16</v>
      </c>
      <c r="O19" s="12">
        <f t="shared" si="1"/>
        <v>0.15</v>
      </c>
      <c r="P19" s="12">
        <f t="shared" si="1"/>
        <v>-0.17499999999999999</v>
      </c>
      <c r="Q19" s="12">
        <f t="shared" si="1"/>
        <v>0.15</v>
      </c>
      <c r="R19" s="12">
        <f t="shared" si="1"/>
        <v>-0.17499999999999999</v>
      </c>
    </row>
    <row r="20" spans="1:18" x14ac:dyDescent="0.35">
      <c r="A20" s="6">
        <v>17</v>
      </c>
      <c r="B20" s="12">
        <v>0</v>
      </c>
      <c r="C20" s="12">
        <v>0</v>
      </c>
      <c r="D20" s="12">
        <v>0</v>
      </c>
      <c r="E20" s="12">
        <v>0</v>
      </c>
      <c r="G20" s="6">
        <v>17</v>
      </c>
      <c r="H20" s="12">
        <v>0.3</v>
      </c>
      <c r="I20" s="12">
        <v>-0.35</v>
      </c>
      <c r="J20" s="12">
        <v>0.3</v>
      </c>
      <c r="K20" s="12">
        <v>-0.35</v>
      </c>
      <c r="L20">
        <v>2039</v>
      </c>
      <c r="N20" s="6">
        <v>17</v>
      </c>
      <c r="O20" s="12">
        <f t="shared" si="1"/>
        <v>0.15</v>
      </c>
      <c r="P20" s="12">
        <f t="shared" si="1"/>
        <v>-0.17499999999999999</v>
      </c>
      <c r="Q20" s="12">
        <f t="shared" si="1"/>
        <v>0.15</v>
      </c>
      <c r="R20" s="12">
        <f t="shared" si="1"/>
        <v>-0.17499999999999999</v>
      </c>
    </row>
    <row r="21" spans="1:18" x14ac:dyDescent="0.35">
      <c r="A21" s="6">
        <v>18</v>
      </c>
      <c r="B21" s="12">
        <v>0</v>
      </c>
      <c r="C21" s="12">
        <v>0</v>
      </c>
      <c r="D21" s="12">
        <v>0</v>
      </c>
      <c r="E21" s="12">
        <v>0</v>
      </c>
      <c r="G21" s="6">
        <v>18</v>
      </c>
      <c r="H21" s="12">
        <v>0.3</v>
      </c>
      <c r="I21" s="12">
        <v>-0.35</v>
      </c>
      <c r="J21" s="12">
        <v>0.3</v>
      </c>
      <c r="K21" s="12">
        <v>-0.35</v>
      </c>
      <c r="L21">
        <v>2040</v>
      </c>
      <c r="N21" s="6">
        <v>18</v>
      </c>
      <c r="O21" s="12">
        <f t="shared" si="1"/>
        <v>0.15</v>
      </c>
      <c r="P21" s="12">
        <f t="shared" si="1"/>
        <v>-0.17499999999999999</v>
      </c>
      <c r="Q21" s="12">
        <f t="shared" si="1"/>
        <v>0.15</v>
      </c>
      <c r="R21" s="12">
        <f t="shared" si="1"/>
        <v>-0.17499999999999999</v>
      </c>
    </row>
    <row r="22" spans="1:18" x14ac:dyDescent="0.35">
      <c r="A22" s="6">
        <v>19</v>
      </c>
      <c r="B22" s="12">
        <v>0</v>
      </c>
      <c r="C22" s="12">
        <v>0</v>
      </c>
      <c r="D22" s="12">
        <v>0</v>
      </c>
      <c r="E22" s="12">
        <v>0</v>
      </c>
      <c r="G22" s="6">
        <v>19</v>
      </c>
      <c r="H22" s="12">
        <v>0.3</v>
      </c>
      <c r="I22" s="12">
        <v>-0.35</v>
      </c>
      <c r="J22" s="12">
        <v>0.3</v>
      </c>
      <c r="K22" s="12">
        <v>-0.35</v>
      </c>
      <c r="L22">
        <v>2041</v>
      </c>
      <c r="N22" s="6">
        <v>19</v>
      </c>
      <c r="O22" s="12">
        <f t="shared" si="1"/>
        <v>0.15</v>
      </c>
      <c r="P22" s="12">
        <f t="shared" si="1"/>
        <v>-0.17499999999999999</v>
      </c>
      <c r="Q22" s="12">
        <f t="shared" si="1"/>
        <v>0.15</v>
      </c>
      <c r="R22" s="12">
        <f t="shared" si="1"/>
        <v>-0.17499999999999999</v>
      </c>
    </row>
    <row r="23" spans="1:18" x14ac:dyDescent="0.35">
      <c r="A23" s="6">
        <v>20</v>
      </c>
      <c r="B23" s="12">
        <v>0</v>
      </c>
      <c r="C23" s="12">
        <v>0</v>
      </c>
      <c r="D23" s="12">
        <v>0</v>
      </c>
      <c r="E23" s="12">
        <v>0</v>
      </c>
      <c r="G23" s="6">
        <v>20</v>
      </c>
      <c r="H23" s="12">
        <v>0.3</v>
      </c>
      <c r="I23" s="12">
        <v>-0.35</v>
      </c>
      <c r="J23" s="12">
        <v>0.3</v>
      </c>
      <c r="K23" s="12">
        <v>-0.35</v>
      </c>
      <c r="L23">
        <v>2042</v>
      </c>
      <c r="N23" s="6">
        <v>20</v>
      </c>
      <c r="O23" s="12">
        <f t="shared" si="1"/>
        <v>0.15</v>
      </c>
      <c r="P23" s="12">
        <f t="shared" si="1"/>
        <v>-0.17499999999999999</v>
      </c>
      <c r="Q23" s="12">
        <f t="shared" si="1"/>
        <v>0.15</v>
      </c>
      <c r="R23" s="12">
        <f t="shared" si="1"/>
        <v>-0.17499999999999999</v>
      </c>
    </row>
    <row r="24" spans="1:18" x14ac:dyDescent="0.35">
      <c r="A24" s="6">
        <v>21</v>
      </c>
      <c r="B24" s="12">
        <v>0</v>
      </c>
      <c r="C24" s="12">
        <v>0</v>
      </c>
      <c r="D24" s="12">
        <v>0</v>
      </c>
      <c r="E24" s="12">
        <v>0</v>
      </c>
      <c r="G24" s="6">
        <v>21</v>
      </c>
      <c r="H24" s="12">
        <v>0.3</v>
      </c>
      <c r="I24" s="12">
        <v>-0.35</v>
      </c>
      <c r="J24" s="12">
        <v>0.3</v>
      </c>
      <c r="K24" s="12">
        <v>-0.35</v>
      </c>
      <c r="L24">
        <v>2043</v>
      </c>
      <c r="N24" s="6">
        <v>21</v>
      </c>
      <c r="O24" s="12">
        <f t="shared" si="1"/>
        <v>0.15</v>
      </c>
      <c r="P24" s="12">
        <f t="shared" si="1"/>
        <v>-0.17499999999999999</v>
      </c>
      <c r="Q24" s="12">
        <f t="shared" si="1"/>
        <v>0.15</v>
      </c>
      <c r="R24" s="12">
        <f t="shared" si="1"/>
        <v>-0.17499999999999999</v>
      </c>
    </row>
    <row r="25" spans="1:18" x14ac:dyDescent="0.35">
      <c r="A25" s="6">
        <v>22</v>
      </c>
      <c r="B25" s="12">
        <v>0</v>
      </c>
      <c r="C25" s="12">
        <v>0</v>
      </c>
      <c r="D25" s="12">
        <v>0</v>
      </c>
      <c r="E25" s="12">
        <v>0</v>
      </c>
      <c r="G25" s="6">
        <v>22</v>
      </c>
      <c r="H25" s="12">
        <v>0.3</v>
      </c>
      <c r="I25" s="12">
        <v>-0.35</v>
      </c>
      <c r="J25" s="12">
        <v>0.3</v>
      </c>
      <c r="K25" s="12">
        <v>-0.35</v>
      </c>
      <c r="L25">
        <v>2044</v>
      </c>
      <c r="N25" s="6">
        <v>22</v>
      </c>
      <c r="O25" s="12">
        <f t="shared" si="1"/>
        <v>0.15</v>
      </c>
      <c r="P25" s="12">
        <f t="shared" si="1"/>
        <v>-0.17499999999999999</v>
      </c>
      <c r="Q25" s="12">
        <f t="shared" si="1"/>
        <v>0.15</v>
      </c>
      <c r="R25" s="12">
        <f t="shared" si="1"/>
        <v>-0.17499999999999999</v>
      </c>
    </row>
    <row r="26" spans="1:18" x14ac:dyDescent="0.35">
      <c r="A26" s="6">
        <v>23</v>
      </c>
      <c r="B26" s="12">
        <v>0</v>
      </c>
      <c r="C26" s="12">
        <v>0</v>
      </c>
      <c r="D26" s="12">
        <v>0</v>
      </c>
      <c r="E26" s="12">
        <v>0</v>
      </c>
      <c r="G26" s="6">
        <v>23</v>
      </c>
      <c r="H26" s="12">
        <v>0.3</v>
      </c>
      <c r="I26" s="12">
        <v>-0.35</v>
      </c>
      <c r="J26" s="12">
        <v>0.3</v>
      </c>
      <c r="K26" s="12">
        <v>-0.35</v>
      </c>
      <c r="L26">
        <v>2045</v>
      </c>
      <c r="N26" s="6">
        <v>23</v>
      </c>
      <c r="O26" s="12">
        <f t="shared" si="1"/>
        <v>0.15</v>
      </c>
      <c r="P26" s="12">
        <f t="shared" si="1"/>
        <v>-0.17499999999999999</v>
      </c>
      <c r="Q26" s="12">
        <f t="shared" si="1"/>
        <v>0.15</v>
      </c>
      <c r="R26" s="12">
        <f t="shared" si="1"/>
        <v>-0.17499999999999999</v>
      </c>
    </row>
    <row r="27" spans="1:18" x14ac:dyDescent="0.35">
      <c r="A27" s="6">
        <v>24</v>
      </c>
      <c r="B27" s="12">
        <v>0</v>
      </c>
      <c r="C27" s="12">
        <v>0</v>
      </c>
      <c r="D27" s="12">
        <v>0</v>
      </c>
      <c r="E27" s="12">
        <v>0</v>
      </c>
      <c r="G27" s="6">
        <v>24</v>
      </c>
      <c r="H27" s="12">
        <v>0.3</v>
      </c>
      <c r="I27" s="12">
        <v>-0.35</v>
      </c>
      <c r="J27" s="12">
        <v>0.3</v>
      </c>
      <c r="K27" s="12">
        <v>-0.35</v>
      </c>
      <c r="L27">
        <v>2046</v>
      </c>
      <c r="N27" s="6">
        <v>24</v>
      </c>
      <c r="O27" s="12">
        <f t="shared" si="1"/>
        <v>0.15</v>
      </c>
      <c r="P27" s="12">
        <f t="shared" si="1"/>
        <v>-0.17499999999999999</v>
      </c>
      <c r="Q27" s="12">
        <f t="shared" si="1"/>
        <v>0.15</v>
      </c>
      <c r="R27" s="12">
        <f t="shared" si="1"/>
        <v>-0.17499999999999999</v>
      </c>
    </row>
    <row r="28" spans="1:18" x14ac:dyDescent="0.35">
      <c r="A28" s="6">
        <v>25</v>
      </c>
      <c r="B28" s="12">
        <v>0</v>
      </c>
      <c r="C28" s="12">
        <v>0</v>
      </c>
      <c r="D28" s="12">
        <v>0</v>
      </c>
      <c r="E28" s="12">
        <v>0</v>
      </c>
      <c r="G28" s="6">
        <v>25</v>
      </c>
      <c r="H28" s="12">
        <v>0.3</v>
      </c>
      <c r="I28" s="12">
        <v>-0.35</v>
      </c>
      <c r="J28" s="12">
        <v>0.3</v>
      </c>
      <c r="K28" s="12">
        <v>-0.35</v>
      </c>
      <c r="L28">
        <v>2047</v>
      </c>
      <c r="N28" s="6">
        <v>25</v>
      </c>
      <c r="O28" s="12">
        <f t="shared" si="1"/>
        <v>0.15</v>
      </c>
      <c r="P28" s="12">
        <f t="shared" si="1"/>
        <v>-0.17499999999999999</v>
      </c>
      <c r="Q28" s="12">
        <f t="shared" si="1"/>
        <v>0.15</v>
      </c>
      <c r="R28" s="12">
        <f t="shared" si="1"/>
        <v>-0.17499999999999999</v>
      </c>
    </row>
    <row r="29" spans="1:18" x14ac:dyDescent="0.35">
      <c r="A29" s="6">
        <v>26</v>
      </c>
      <c r="B29" s="12">
        <v>0</v>
      </c>
      <c r="C29" s="12">
        <v>0</v>
      </c>
      <c r="D29" s="12">
        <v>0</v>
      </c>
      <c r="E29" s="12">
        <v>0</v>
      </c>
      <c r="G29" s="6">
        <v>26</v>
      </c>
      <c r="H29" s="12">
        <v>0.3</v>
      </c>
      <c r="I29" s="12">
        <v>-0.35</v>
      </c>
      <c r="J29" s="12">
        <v>0.3</v>
      </c>
      <c r="K29" s="12">
        <v>-0.35</v>
      </c>
      <c r="L29">
        <v>2048</v>
      </c>
      <c r="N29" s="6">
        <v>26</v>
      </c>
      <c r="O29" s="12">
        <f t="shared" si="1"/>
        <v>0.15</v>
      </c>
      <c r="P29" s="12">
        <f t="shared" si="1"/>
        <v>-0.17499999999999999</v>
      </c>
      <c r="Q29" s="12">
        <f t="shared" si="1"/>
        <v>0.15</v>
      </c>
      <c r="R29" s="12">
        <f t="shared" si="1"/>
        <v>-0.17499999999999999</v>
      </c>
    </row>
    <row r="30" spans="1:18" x14ac:dyDescent="0.35">
      <c r="A30" s="6">
        <v>27</v>
      </c>
      <c r="B30" s="12">
        <v>0</v>
      </c>
      <c r="C30" s="12">
        <v>0</v>
      </c>
      <c r="D30" s="12">
        <v>0</v>
      </c>
      <c r="E30" s="12">
        <v>0</v>
      </c>
      <c r="G30" s="6">
        <v>27</v>
      </c>
      <c r="H30" s="12">
        <v>0.3</v>
      </c>
      <c r="I30" s="12">
        <v>-0.35</v>
      </c>
      <c r="J30" s="12">
        <v>0.3</v>
      </c>
      <c r="K30" s="12">
        <v>-0.35</v>
      </c>
      <c r="L30">
        <v>2049</v>
      </c>
      <c r="N30" s="6">
        <v>27</v>
      </c>
      <c r="O30" s="12">
        <f t="shared" si="1"/>
        <v>0.15</v>
      </c>
      <c r="P30" s="12">
        <f t="shared" si="1"/>
        <v>-0.17499999999999999</v>
      </c>
      <c r="Q30" s="12">
        <f t="shared" si="1"/>
        <v>0.15</v>
      </c>
      <c r="R30" s="12">
        <f t="shared" si="1"/>
        <v>-0.17499999999999999</v>
      </c>
    </row>
    <row r="31" spans="1:18" x14ac:dyDescent="0.35">
      <c r="A31" s="6">
        <v>28</v>
      </c>
      <c r="B31" s="12">
        <v>0</v>
      </c>
      <c r="C31" s="12">
        <v>0</v>
      </c>
      <c r="D31" s="12">
        <v>0</v>
      </c>
      <c r="E31" s="12">
        <v>0</v>
      </c>
      <c r="G31" s="6">
        <v>28</v>
      </c>
      <c r="H31" s="12">
        <v>0.3</v>
      </c>
      <c r="I31" s="12">
        <v>-0.35</v>
      </c>
      <c r="J31" s="12">
        <v>0.3</v>
      </c>
      <c r="K31" s="12">
        <v>-0.35</v>
      </c>
      <c r="L31">
        <v>2050</v>
      </c>
      <c r="N31" s="6">
        <v>28</v>
      </c>
      <c r="O31" s="12">
        <f t="shared" si="1"/>
        <v>0.15</v>
      </c>
      <c r="P31" s="12">
        <f t="shared" si="1"/>
        <v>-0.17499999999999999</v>
      </c>
      <c r="Q31" s="12">
        <f t="shared" si="1"/>
        <v>0.15</v>
      </c>
      <c r="R31" s="12">
        <f t="shared" si="1"/>
        <v>-0.17499999999999999</v>
      </c>
    </row>
    <row r="34" spans="14:15" x14ac:dyDescent="0.35">
      <c r="N34">
        <f>(5000/1800)</f>
        <v>2.7777777777777777</v>
      </c>
      <c r="O34">
        <f>POWER(N34,1/10)</f>
        <v>1.1075663432482898</v>
      </c>
    </row>
  </sheetData>
  <mergeCells count="3">
    <mergeCell ref="B1:E1"/>
    <mergeCell ref="H1:K1"/>
    <mergeCell ref="O1:R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2FD5-659F-4074-8C7B-4B5538BCB624}">
  <sheetPr codeName="Sheet9"/>
  <dimension ref="A1:R34"/>
  <sheetViews>
    <sheetView topLeftCell="A11" workbookViewId="0">
      <selection activeCell="N11" sqref="N1:R1048576"/>
    </sheetView>
  </sheetViews>
  <sheetFormatPr defaultRowHeight="14.5" x14ac:dyDescent="0.35"/>
  <sheetData>
    <row r="1" spans="1:18" x14ac:dyDescent="0.35">
      <c r="A1" s="7"/>
      <c r="B1" s="87" t="s">
        <v>28</v>
      </c>
      <c r="C1" s="87"/>
      <c r="D1" s="87"/>
      <c r="E1" s="87"/>
      <c r="G1" s="7"/>
      <c r="H1" s="87" t="s">
        <v>27</v>
      </c>
      <c r="I1" s="87"/>
      <c r="J1" s="87"/>
      <c r="K1" s="87"/>
      <c r="N1" s="7"/>
      <c r="O1" s="87" t="s">
        <v>148</v>
      </c>
      <c r="P1" s="87"/>
      <c r="Q1" s="87"/>
      <c r="R1" s="87"/>
    </row>
    <row r="2" spans="1:18" ht="29" x14ac:dyDescent="0.35">
      <c r="A2" s="4" t="s">
        <v>0</v>
      </c>
      <c r="B2" s="5" t="s">
        <v>29</v>
      </c>
      <c r="C2" s="5" t="s">
        <v>30</v>
      </c>
      <c r="D2" s="5" t="s">
        <v>31</v>
      </c>
      <c r="E2" s="5" t="s">
        <v>32</v>
      </c>
      <c r="F2" s="2"/>
      <c r="G2" s="4" t="s">
        <v>0</v>
      </c>
      <c r="H2" s="5" t="s">
        <v>29</v>
      </c>
      <c r="I2" s="5" t="s">
        <v>30</v>
      </c>
      <c r="J2" s="5" t="s">
        <v>31</v>
      </c>
      <c r="K2" s="5" t="s">
        <v>32</v>
      </c>
      <c r="N2" s="4" t="s">
        <v>0</v>
      </c>
      <c r="O2" s="5" t="s">
        <v>29</v>
      </c>
      <c r="P2" s="5" t="s">
        <v>30</v>
      </c>
      <c r="Q2" s="5" t="s">
        <v>31</v>
      </c>
      <c r="R2" s="5" t="s">
        <v>32</v>
      </c>
    </row>
    <row r="3" spans="1:18" x14ac:dyDescent="0.35">
      <c r="A3" s="6">
        <v>0</v>
      </c>
      <c r="B3" s="12">
        <v>0</v>
      </c>
      <c r="C3" s="12">
        <v>0</v>
      </c>
      <c r="D3" s="12">
        <v>0</v>
      </c>
      <c r="E3" s="12">
        <v>0</v>
      </c>
      <c r="G3" s="6">
        <v>0</v>
      </c>
      <c r="H3" s="12">
        <v>0</v>
      </c>
      <c r="I3" s="12">
        <v>0</v>
      </c>
      <c r="J3" s="12">
        <v>0</v>
      </c>
      <c r="K3" s="12">
        <v>0</v>
      </c>
      <c r="L3">
        <v>2022</v>
      </c>
      <c r="N3" s="6">
        <v>0</v>
      </c>
      <c r="O3" s="12">
        <f>(B3+H3)/2</f>
        <v>0</v>
      </c>
      <c r="P3" s="12">
        <f t="shared" ref="P3:R3" si="0">(C3+I3)/2</f>
        <v>0</v>
      </c>
      <c r="Q3" s="12">
        <f t="shared" si="0"/>
        <v>0</v>
      </c>
      <c r="R3" s="12">
        <f t="shared" si="0"/>
        <v>0</v>
      </c>
    </row>
    <row r="4" spans="1:18" x14ac:dyDescent="0.35">
      <c r="A4" s="6">
        <v>1</v>
      </c>
      <c r="B4" s="12">
        <v>0</v>
      </c>
      <c r="C4" s="12">
        <v>0</v>
      </c>
      <c r="D4" s="12">
        <v>0</v>
      </c>
      <c r="E4" s="12">
        <v>0</v>
      </c>
      <c r="G4" s="6">
        <v>1</v>
      </c>
      <c r="H4" s="12">
        <v>2.5000000000000001E-2</v>
      </c>
      <c r="I4" s="12">
        <v>-0.15</v>
      </c>
      <c r="J4" s="12">
        <v>2.5000000000000001E-2</v>
      </c>
      <c r="K4" s="12">
        <v>-0.15</v>
      </c>
      <c r="L4">
        <v>2023</v>
      </c>
      <c r="N4" s="6">
        <v>1</v>
      </c>
      <c r="O4" s="12">
        <f t="shared" ref="O4:O31" si="1">(B4+H4)/2</f>
        <v>1.2500000000000001E-2</v>
      </c>
      <c r="P4" s="12">
        <f t="shared" ref="P4:P31" si="2">(C4+I4)/2</f>
        <v>-7.4999999999999997E-2</v>
      </c>
      <c r="Q4" s="12">
        <f t="shared" ref="Q4:Q31" si="3">(D4+J4)/2</f>
        <v>1.2500000000000001E-2</v>
      </c>
      <c r="R4" s="12">
        <f t="shared" ref="R4:R31" si="4">(E4+K4)/2</f>
        <v>-7.4999999999999997E-2</v>
      </c>
    </row>
    <row r="5" spans="1:18" x14ac:dyDescent="0.35">
      <c r="A5" s="6">
        <v>2</v>
      </c>
      <c r="B5" s="12">
        <v>0</v>
      </c>
      <c r="C5" s="12">
        <v>0</v>
      </c>
      <c r="D5" s="12">
        <v>0</v>
      </c>
      <c r="E5" s="12">
        <v>0</v>
      </c>
      <c r="G5" s="6">
        <v>2</v>
      </c>
      <c r="H5" s="12">
        <v>0.05</v>
      </c>
      <c r="I5" s="12">
        <v>-0.15</v>
      </c>
      <c r="J5" s="12">
        <v>0.05</v>
      </c>
      <c r="K5" s="12">
        <v>-0.15</v>
      </c>
      <c r="L5">
        <v>2024</v>
      </c>
      <c r="N5" s="6">
        <v>2</v>
      </c>
      <c r="O5" s="12">
        <f t="shared" si="1"/>
        <v>2.5000000000000001E-2</v>
      </c>
      <c r="P5" s="12">
        <f t="shared" si="2"/>
        <v>-7.4999999999999997E-2</v>
      </c>
      <c r="Q5" s="12">
        <f t="shared" si="3"/>
        <v>2.5000000000000001E-2</v>
      </c>
      <c r="R5" s="12">
        <f t="shared" si="4"/>
        <v>-7.4999999999999997E-2</v>
      </c>
    </row>
    <row r="6" spans="1:18" x14ac:dyDescent="0.35">
      <c r="A6" s="6">
        <v>3</v>
      </c>
      <c r="B6" s="12">
        <v>0</v>
      </c>
      <c r="C6" s="12">
        <v>0</v>
      </c>
      <c r="D6" s="12">
        <v>0</v>
      </c>
      <c r="E6" s="12">
        <v>0</v>
      </c>
      <c r="G6" s="6">
        <v>3</v>
      </c>
      <c r="H6" s="12">
        <v>0.75</v>
      </c>
      <c r="I6" s="12">
        <v>-0.15</v>
      </c>
      <c r="J6" s="12">
        <v>0.75</v>
      </c>
      <c r="K6" s="12">
        <v>-0.15</v>
      </c>
      <c r="L6">
        <v>2025</v>
      </c>
      <c r="N6" s="6">
        <v>3</v>
      </c>
      <c r="O6" s="12">
        <f t="shared" si="1"/>
        <v>0.375</v>
      </c>
      <c r="P6" s="12">
        <f t="shared" si="2"/>
        <v>-7.4999999999999997E-2</v>
      </c>
      <c r="Q6" s="12">
        <f t="shared" si="3"/>
        <v>0.375</v>
      </c>
      <c r="R6" s="12">
        <f t="shared" si="4"/>
        <v>-7.4999999999999997E-2</v>
      </c>
    </row>
    <row r="7" spans="1:18" x14ac:dyDescent="0.35">
      <c r="A7" s="6">
        <v>4</v>
      </c>
      <c r="B7" s="12">
        <v>0</v>
      </c>
      <c r="C7" s="12">
        <v>0</v>
      </c>
      <c r="D7" s="12">
        <v>0</v>
      </c>
      <c r="E7" s="12">
        <v>0</v>
      </c>
      <c r="G7" s="6">
        <v>4</v>
      </c>
      <c r="H7" s="12">
        <v>0.1</v>
      </c>
      <c r="I7" s="12">
        <v>-0.15</v>
      </c>
      <c r="J7" s="12">
        <v>0.1</v>
      </c>
      <c r="K7" s="12">
        <v>-0.15</v>
      </c>
      <c r="L7">
        <v>2026</v>
      </c>
      <c r="N7" s="6">
        <v>4</v>
      </c>
      <c r="O7" s="12">
        <f t="shared" si="1"/>
        <v>0.05</v>
      </c>
      <c r="P7" s="12">
        <f t="shared" si="2"/>
        <v>-7.4999999999999997E-2</v>
      </c>
      <c r="Q7" s="12">
        <f t="shared" si="3"/>
        <v>0.05</v>
      </c>
      <c r="R7" s="12">
        <f t="shared" si="4"/>
        <v>-7.4999999999999997E-2</v>
      </c>
    </row>
    <row r="8" spans="1:18" x14ac:dyDescent="0.35">
      <c r="A8" s="6">
        <v>5</v>
      </c>
      <c r="B8" s="12">
        <v>0</v>
      </c>
      <c r="C8" s="12">
        <v>0</v>
      </c>
      <c r="D8" s="12">
        <v>0</v>
      </c>
      <c r="E8" s="12">
        <v>0</v>
      </c>
      <c r="G8" s="6">
        <v>5</v>
      </c>
      <c r="H8" s="12">
        <v>0.1</v>
      </c>
      <c r="I8" s="12">
        <v>-0.15</v>
      </c>
      <c r="J8" s="12">
        <v>0.1</v>
      </c>
      <c r="K8" s="12">
        <v>-0.15</v>
      </c>
      <c r="L8">
        <v>2027</v>
      </c>
      <c r="N8" s="6">
        <v>5</v>
      </c>
      <c r="O8" s="12">
        <f t="shared" si="1"/>
        <v>0.05</v>
      </c>
      <c r="P8" s="12">
        <f t="shared" si="2"/>
        <v>-7.4999999999999997E-2</v>
      </c>
      <c r="Q8" s="12">
        <f t="shared" si="3"/>
        <v>0.05</v>
      </c>
      <c r="R8" s="12">
        <f t="shared" si="4"/>
        <v>-7.4999999999999997E-2</v>
      </c>
    </row>
    <row r="9" spans="1:18" x14ac:dyDescent="0.35">
      <c r="A9" s="6">
        <v>6</v>
      </c>
      <c r="B9" s="12">
        <v>0</v>
      </c>
      <c r="C9" s="12">
        <v>0</v>
      </c>
      <c r="D9" s="12">
        <v>0</v>
      </c>
      <c r="E9" s="12">
        <v>0</v>
      </c>
      <c r="G9" s="6">
        <v>6</v>
      </c>
      <c r="H9" s="12">
        <v>0.1</v>
      </c>
      <c r="I9" s="12">
        <v>-0.15</v>
      </c>
      <c r="J9" s="12">
        <v>0.1</v>
      </c>
      <c r="K9" s="12">
        <v>-0.15</v>
      </c>
      <c r="L9">
        <v>2028</v>
      </c>
      <c r="N9" s="6">
        <v>6</v>
      </c>
      <c r="O9" s="12">
        <f t="shared" si="1"/>
        <v>0.05</v>
      </c>
      <c r="P9" s="12">
        <f t="shared" si="2"/>
        <v>-7.4999999999999997E-2</v>
      </c>
      <c r="Q9" s="12">
        <f t="shared" si="3"/>
        <v>0.05</v>
      </c>
      <c r="R9" s="12">
        <f t="shared" si="4"/>
        <v>-7.4999999999999997E-2</v>
      </c>
    </row>
    <row r="10" spans="1:18" x14ac:dyDescent="0.35">
      <c r="A10" s="6">
        <v>7</v>
      </c>
      <c r="B10" s="12">
        <v>0</v>
      </c>
      <c r="C10" s="12">
        <v>0</v>
      </c>
      <c r="D10" s="12">
        <v>0</v>
      </c>
      <c r="E10" s="12">
        <v>0</v>
      </c>
      <c r="G10" s="6">
        <v>7</v>
      </c>
      <c r="H10" s="12">
        <v>0.1</v>
      </c>
      <c r="I10" s="12">
        <v>-0.15</v>
      </c>
      <c r="J10" s="12">
        <v>0.1</v>
      </c>
      <c r="K10" s="12">
        <v>-0.15</v>
      </c>
      <c r="L10">
        <v>2029</v>
      </c>
      <c r="N10" s="6">
        <v>7</v>
      </c>
      <c r="O10" s="12">
        <f t="shared" si="1"/>
        <v>0.05</v>
      </c>
      <c r="P10" s="12">
        <f t="shared" si="2"/>
        <v>-7.4999999999999997E-2</v>
      </c>
      <c r="Q10" s="12">
        <f t="shared" si="3"/>
        <v>0.05</v>
      </c>
      <c r="R10" s="12">
        <f t="shared" si="4"/>
        <v>-7.4999999999999997E-2</v>
      </c>
    </row>
    <row r="11" spans="1:18" x14ac:dyDescent="0.35">
      <c r="A11" s="6">
        <v>8</v>
      </c>
      <c r="B11" s="12">
        <v>0</v>
      </c>
      <c r="C11" s="12">
        <v>0</v>
      </c>
      <c r="D11" s="12">
        <v>0</v>
      </c>
      <c r="E11" s="12">
        <v>0</v>
      </c>
      <c r="G11" s="6">
        <v>8</v>
      </c>
      <c r="H11" s="12">
        <v>0.1</v>
      </c>
      <c r="I11" s="12">
        <v>-0.15</v>
      </c>
      <c r="J11" s="12">
        <v>0.1</v>
      </c>
      <c r="K11" s="12">
        <v>-0.15</v>
      </c>
      <c r="L11">
        <v>2030</v>
      </c>
      <c r="N11" s="6">
        <v>8</v>
      </c>
      <c r="O11" s="12">
        <f t="shared" si="1"/>
        <v>0.05</v>
      </c>
      <c r="P11" s="12">
        <f t="shared" si="2"/>
        <v>-7.4999999999999997E-2</v>
      </c>
      <c r="Q11" s="12">
        <f t="shared" si="3"/>
        <v>0.05</v>
      </c>
      <c r="R11" s="12">
        <f t="shared" si="4"/>
        <v>-7.4999999999999997E-2</v>
      </c>
    </row>
    <row r="12" spans="1:18" x14ac:dyDescent="0.35">
      <c r="A12" s="6">
        <v>9</v>
      </c>
      <c r="B12" s="12">
        <v>0</v>
      </c>
      <c r="C12" s="12">
        <v>0</v>
      </c>
      <c r="D12" s="12">
        <v>0</v>
      </c>
      <c r="E12" s="12">
        <v>0</v>
      </c>
      <c r="G12" s="6">
        <v>9</v>
      </c>
      <c r="H12" s="12">
        <v>0.1</v>
      </c>
      <c r="I12" s="12">
        <v>-0.15</v>
      </c>
      <c r="J12" s="12">
        <v>0.1</v>
      </c>
      <c r="K12" s="12">
        <v>-0.15</v>
      </c>
      <c r="L12">
        <v>2031</v>
      </c>
      <c r="N12" s="6">
        <v>9</v>
      </c>
      <c r="O12" s="12">
        <f t="shared" si="1"/>
        <v>0.05</v>
      </c>
      <c r="P12" s="12">
        <f t="shared" si="2"/>
        <v>-7.4999999999999997E-2</v>
      </c>
      <c r="Q12" s="12">
        <f t="shared" si="3"/>
        <v>0.05</v>
      </c>
      <c r="R12" s="12">
        <f t="shared" si="4"/>
        <v>-7.4999999999999997E-2</v>
      </c>
    </row>
    <row r="13" spans="1:18" x14ac:dyDescent="0.35">
      <c r="A13" s="6">
        <v>10</v>
      </c>
      <c r="B13" s="12">
        <v>0</v>
      </c>
      <c r="C13" s="12">
        <v>0</v>
      </c>
      <c r="D13" s="12">
        <v>0</v>
      </c>
      <c r="E13" s="12">
        <v>0</v>
      </c>
      <c r="G13" s="6">
        <v>10</v>
      </c>
      <c r="H13" s="12">
        <v>0.1</v>
      </c>
      <c r="I13" s="12">
        <v>-0.15</v>
      </c>
      <c r="J13" s="12">
        <v>0.1</v>
      </c>
      <c r="K13" s="12">
        <v>-0.15</v>
      </c>
      <c r="L13">
        <v>2032</v>
      </c>
      <c r="N13" s="6">
        <v>10</v>
      </c>
      <c r="O13" s="12">
        <f t="shared" si="1"/>
        <v>0.05</v>
      </c>
      <c r="P13" s="12">
        <f t="shared" si="2"/>
        <v>-7.4999999999999997E-2</v>
      </c>
      <c r="Q13" s="12">
        <f t="shared" si="3"/>
        <v>0.05</v>
      </c>
      <c r="R13" s="12">
        <f t="shared" si="4"/>
        <v>-7.4999999999999997E-2</v>
      </c>
    </row>
    <row r="14" spans="1:18" x14ac:dyDescent="0.35">
      <c r="A14" s="6">
        <v>11</v>
      </c>
      <c r="B14" s="12">
        <v>0</v>
      </c>
      <c r="C14" s="12">
        <v>0</v>
      </c>
      <c r="D14" s="12">
        <v>0</v>
      </c>
      <c r="E14" s="12">
        <v>0</v>
      </c>
      <c r="G14" s="6">
        <v>11</v>
      </c>
      <c r="H14" s="12">
        <v>0.1</v>
      </c>
      <c r="I14" s="12">
        <v>-0.15</v>
      </c>
      <c r="J14" s="12">
        <v>0.1</v>
      </c>
      <c r="K14" s="12">
        <v>-0.15</v>
      </c>
      <c r="L14">
        <v>2033</v>
      </c>
      <c r="N14" s="6">
        <v>11</v>
      </c>
      <c r="O14" s="12">
        <f t="shared" si="1"/>
        <v>0.05</v>
      </c>
      <c r="P14" s="12">
        <f t="shared" si="2"/>
        <v>-7.4999999999999997E-2</v>
      </c>
      <c r="Q14" s="12">
        <f t="shared" si="3"/>
        <v>0.05</v>
      </c>
      <c r="R14" s="12">
        <f t="shared" si="4"/>
        <v>-7.4999999999999997E-2</v>
      </c>
    </row>
    <row r="15" spans="1:18" x14ac:dyDescent="0.35">
      <c r="A15" s="6">
        <v>12</v>
      </c>
      <c r="B15" s="12">
        <v>0</v>
      </c>
      <c r="C15" s="12">
        <v>0</v>
      </c>
      <c r="D15" s="12">
        <v>0</v>
      </c>
      <c r="E15" s="12">
        <v>0</v>
      </c>
      <c r="G15" s="6">
        <v>12</v>
      </c>
      <c r="H15" s="12">
        <v>0.1</v>
      </c>
      <c r="I15" s="12">
        <v>-0.15</v>
      </c>
      <c r="J15" s="12">
        <v>0.1</v>
      </c>
      <c r="K15" s="12">
        <v>-0.15</v>
      </c>
      <c r="L15">
        <v>2034</v>
      </c>
      <c r="N15" s="6">
        <v>12</v>
      </c>
      <c r="O15" s="12">
        <f t="shared" si="1"/>
        <v>0.05</v>
      </c>
      <c r="P15" s="12">
        <f t="shared" si="2"/>
        <v>-7.4999999999999997E-2</v>
      </c>
      <c r="Q15" s="12">
        <f t="shared" si="3"/>
        <v>0.05</v>
      </c>
      <c r="R15" s="12">
        <f t="shared" si="4"/>
        <v>-7.4999999999999997E-2</v>
      </c>
    </row>
    <row r="16" spans="1:18" x14ac:dyDescent="0.35">
      <c r="A16" s="6">
        <v>13</v>
      </c>
      <c r="B16" s="12">
        <v>0</v>
      </c>
      <c r="C16" s="12">
        <v>0</v>
      </c>
      <c r="D16" s="12">
        <v>0</v>
      </c>
      <c r="E16" s="12">
        <v>0</v>
      </c>
      <c r="G16" s="6">
        <v>13</v>
      </c>
      <c r="H16" s="12">
        <v>0.1</v>
      </c>
      <c r="I16" s="12">
        <v>-0.15</v>
      </c>
      <c r="J16" s="12">
        <v>0.1</v>
      </c>
      <c r="K16" s="12">
        <v>-0.15</v>
      </c>
      <c r="L16">
        <v>2035</v>
      </c>
      <c r="N16" s="6">
        <v>13</v>
      </c>
      <c r="O16" s="12">
        <f t="shared" si="1"/>
        <v>0.05</v>
      </c>
      <c r="P16" s="12">
        <f t="shared" si="2"/>
        <v>-7.4999999999999997E-2</v>
      </c>
      <c r="Q16" s="12">
        <f t="shared" si="3"/>
        <v>0.05</v>
      </c>
      <c r="R16" s="12">
        <f t="shared" si="4"/>
        <v>-7.4999999999999997E-2</v>
      </c>
    </row>
    <row r="17" spans="1:18" x14ac:dyDescent="0.35">
      <c r="A17" s="6">
        <v>14</v>
      </c>
      <c r="B17" s="12">
        <v>0</v>
      </c>
      <c r="C17" s="12">
        <v>0</v>
      </c>
      <c r="D17" s="12">
        <v>0</v>
      </c>
      <c r="E17" s="12">
        <v>0</v>
      </c>
      <c r="G17" s="6">
        <v>14</v>
      </c>
      <c r="H17" s="12">
        <v>0.1</v>
      </c>
      <c r="I17" s="12">
        <v>-0.15</v>
      </c>
      <c r="J17" s="12">
        <v>0.1</v>
      </c>
      <c r="K17" s="12">
        <v>-0.15</v>
      </c>
      <c r="L17">
        <v>2036</v>
      </c>
      <c r="N17" s="6">
        <v>14</v>
      </c>
      <c r="O17" s="12">
        <f t="shared" si="1"/>
        <v>0.05</v>
      </c>
      <c r="P17" s="12">
        <f t="shared" si="2"/>
        <v>-7.4999999999999997E-2</v>
      </c>
      <c r="Q17" s="12">
        <f t="shared" si="3"/>
        <v>0.05</v>
      </c>
      <c r="R17" s="12">
        <f t="shared" si="4"/>
        <v>-7.4999999999999997E-2</v>
      </c>
    </row>
    <row r="18" spans="1:18" x14ac:dyDescent="0.35">
      <c r="A18" s="6">
        <v>15</v>
      </c>
      <c r="B18" s="12">
        <v>0</v>
      </c>
      <c r="C18" s="12">
        <v>0</v>
      </c>
      <c r="D18" s="12">
        <v>0</v>
      </c>
      <c r="E18" s="12">
        <v>0</v>
      </c>
      <c r="G18" s="6">
        <v>15</v>
      </c>
      <c r="H18" s="12">
        <v>0.1</v>
      </c>
      <c r="I18" s="12">
        <v>-0.15</v>
      </c>
      <c r="J18" s="12">
        <v>0.1</v>
      </c>
      <c r="K18" s="12">
        <v>-0.15</v>
      </c>
      <c r="L18">
        <v>2037</v>
      </c>
      <c r="N18" s="6">
        <v>15</v>
      </c>
      <c r="O18" s="12">
        <f t="shared" si="1"/>
        <v>0.05</v>
      </c>
      <c r="P18" s="12">
        <f t="shared" si="2"/>
        <v>-7.4999999999999997E-2</v>
      </c>
      <c r="Q18" s="12">
        <f t="shared" si="3"/>
        <v>0.05</v>
      </c>
      <c r="R18" s="12">
        <f t="shared" si="4"/>
        <v>-7.4999999999999997E-2</v>
      </c>
    </row>
    <row r="19" spans="1:18" x14ac:dyDescent="0.35">
      <c r="A19" s="6">
        <v>16</v>
      </c>
      <c r="B19" s="12">
        <v>0</v>
      </c>
      <c r="C19" s="12">
        <v>0</v>
      </c>
      <c r="D19" s="12">
        <v>0</v>
      </c>
      <c r="E19" s="12">
        <v>0</v>
      </c>
      <c r="G19" s="6">
        <v>16</v>
      </c>
      <c r="H19" s="12">
        <v>0.1</v>
      </c>
      <c r="I19" s="12">
        <v>-0.15</v>
      </c>
      <c r="J19" s="12">
        <v>0.1</v>
      </c>
      <c r="K19" s="12">
        <v>-0.15</v>
      </c>
      <c r="L19">
        <v>2038</v>
      </c>
      <c r="N19" s="6">
        <v>16</v>
      </c>
      <c r="O19" s="12">
        <f t="shared" si="1"/>
        <v>0.05</v>
      </c>
      <c r="P19" s="12">
        <f t="shared" si="2"/>
        <v>-7.4999999999999997E-2</v>
      </c>
      <c r="Q19" s="12">
        <f t="shared" si="3"/>
        <v>0.05</v>
      </c>
      <c r="R19" s="12">
        <f t="shared" si="4"/>
        <v>-7.4999999999999997E-2</v>
      </c>
    </row>
    <row r="20" spans="1:18" x14ac:dyDescent="0.35">
      <c r="A20" s="6">
        <v>17</v>
      </c>
      <c r="B20" s="12">
        <v>0</v>
      </c>
      <c r="C20" s="12">
        <v>0</v>
      </c>
      <c r="D20" s="12">
        <v>0</v>
      </c>
      <c r="E20" s="12">
        <v>0</v>
      </c>
      <c r="G20" s="6">
        <v>17</v>
      </c>
      <c r="H20" s="12">
        <v>0.1</v>
      </c>
      <c r="I20" s="12">
        <v>-0.15</v>
      </c>
      <c r="J20" s="12">
        <v>0.1</v>
      </c>
      <c r="K20" s="12">
        <v>-0.15</v>
      </c>
      <c r="L20">
        <v>2039</v>
      </c>
      <c r="N20" s="6">
        <v>17</v>
      </c>
      <c r="O20" s="12">
        <f t="shared" si="1"/>
        <v>0.05</v>
      </c>
      <c r="P20" s="12">
        <f t="shared" si="2"/>
        <v>-7.4999999999999997E-2</v>
      </c>
      <c r="Q20" s="12">
        <f t="shared" si="3"/>
        <v>0.05</v>
      </c>
      <c r="R20" s="12">
        <f t="shared" si="4"/>
        <v>-7.4999999999999997E-2</v>
      </c>
    </row>
    <row r="21" spans="1:18" x14ac:dyDescent="0.35">
      <c r="A21" s="6">
        <v>18</v>
      </c>
      <c r="B21" s="12">
        <v>0</v>
      </c>
      <c r="C21" s="12">
        <v>0</v>
      </c>
      <c r="D21" s="12">
        <v>0</v>
      </c>
      <c r="E21" s="12">
        <v>0</v>
      </c>
      <c r="G21" s="6">
        <v>18</v>
      </c>
      <c r="H21" s="12">
        <v>0.1</v>
      </c>
      <c r="I21" s="12">
        <v>-0.15</v>
      </c>
      <c r="J21" s="12">
        <v>0.1</v>
      </c>
      <c r="K21" s="12">
        <v>-0.15</v>
      </c>
      <c r="L21">
        <v>2040</v>
      </c>
      <c r="N21" s="6">
        <v>18</v>
      </c>
      <c r="O21" s="12">
        <f t="shared" si="1"/>
        <v>0.05</v>
      </c>
      <c r="P21" s="12">
        <f t="shared" si="2"/>
        <v>-7.4999999999999997E-2</v>
      </c>
      <c r="Q21" s="12">
        <f t="shared" si="3"/>
        <v>0.05</v>
      </c>
      <c r="R21" s="12">
        <f t="shared" si="4"/>
        <v>-7.4999999999999997E-2</v>
      </c>
    </row>
    <row r="22" spans="1:18" x14ac:dyDescent="0.35">
      <c r="A22" s="6">
        <v>19</v>
      </c>
      <c r="B22" s="12">
        <v>0</v>
      </c>
      <c r="C22" s="12">
        <v>0</v>
      </c>
      <c r="D22" s="12">
        <v>0</v>
      </c>
      <c r="E22" s="12">
        <v>0</v>
      </c>
      <c r="G22" s="6">
        <v>19</v>
      </c>
      <c r="H22" s="12">
        <v>0.1</v>
      </c>
      <c r="I22" s="12">
        <v>-0.15</v>
      </c>
      <c r="J22" s="12">
        <v>0.1</v>
      </c>
      <c r="K22" s="12">
        <v>-0.15</v>
      </c>
      <c r="L22">
        <v>2041</v>
      </c>
      <c r="N22" s="6">
        <v>19</v>
      </c>
      <c r="O22" s="12">
        <f t="shared" si="1"/>
        <v>0.05</v>
      </c>
      <c r="P22" s="12">
        <f t="shared" si="2"/>
        <v>-7.4999999999999997E-2</v>
      </c>
      <c r="Q22" s="12">
        <f t="shared" si="3"/>
        <v>0.05</v>
      </c>
      <c r="R22" s="12">
        <f t="shared" si="4"/>
        <v>-7.4999999999999997E-2</v>
      </c>
    </row>
    <row r="23" spans="1:18" x14ac:dyDescent="0.35">
      <c r="A23" s="6">
        <v>20</v>
      </c>
      <c r="B23" s="12">
        <v>0</v>
      </c>
      <c r="C23" s="12">
        <v>0</v>
      </c>
      <c r="D23" s="12">
        <v>0</v>
      </c>
      <c r="E23" s="12">
        <v>0</v>
      </c>
      <c r="G23" s="6">
        <v>20</v>
      </c>
      <c r="H23" s="12">
        <v>0.1</v>
      </c>
      <c r="I23" s="12">
        <v>-0.15</v>
      </c>
      <c r="J23" s="12">
        <v>0.1</v>
      </c>
      <c r="K23" s="12">
        <v>-0.15</v>
      </c>
      <c r="L23">
        <v>2042</v>
      </c>
      <c r="N23" s="6">
        <v>20</v>
      </c>
      <c r="O23" s="12">
        <f t="shared" si="1"/>
        <v>0.05</v>
      </c>
      <c r="P23" s="12">
        <f t="shared" si="2"/>
        <v>-7.4999999999999997E-2</v>
      </c>
      <c r="Q23" s="12">
        <f t="shared" si="3"/>
        <v>0.05</v>
      </c>
      <c r="R23" s="12">
        <f t="shared" si="4"/>
        <v>-7.4999999999999997E-2</v>
      </c>
    </row>
    <row r="24" spans="1:18" x14ac:dyDescent="0.35">
      <c r="A24" s="6">
        <v>21</v>
      </c>
      <c r="B24" s="12">
        <v>0</v>
      </c>
      <c r="C24" s="12">
        <v>0</v>
      </c>
      <c r="D24" s="12">
        <v>0</v>
      </c>
      <c r="E24" s="12">
        <v>0</v>
      </c>
      <c r="G24" s="6">
        <v>21</v>
      </c>
      <c r="H24" s="12">
        <v>0.1</v>
      </c>
      <c r="I24" s="12">
        <v>-0.15</v>
      </c>
      <c r="J24" s="12">
        <v>0.1</v>
      </c>
      <c r="K24" s="12">
        <v>-0.15</v>
      </c>
      <c r="L24">
        <v>2043</v>
      </c>
      <c r="N24" s="6">
        <v>21</v>
      </c>
      <c r="O24" s="12">
        <f t="shared" si="1"/>
        <v>0.05</v>
      </c>
      <c r="P24" s="12">
        <f t="shared" si="2"/>
        <v>-7.4999999999999997E-2</v>
      </c>
      <c r="Q24" s="12">
        <f t="shared" si="3"/>
        <v>0.05</v>
      </c>
      <c r="R24" s="12">
        <f t="shared" si="4"/>
        <v>-7.4999999999999997E-2</v>
      </c>
    </row>
    <row r="25" spans="1:18" x14ac:dyDescent="0.35">
      <c r="A25" s="6">
        <v>22</v>
      </c>
      <c r="B25" s="12">
        <v>0</v>
      </c>
      <c r="C25" s="12">
        <v>0</v>
      </c>
      <c r="D25" s="12">
        <v>0</v>
      </c>
      <c r="E25" s="12">
        <v>0</v>
      </c>
      <c r="G25" s="6">
        <v>22</v>
      </c>
      <c r="H25" s="12">
        <v>0.1</v>
      </c>
      <c r="I25" s="12">
        <v>-0.15</v>
      </c>
      <c r="J25" s="12">
        <v>0.1</v>
      </c>
      <c r="K25" s="12">
        <v>-0.15</v>
      </c>
      <c r="L25">
        <v>2044</v>
      </c>
      <c r="N25" s="6">
        <v>22</v>
      </c>
      <c r="O25" s="12">
        <f t="shared" si="1"/>
        <v>0.05</v>
      </c>
      <c r="P25" s="12">
        <f t="shared" si="2"/>
        <v>-7.4999999999999997E-2</v>
      </c>
      <c r="Q25" s="12">
        <f t="shared" si="3"/>
        <v>0.05</v>
      </c>
      <c r="R25" s="12">
        <f t="shared" si="4"/>
        <v>-7.4999999999999997E-2</v>
      </c>
    </row>
    <row r="26" spans="1:18" x14ac:dyDescent="0.35">
      <c r="A26" s="6">
        <v>23</v>
      </c>
      <c r="B26" s="12">
        <v>0</v>
      </c>
      <c r="C26" s="12">
        <v>0</v>
      </c>
      <c r="D26" s="12">
        <v>0</v>
      </c>
      <c r="E26" s="12">
        <v>0</v>
      </c>
      <c r="G26" s="6">
        <v>23</v>
      </c>
      <c r="H26" s="12">
        <v>0.1</v>
      </c>
      <c r="I26" s="12">
        <v>-0.15</v>
      </c>
      <c r="J26" s="12">
        <v>0.1</v>
      </c>
      <c r="K26" s="12">
        <v>-0.15</v>
      </c>
      <c r="L26">
        <v>2045</v>
      </c>
      <c r="N26" s="6">
        <v>23</v>
      </c>
      <c r="O26" s="12">
        <f t="shared" si="1"/>
        <v>0.05</v>
      </c>
      <c r="P26" s="12">
        <f t="shared" si="2"/>
        <v>-7.4999999999999997E-2</v>
      </c>
      <c r="Q26" s="12">
        <f t="shared" si="3"/>
        <v>0.05</v>
      </c>
      <c r="R26" s="12">
        <f t="shared" si="4"/>
        <v>-7.4999999999999997E-2</v>
      </c>
    </row>
    <row r="27" spans="1:18" x14ac:dyDescent="0.35">
      <c r="A27" s="6">
        <v>24</v>
      </c>
      <c r="B27" s="12">
        <v>0</v>
      </c>
      <c r="C27" s="12">
        <v>0</v>
      </c>
      <c r="D27" s="12">
        <v>0</v>
      </c>
      <c r="E27" s="12">
        <v>0</v>
      </c>
      <c r="G27" s="6">
        <v>24</v>
      </c>
      <c r="H27" s="12">
        <v>0.1</v>
      </c>
      <c r="I27" s="12">
        <v>-0.15</v>
      </c>
      <c r="J27" s="12">
        <v>0.1</v>
      </c>
      <c r="K27" s="12">
        <v>-0.15</v>
      </c>
      <c r="L27">
        <v>2046</v>
      </c>
      <c r="N27" s="6">
        <v>24</v>
      </c>
      <c r="O27" s="12">
        <f t="shared" si="1"/>
        <v>0.05</v>
      </c>
      <c r="P27" s="12">
        <f t="shared" si="2"/>
        <v>-7.4999999999999997E-2</v>
      </c>
      <c r="Q27" s="12">
        <f t="shared" si="3"/>
        <v>0.05</v>
      </c>
      <c r="R27" s="12">
        <f t="shared" si="4"/>
        <v>-7.4999999999999997E-2</v>
      </c>
    </row>
    <row r="28" spans="1:18" x14ac:dyDescent="0.35">
      <c r="A28" s="6">
        <v>25</v>
      </c>
      <c r="B28" s="12">
        <v>0</v>
      </c>
      <c r="C28" s="12">
        <v>0</v>
      </c>
      <c r="D28" s="12">
        <v>0</v>
      </c>
      <c r="E28" s="12">
        <v>0</v>
      </c>
      <c r="G28" s="6">
        <v>25</v>
      </c>
      <c r="H28" s="12">
        <v>0.1</v>
      </c>
      <c r="I28" s="12">
        <v>-0.15</v>
      </c>
      <c r="J28" s="12">
        <v>0.1</v>
      </c>
      <c r="K28" s="12">
        <v>-0.15</v>
      </c>
      <c r="L28">
        <v>2047</v>
      </c>
      <c r="N28" s="6">
        <v>25</v>
      </c>
      <c r="O28" s="12">
        <f t="shared" si="1"/>
        <v>0.05</v>
      </c>
      <c r="P28" s="12">
        <f t="shared" si="2"/>
        <v>-7.4999999999999997E-2</v>
      </c>
      <c r="Q28" s="12">
        <f t="shared" si="3"/>
        <v>0.05</v>
      </c>
      <c r="R28" s="12">
        <f t="shared" si="4"/>
        <v>-7.4999999999999997E-2</v>
      </c>
    </row>
    <row r="29" spans="1:18" x14ac:dyDescent="0.35">
      <c r="A29" s="6">
        <v>26</v>
      </c>
      <c r="B29" s="12">
        <v>0</v>
      </c>
      <c r="C29" s="12">
        <v>0</v>
      </c>
      <c r="D29" s="12">
        <v>0</v>
      </c>
      <c r="E29" s="12">
        <v>0</v>
      </c>
      <c r="G29" s="6">
        <v>26</v>
      </c>
      <c r="H29" s="12">
        <v>0.1</v>
      </c>
      <c r="I29" s="12">
        <v>-0.15</v>
      </c>
      <c r="J29" s="12">
        <v>0.1</v>
      </c>
      <c r="K29" s="12">
        <v>-0.15</v>
      </c>
      <c r="L29">
        <v>2048</v>
      </c>
      <c r="N29" s="6">
        <v>26</v>
      </c>
      <c r="O29" s="12">
        <f t="shared" si="1"/>
        <v>0.05</v>
      </c>
      <c r="P29" s="12">
        <f t="shared" si="2"/>
        <v>-7.4999999999999997E-2</v>
      </c>
      <c r="Q29" s="12">
        <f t="shared" si="3"/>
        <v>0.05</v>
      </c>
      <c r="R29" s="12">
        <f t="shared" si="4"/>
        <v>-7.4999999999999997E-2</v>
      </c>
    </row>
    <row r="30" spans="1:18" x14ac:dyDescent="0.35">
      <c r="A30" s="6">
        <v>27</v>
      </c>
      <c r="B30" s="12">
        <v>0</v>
      </c>
      <c r="C30" s="12">
        <v>0</v>
      </c>
      <c r="D30" s="12">
        <v>0</v>
      </c>
      <c r="E30" s="12">
        <v>0</v>
      </c>
      <c r="G30" s="6">
        <v>27</v>
      </c>
      <c r="H30" s="12">
        <v>0.1</v>
      </c>
      <c r="I30" s="12">
        <v>-0.15</v>
      </c>
      <c r="J30" s="12">
        <v>0.1</v>
      </c>
      <c r="K30" s="12">
        <v>-0.15</v>
      </c>
      <c r="L30">
        <v>2049</v>
      </c>
      <c r="N30" s="6">
        <v>27</v>
      </c>
      <c r="O30" s="12">
        <f t="shared" si="1"/>
        <v>0.05</v>
      </c>
      <c r="P30" s="12">
        <f t="shared" si="2"/>
        <v>-7.4999999999999997E-2</v>
      </c>
      <c r="Q30" s="12">
        <f t="shared" si="3"/>
        <v>0.05</v>
      </c>
      <c r="R30" s="12">
        <f t="shared" si="4"/>
        <v>-7.4999999999999997E-2</v>
      </c>
    </row>
    <row r="31" spans="1:18" x14ac:dyDescent="0.35">
      <c r="A31" s="6">
        <v>28</v>
      </c>
      <c r="B31" s="12">
        <v>0</v>
      </c>
      <c r="C31" s="12">
        <v>0</v>
      </c>
      <c r="D31" s="12">
        <v>0</v>
      </c>
      <c r="E31" s="12">
        <v>0</v>
      </c>
      <c r="G31" s="6">
        <v>28</v>
      </c>
      <c r="H31" s="12">
        <v>0.1</v>
      </c>
      <c r="I31" s="12">
        <v>-0.15</v>
      </c>
      <c r="J31" s="12">
        <v>0.1</v>
      </c>
      <c r="K31" s="12">
        <v>-0.15</v>
      </c>
      <c r="L31">
        <v>2050</v>
      </c>
      <c r="N31" s="6">
        <v>28</v>
      </c>
      <c r="O31" s="12">
        <f t="shared" si="1"/>
        <v>0.05</v>
      </c>
      <c r="P31" s="12">
        <f t="shared" si="2"/>
        <v>-7.4999999999999997E-2</v>
      </c>
      <c r="Q31" s="12">
        <f t="shared" si="3"/>
        <v>0.05</v>
      </c>
      <c r="R31" s="12">
        <f t="shared" si="4"/>
        <v>-7.4999999999999997E-2</v>
      </c>
    </row>
    <row r="34" spans="1:15" x14ac:dyDescent="0.35">
      <c r="A34">
        <f>(5000/1800)</f>
        <v>2.7777777777777777</v>
      </c>
      <c r="B34">
        <f>POWER(A34,1/10)</f>
        <v>1.1075663432482898</v>
      </c>
      <c r="N34">
        <f>(5000/1800)</f>
        <v>2.7777777777777777</v>
      </c>
      <c r="O34">
        <f>POWER(N34,1/10)</f>
        <v>1.1075663432482898</v>
      </c>
    </row>
  </sheetData>
  <mergeCells count="3">
    <mergeCell ref="B1:E1"/>
    <mergeCell ref="H1:K1"/>
    <mergeCell ref="O1:R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FACC-D3CD-4B5D-B0EC-4F17B102189C}">
  <dimension ref="A1:Q30"/>
  <sheetViews>
    <sheetView workbookViewId="0">
      <selection activeCell="E30" sqref="E30:F30"/>
    </sheetView>
  </sheetViews>
  <sheetFormatPr defaultRowHeight="14.5" x14ac:dyDescent="0.35"/>
  <cols>
    <col min="3" max="4" width="13" bestFit="1" customWidth="1"/>
    <col min="5" max="5" width="12.36328125" bestFit="1" customWidth="1"/>
    <col min="6" max="6" width="8.81640625" bestFit="1" customWidth="1"/>
    <col min="11" max="11" width="13" bestFit="1" customWidth="1"/>
    <col min="12" max="12" width="15.6328125" bestFit="1" customWidth="1"/>
    <col min="13" max="13" width="13" bestFit="1" customWidth="1"/>
  </cols>
  <sheetData>
    <row r="1" spans="1:17" ht="18.5" thickBot="1" x14ac:dyDescent="0.4">
      <c r="A1" s="65" t="s">
        <v>192</v>
      </c>
      <c r="B1" s="65" t="s">
        <v>193</v>
      </c>
      <c r="C1" s="65" t="s">
        <v>194</v>
      </c>
      <c r="D1" s="65" t="s">
        <v>195</v>
      </c>
      <c r="E1" s="65" t="s">
        <v>196</v>
      </c>
      <c r="F1" s="65" t="s">
        <v>197</v>
      </c>
      <c r="G1" s="72" t="s">
        <v>142</v>
      </c>
      <c r="I1" s="72" t="s">
        <v>276</v>
      </c>
      <c r="J1" s="72" t="s">
        <v>277</v>
      </c>
      <c r="K1" s="65" t="s">
        <v>194</v>
      </c>
      <c r="L1" s="72" t="s">
        <v>279</v>
      </c>
      <c r="M1" s="72" t="s">
        <v>280</v>
      </c>
      <c r="N1" s="72" t="s">
        <v>278</v>
      </c>
      <c r="P1" s="72" t="s">
        <v>275</v>
      </c>
    </row>
    <row r="2" spans="1:17" ht="15" thickBot="1" x14ac:dyDescent="0.4">
      <c r="A2" s="59" t="s">
        <v>198</v>
      </c>
      <c r="B2" s="59" t="s">
        <v>199</v>
      </c>
      <c r="C2" s="66">
        <v>5415918</v>
      </c>
      <c r="D2" s="66" t="s">
        <v>206</v>
      </c>
      <c r="E2" s="66" t="s">
        <v>207</v>
      </c>
      <c r="F2" s="67" t="s">
        <v>208</v>
      </c>
      <c r="H2" s="73" t="s">
        <v>142</v>
      </c>
      <c r="I2">
        <v>192</v>
      </c>
      <c r="J2" s="14">
        <v>0</v>
      </c>
      <c r="K2" s="75">
        <f>C2</f>
        <v>5415918</v>
      </c>
      <c r="L2" s="50">
        <f>K2*((1+$Q$2)^I2-1)/($Q$2*(1+$Q$2)^I2)/(1-J2)</f>
        <v>581431595.41500449</v>
      </c>
      <c r="M2" s="75">
        <f>C10</f>
        <v>1040922</v>
      </c>
      <c r="N2" s="55">
        <f>M2/L2</f>
        <v>1.7902742269398485E-3</v>
      </c>
      <c r="O2" s="77">
        <f>(N2+1)^12-1</f>
        <v>2.1696093576668796E-2</v>
      </c>
      <c r="P2" s="27">
        <v>8.4199999999999997E-2</v>
      </c>
      <c r="Q2" s="76">
        <f>(1+P2)^(1/12)-1</f>
        <v>6.7596093782125166E-3</v>
      </c>
    </row>
    <row r="3" spans="1:17" ht="21.5" thickBot="1" x14ac:dyDescent="0.4">
      <c r="A3" s="56" t="s">
        <v>198</v>
      </c>
      <c r="B3" s="56" t="s">
        <v>200</v>
      </c>
      <c r="C3" s="68">
        <v>207015</v>
      </c>
      <c r="D3" s="68" t="s">
        <v>209</v>
      </c>
      <c r="E3" s="68" t="s">
        <v>210</v>
      </c>
      <c r="F3" s="69" t="s">
        <v>211</v>
      </c>
      <c r="H3" s="74" t="s">
        <v>141</v>
      </c>
      <c r="I3">
        <v>192</v>
      </c>
      <c r="J3" s="14">
        <v>0</v>
      </c>
      <c r="K3" s="75">
        <f>C22</f>
        <v>3551422</v>
      </c>
      <c r="L3" s="50">
        <f>K3*((1+$Q$2)^I3-1)/($Q$2*(1+$Q$2)^I3)/(1-J3)</f>
        <v>381266658.66284281</v>
      </c>
      <c r="M3" s="75">
        <f>C30</f>
        <v>858082</v>
      </c>
      <c r="N3" s="55">
        <f>M3/L3</f>
        <v>2.250608545235551E-3</v>
      </c>
      <c r="O3" s="26">
        <f t="shared" ref="O3:O4" si="0">(N3+1)^12-1</f>
        <v>2.7344129022448094E-2</v>
      </c>
    </row>
    <row r="4" spans="1:17" ht="21.5" thickBot="1" x14ac:dyDescent="0.4">
      <c r="A4" s="59" t="s">
        <v>198</v>
      </c>
      <c r="B4" s="59" t="s">
        <v>201</v>
      </c>
      <c r="C4" s="66">
        <v>166417</v>
      </c>
      <c r="D4" s="66" t="s">
        <v>212</v>
      </c>
      <c r="E4" s="66" t="s">
        <v>213</v>
      </c>
      <c r="F4" s="67" t="s">
        <v>214</v>
      </c>
      <c r="H4" s="73" t="s">
        <v>140</v>
      </c>
      <c r="I4">
        <v>120</v>
      </c>
      <c r="J4" s="14">
        <v>0</v>
      </c>
      <c r="K4" s="75">
        <f>C12</f>
        <v>2891917</v>
      </c>
      <c r="L4" s="50">
        <f>K4*((1+$Q$2)^I4-1)/($Q$2*(1+$Q$2)^I4)/(1-J4)</f>
        <v>237202335.00113836</v>
      </c>
      <c r="M4" s="75">
        <f>C20</f>
        <v>463578</v>
      </c>
      <c r="N4" s="55">
        <f>M4/L4</f>
        <v>1.9543568152386665E-3</v>
      </c>
      <c r="O4" s="26">
        <f t="shared" si="0"/>
        <v>2.370601895495672E-2</v>
      </c>
    </row>
    <row r="5" spans="1:17" ht="21.5" thickBot="1" x14ac:dyDescent="0.4">
      <c r="A5" s="56" t="s">
        <v>198</v>
      </c>
      <c r="B5" s="56" t="s">
        <v>202</v>
      </c>
      <c r="C5" s="68">
        <v>396440</v>
      </c>
      <c r="D5" s="68" t="s">
        <v>215</v>
      </c>
      <c r="E5" s="68" t="s">
        <v>216</v>
      </c>
      <c r="F5" s="69" t="s">
        <v>217</v>
      </c>
    </row>
    <row r="6" spans="1:17" ht="27.5" thickBot="1" x14ac:dyDescent="0.4">
      <c r="A6" s="59" t="s">
        <v>198</v>
      </c>
      <c r="B6" s="59" t="s">
        <v>203</v>
      </c>
      <c r="C6" s="66">
        <v>33949</v>
      </c>
      <c r="D6" s="66" t="s">
        <v>218</v>
      </c>
      <c r="E6" s="66" t="s">
        <v>219</v>
      </c>
      <c r="F6" s="67" t="s">
        <v>220</v>
      </c>
      <c r="M6">
        <v>1.7902742269398485E-3</v>
      </c>
    </row>
    <row r="7" spans="1:17" ht="63.5" thickBot="1" x14ac:dyDescent="0.4">
      <c r="A7" s="56" t="s">
        <v>198</v>
      </c>
      <c r="B7" s="56" t="s">
        <v>221</v>
      </c>
      <c r="C7" s="66">
        <v>2400066.67</v>
      </c>
      <c r="D7" s="68" t="s">
        <v>223</v>
      </c>
      <c r="E7" s="68" t="s">
        <v>224</v>
      </c>
      <c r="F7" s="69" t="s">
        <v>225</v>
      </c>
    </row>
    <row r="8" spans="1:17" ht="15" thickBot="1" x14ac:dyDescent="0.4">
      <c r="A8" s="59" t="s">
        <v>198</v>
      </c>
      <c r="B8" s="59" t="s">
        <v>204</v>
      </c>
      <c r="C8" s="66">
        <v>111417</v>
      </c>
      <c r="D8" s="66" t="s">
        <v>226</v>
      </c>
      <c r="E8" s="66">
        <v>194</v>
      </c>
      <c r="F8" s="67" t="s">
        <v>227</v>
      </c>
    </row>
    <row r="9" spans="1:17" ht="21" x14ac:dyDescent="0.35">
      <c r="A9" s="62" t="s">
        <v>198</v>
      </c>
      <c r="B9" s="62" t="s">
        <v>205</v>
      </c>
      <c r="C9" s="70">
        <v>729139</v>
      </c>
      <c r="D9" s="70" t="s">
        <v>228</v>
      </c>
      <c r="E9" s="70" t="s">
        <v>229</v>
      </c>
      <c r="F9" s="71" t="s">
        <v>230</v>
      </c>
    </row>
    <row r="10" spans="1:17" ht="15" thickBot="1" x14ac:dyDescent="0.4">
      <c r="C10" s="75">
        <f>C9+C6+C8+C4</f>
        <v>1040922</v>
      </c>
      <c r="D10" s="26">
        <f>C2/SUM(C2:C9)</f>
        <v>0.57248530118827901</v>
      </c>
      <c r="E10" s="27">
        <f>35%*D10</f>
        <v>0.20036985541589764</v>
      </c>
      <c r="F10" s="27">
        <f>(1-D10)*35%</f>
        <v>0.14963014458410234</v>
      </c>
    </row>
    <row r="11" spans="1:17" ht="21.5" thickBot="1" x14ac:dyDescent="0.4">
      <c r="A11" s="65" t="s">
        <v>192</v>
      </c>
      <c r="B11" s="65" t="s">
        <v>193</v>
      </c>
      <c r="C11" s="65" t="s">
        <v>194</v>
      </c>
      <c r="D11" s="65" t="s">
        <v>195</v>
      </c>
      <c r="E11" s="65" t="s">
        <v>196</v>
      </c>
      <c r="F11" s="65" t="s">
        <v>197</v>
      </c>
      <c r="G11" s="72" t="s">
        <v>140</v>
      </c>
    </row>
    <row r="12" spans="1:17" ht="15" thickBot="1" x14ac:dyDescent="0.4">
      <c r="A12" s="59" t="s">
        <v>198</v>
      </c>
      <c r="B12" s="59" t="s">
        <v>199</v>
      </c>
      <c r="C12" s="66">
        <v>2891917</v>
      </c>
      <c r="D12" s="66" t="s">
        <v>231</v>
      </c>
      <c r="E12" s="66" t="s">
        <v>232</v>
      </c>
      <c r="F12" s="67" t="s">
        <v>233</v>
      </c>
    </row>
    <row r="13" spans="1:17" ht="21.5" thickBot="1" x14ac:dyDescent="0.4">
      <c r="A13" s="56" t="s">
        <v>198</v>
      </c>
      <c r="B13" s="56" t="s">
        <v>200</v>
      </c>
      <c r="C13" s="68">
        <v>207015</v>
      </c>
      <c r="D13" s="68" t="s">
        <v>234</v>
      </c>
      <c r="E13" s="68" t="s">
        <v>235</v>
      </c>
      <c r="F13" s="69">
        <v>0.01</v>
      </c>
    </row>
    <row r="14" spans="1:17" ht="21.5" thickBot="1" x14ac:dyDescent="0.4">
      <c r="A14" s="59" t="s">
        <v>198</v>
      </c>
      <c r="B14" s="59" t="s">
        <v>201</v>
      </c>
      <c r="C14" s="66">
        <v>79771</v>
      </c>
      <c r="D14" s="66" t="s">
        <v>236</v>
      </c>
      <c r="E14" s="66" t="s">
        <v>237</v>
      </c>
      <c r="F14" s="67" t="s">
        <v>238</v>
      </c>
    </row>
    <row r="15" spans="1:17" ht="21.5" thickBot="1" x14ac:dyDescent="0.4">
      <c r="A15" s="56" t="s">
        <v>198</v>
      </c>
      <c r="B15" s="56" t="s">
        <v>202</v>
      </c>
      <c r="C15" s="68">
        <v>165300</v>
      </c>
      <c r="D15" s="68" t="s">
        <v>239</v>
      </c>
      <c r="E15" s="68" t="s">
        <v>240</v>
      </c>
      <c r="F15" s="69" t="s">
        <v>217</v>
      </c>
    </row>
    <row r="16" spans="1:17" ht="32" thickBot="1" x14ac:dyDescent="0.4">
      <c r="A16" s="59" t="s">
        <v>198</v>
      </c>
      <c r="B16" s="59" t="s">
        <v>203</v>
      </c>
      <c r="C16" s="66">
        <v>33949</v>
      </c>
      <c r="D16" s="66" t="s">
        <v>241</v>
      </c>
      <c r="E16" s="66" t="s">
        <v>242</v>
      </c>
      <c r="F16" s="67" t="s">
        <v>243</v>
      </c>
    </row>
    <row r="17" spans="1:6" ht="63.5" thickBot="1" x14ac:dyDescent="0.4">
      <c r="A17" s="56" t="s">
        <v>198</v>
      </c>
      <c r="B17" s="56" t="s">
        <v>221</v>
      </c>
      <c r="C17" s="68" t="s">
        <v>222</v>
      </c>
      <c r="D17" s="68" t="s">
        <v>244</v>
      </c>
      <c r="E17" s="68" t="s">
        <v>245</v>
      </c>
      <c r="F17" s="69" t="s">
        <v>246</v>
      </c>
    </row>
    <row r="18" spans="1:6" ht="15" thickBot="1" x14ac:dyDescent="0.4">
      <c r="A18" s="62" t="s">
        <v>198</v>
      </c>
      <c r="B18" s="62" t="s">
        <v>204</v>
      </c>
      <c r="C18" s="70">
        <v>88125</v>
      </c>
      <c r="D18" s="70" t="s">
        <v>247</v>
      </c>
      <c r="E18" s="70" t="s">
        <v>248</v>
      </c>
      <c r="F18" s="71" t="s">
        <v>211</v>
      </c>
    </row>
    <row r="19" spans="1:6" ht="21" x14ac:dyDescent="0.35">
      <c r="A19" s="56" t="s">
        <v>198</v>
      </c>
      <c r="B19" s="56" t="s">
        <v>205</v>
      </c>
      <c r="C19" s="68">
        <v>261733</v>
      </c>
      <c r="D19" s="68" t="s">
        <v>249</v>
      </c>
      <c r="E19" s="68" t="s">
        <v>250</v>
      </c>
      <c r="F19" s="69" t="s">
        <v>251</v>
      </c>
    </row>
    <row r="20" spans="1:6" ht="15" thickBot="1" x14ac:dyDescent="0.4">
      <c r="C20" s="75">
        <f>C19+C16+C18+C14</f>
        <v>463578</v>
      </c>
      <c r="D20" s="26">
        <f>C12/SUM(C12:C19)</f>
        <v>0.7757683465627272</v>
      </c>
      <c r="E20" s="27">
        <f>35%*D20</f>
        <v>0.27151892129695449</v>
      </c>
      <c r="F20" s="27">
        <f>(1-D20)*35%</f>
        <v>7.8481078703045479E-2</v>
      </c>
    </row>
    <row r="21" spans="1:6" ht="21.5" thickBot="1" x14ac:dyDescent="0.4">
      <c r="A21" s="65" t="s">
        <v>192</v>
      </c>
      <c r="B21" s="65" t="s">
        <v>193</v>
      </c>
      <c r="C21" s="65" t="s">
        <v>194</v>
      </c>
      <c r="D21" s="65" t="s">
        <v>195</v>
      </c>
      <c r="E21" s="65" t="s">
        <v>196</v>
      </c>
      <c r="F21" s="65" t="s">
        <v>197</v>
      </c>
    </row>
    <row r="22" spans="1:6" ht="15" thickBot="1" x14ac:dyDescent="0.4">
      <c r="A22" s="59" t="s">
        <v>198</v>
      </c>
      <c r="B22" s="59" t="s">
        <v>199</v>
      </c>
      <c r="C22" s="66">
        <v>3551422</v>
      </c>
      <c r="D22" s="66" t="s">
        <v>252</v>
      </c>
      <c r="E22" s="66" t="s">
        <v>253</v>
      </c>
      <c r="F22" s="67" t="s">
        <v>254</v>
      </c>
    </row>
    <row r="23" spans="1:6" ht="21.5" thickBot="1" x14ac:dyDescent="0.4">
      <c r="A23" s="56" t="s">
        <v>198</v>
      </c>
      <c r="B23" s="56" t="s">
        <v>200</v>
      </c>
      <c r="C23" s="68">
        <v>207015</v>
      </c>
      <c r="D23" s="68" t="s">
        <v>255</v>
      </c>
      <c r="E23" s="68" t="s">
        <v>256</v>
      </c>
      <c r="F23" s="69" t="s">
        <v>257</v>
      </c>
    </row>
    <row r="24" spans="1:6" ht="21.5" thickBot="1" x14ac:dyDescent="0.4">
      <c r="A24" s="59" t="s">
        <v>198</v>
      </c>
      <c r="B24" s="59" t="s">
        <v>201</v>
      </c>
      <c r="C24" s="66">
        <v>110833</v>
      </c>
      <c r="D24" s="66" t="s">
        <v>258</v>
      </c>
      <c r="E24" s="66" t="s">
        <v>259</v>
      </c>
      <c r="F24" s="67" t="s">
        <v>260</v>
      </c>
    </row>
    <row r="25" spans="1:6" ht="21.5" thickBot="1" x14ac:dyDescent="0.4">
      <c r="A25" s="56" t="s">
        <v>198</v>
      </c>
      <c r="B25" s="56" t="s">
        <v>202</v>
      </c>
      <c r="C25" s="68">
        <v>263065</v>
      </c>
      <c r="D25" s="68" t="s">
        <v>261</v>
      </c>
      <c r="E25" s="68" t="s">
        <v>262</v>
      </c>
      <c r="F25" s="69" t="s">
        <v>263</v>
      </c>
    </row>
    <row r="26" spans="1:6" ht="32" thickBot="1" x14ac:dyDescent="0.4">
      <c r="A26" s="59" t="s">
        <v>198</v>
      </c>
      <c r="B26" s="59" t="s">
        <v>203</v>
      </c>
      <c r="C26" s="66">
        <v>33949</v>
      </c>
      <c r="D26" s="66" t="s">
        <v>264</v>
      </c>
      <c r="E26" s="66" t="s">
        <v>265</v>
      </c>
      <c r="F26" s="67" t="s">
        <v>266</v>
      </c>
    </row>
    <row r="27" spans="1:6" ht="63.5" thickBot="1" x14ac:dyDescent="0.4">
      <c r="A27" s="56" t="s">
        <v>198</v>
      </c>
      <c r="B27" s="56" t="s">
        <v>221</v>
      </c>
      <c r="C27" s="68" t="s">
        <v>222</v>
      </c>
      <c r="D27" s="68" t="s">
        <v>267</v>
      </c>
      <c r="E27" s="68" t="s">
        <v>268</v>
      </c>
      <c r="F27" s="69" t="s">
        <v>269</v>
      </c>
    </row>
    <row r="28" spans="1:6" ht="15" thickBot="1" x14ac:dyDescent="0.4">
      <c r="A28" s="59" t="s">
        <v>198</v>
      </c>
      <c r="B28" s="59" t="s">
        <v>204</v>
      </c>
      <c r="C28" s="66">
        <v>111417</v>
      </c>
      <c r="D28" s="66" t="s">
        <v>270</v>
      </c>
      <c r="E28" s="66" t="s">
        <v>271</v>
      </c>
      <c r="F28" s="67" t="s">
        <v>260</v>
      </c>
    </row>
    <row r="29" spans="1:6" ht="21" x14ac:dyDescent="0.35">
      <c r="A29" s="56" t="s">
        <v>198</v>
      </c>
      <c r="B29" s="56" t="s">
        <v>205</v>
      </c>
      <c r="C29" s="68">
        <v>601883</v>
      </c>
      <c r="D29" s="68" t="s">
        <v>272</v>
      </c>
      <c r="E29" s="68" t="s">
        <v>273</v>
      </c>
      <c r="F29" s="69" t="s">
        <v>274</v>
      </c>
    </row>
    <row r="30" spans="1:6" x14ac:dyDescent="0.35">
      <c r="C30" s="75">
        <f>C29+C26+C28+C24</f>
        <v>858082</v>
      </c>
      <c r="D30" s="26">
        <f>C22/SUM(C22:C29)</f>
        <v>0.72781245286483442</v>
      </c>
      <c r="E30" s="27">
        <f>18%*D30</f>
        <v>0.1310062415156702</v>
      </c>
      <c r="F30" s="27">
        <f>(1-D30)*18%</f>
        <v>4.8993758484329804E-2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0BE6-26E7-4DC7-8F7D-D4D978680CC8}">
  <dimension ref="A1:M30"/>
  <sheetViews>
    <sheetView workbookViewId="0">
      <selection activeCell="B1" sqref="B1"/>
    </sheetView>
  </sheetViews>
  <sheetFormatPr defaultRowHeight="14.5" x14ac:dyDescent="0.35"/>
  <cols>
    <col min="2" max="2" width="8.7265625" customWidth="1"/>
    <col min="3" max="3" width="8.7265625" style="46" customWidth="1"/>
    <col min="4" max="4" width="8.7265625" style="46"/>
    <col min="6" max="6" width="8.7265625" style="46" customWidth="1"/>
    <col min="7" max="7" width="8.7265625" style="46"/>
    <col min="9" max="9" width="8.7265625" style="46" customWidth="1"/>
    <col min="10" max="10" width="8.7265625" style="46"/>
  </cols>
  <sheetData>
    <row r="1" spans="1:13" x14ac:dyDescent="0.35">
      <c r="B1" s="82" t="s">
        <v>281</v>
      </c>
      <c r="D1" s="84" t="s">
        <v>293</v>
      </c>
      <c r="G1" s="84" t="s">
        <v>294</v>
      </c>
      <c r="J1" s="84" t="s">
        <v>292</v>
      </c>
    </row>
    <row r="2" spans="1:13" x14ac:dyDescent="0.35">
      <c r="A2">
        <v>0</v>
      </c>
      <c r="B2" s="83">
        <v>15000</v>
      </c>
      <c r="C2" s="85">
        <v>3.4</v>
      </c>
      <c r="D2" s="86">
        <f>C2*5000</f>
        <v>17000</v>
      </c>
      <c r="E2">
        <v>0</v>
      </c>
      <c r="F2" s="85">
        <v>3.4</v>
      </c>
      <c r="G2" s="86">
        <f>F2*5000</f>
        <v>17000</v>
      </c>
      <c r="H2">
        <v>0</v>
      </c>
      <c r="I2" s="85">
        <v>3.4</v>
      </c>
      <c r="J2" s="86">
        <f>I2*5000</f>
        <v>17000</v>
      </c>
      <c r="L2">
        <v>1.1616262966617894</v>
      </c>
      <c r="M2">
        <v>1.1096396818271208</v>
      </c>
    </row>
    <row r="3" spans="1:13" x14ac:dyDescent="0.35">
      <c r="A3">
        <v>1</v>
      </c>
      <c r="B3" s="83">
        <v>20000</v>
      </c>
      <c r="C3" s="85">
        <v>3.9495294086500841</v>
      </c>
      <c r="D3" s="86">
        <f t="shared" ref="D3:D30" si="0">C3*5000</f>
        <v>19747.647043250421</v>
      </c>
      <c r="E3">
        <v>1</v>
      </c>
      <c r="F3" s="85">
        <v>4.5</v>
      </c>
      <c r="G3" s="86">
        <f t="shared" ref="G3:G30" si="1">F3*5000</f>
        <v>22500</v>
      </c>
      <c r="H3">
        <v>1</v>
      </c>
      <c r="I3" s="85">
        <v>3.7727749182122108</v>
      </c>
      <c r="J3" s="86">
        <f t="shared" ref="J3:J30" si="2">I3*5000</f>
        <v>18863.874591061052</v>
      </c>
    </row>
    <row r="4" spans="1:13" x14ac:dyDescent="0.35">
      <c r="A4">
        <v>2</v>
      </c>
      <c r="B4" s="83">
        <v>25000</v>
      </c>
      <c r="C4" s="85">
        <v>4.587877220527024</v>
      </c>
      <c r="D4" s="86">
        <f t="shared" si="0"/>
        <v>22939.386102635119</v>
      </c>
      <c r="E4">
        <v>2</v>
      </c>
      <c r="F4" s="85">
        <v>5.7</v>
      </c>
      <c r="G4" s="86">
        <f t="shared" si="1"/>
        <v>28500</v>
      </c>
      <c r="H4">
        <v>2</v>
      </c>
      <c r="I4" s="85">
        <v>4.1864207598503391</v>
      </c>
      <c r="J4" s="86">
        <f t="shared" si="2"/>
        <v>20932.103799251694</v>
      </c>
    </row>
    <row r="5" spans="1:13" x14ac:dyDescent="0.35">
      <c r="A5">
        <v>3</v>
      </c>
      <c r="B5" s="83">
        <v>31250</v>
      </c>
      <c r="C5" s="85">
        <v>5.3293988252197906</v>
      </c>
      <c r="D5" s="86">
        <f t="shared" si="0"/>
        <v>26646.994126098954</v>
      </c>
      <c r="E5">
        <v>3</v>
      </c>
      <c r="F5" s="85">
        <v>7.1</v>
      </c>
      <c r="G5" s="86">
        <f t="shared" si="1"/>
        <v>35500</v>
      </c>
      <c r="H5">
        <v>3</v>
      </c>
      <c r="I5" s="85">
        <v>4.6454185999547839</v>
      </c>
      <c r="J5" s="86">
        <f t="shared" si="2"/>
        <v>23227.092999773919</v>
      </c>
    </row>
    <row r="6" spans="1:13" x14ac:dyDescent="0.35">
      <c r="A6">
        <v>4</v>
      </c>
      <c r="B6" s="83">
        <v>39063</v>
      </c>
      <c r="C6" s="85">
        <v>6.190769820773756</v>
      </c>
      <c r="D6" s="86">
        <f t="shared" si="0"/>
        <v>30953.849103868779</v>
      </c>
      <c r="E6">
        <v>4</v>
      </c>
      <c r="F6" s="85">
        <v>8.9</v>
      </c>
      <c r="G6" s="86">
        <f t="shared" si="1"/>
        <v>44500</v>
      </c>
      <c r="H6">
        <v>4</v>
      </c>
      <c r="I6" s="85">
        <v>5.1547408172076157</v>
      </c>
      <c r="J6" s="86">
        <f t="shared" si="2"/>
        <v>25773.704086038077</v>
      </c>
    </row>
    <row r="7" spans="1:13" x14ac:dyDescent="0.35">
      <c r="A7">
        <v>5</v>
      </c>
      <c r="B7" s="83">
        <v>48828</v>
      </c>
      <c r="C7" s="85">
        <v>7.1913610203909881</v>
      </c>
      <c r="D7" s="86">
        <f t="shared" si="0"/>
        <v>35956.805101954938</v>
      </c>
      <c r="E7">
        <v>5</v>
      </c>
      <c r="F7" s="85">
        <v>11.1</v>
      </c>
      <c r="G7" s="86">
        <f t="shared" si="1"/>
        <v>55500</v>
      </c>
      <c r="H7">
        <v>5</v>
      </c>
      <c r="I7" s="85">
        <v>5.7199049603075309</v>
      </c>
      <c r="J7" s="86">
        <f t="shared" si="2"/>
        <v>28599.524801537656</v>
      </c>
    </row>
    <row r="8" spans="1:13" x14ac:dyDescent="0.35">
      <c r="A8">
        <v>6</v>
      </c>
      <c r="B8" s="83">
        <v>61035</v>
      </c>
      <c r="C8" s="85">
        <v>8.3536740700747298</v>
      </c>
      <c r="D8" s="86">
        <f t="shared" si="0"/>
        <v>41768.370350373647</v>
      </c>
      <c r="E8">
        <v>6</v>
      </c>
      <c r="F8" s="85">
        <v>13.9</v>
      </c>
      <c r="G8" s="86">
        <f t="shared" si="1"/>
        <v>69500</v>
      </c>
      <c r="H8">
        <v>6</v>
      </c>
      <c r="I8" s="85">
        <v>6.3470335202370185</v>
      </c>
      <c r="J8" s="86">
        <f t="shared" si="2"/>
        <v>31735.167601185094</v>
      </c>
    </row>
    <row r="9" spans="1:13" x14ac:dyDescent="0.35">
      <c r="A9">
        <v>7</v>
      </c>
      <c r="B9" s="83">
        <v>76294</v>
      </c>
      <c r="C9" s="85">
        <v>9.7038474735405256</v>
      </c>
      <c r="D9" s="86">
        <f t="shared" si="0"/>
        <v>48519.237367702626</v>
      </c>
      <c r="E9">
        <v>7</v>
      </c>
      <c r="F9" s="85">
        <v>17.3</v>
      </c>
      <c r="G9" s="86">
        <f t="shared" si="1"/>
        <v>86500</v>
      </c>
      <c r="H9">
        <v>7</v>
      </c>
      <c r="I9" s="85">
        <v>7.0429202559418753</v>
      </c>
      <c r="J9" s="86">
        <f t="shared" si="2"/>
        <v>35214.601279709379</v>
      </c>
    </row>
    <row r="10" spans="1:13" x14ac:dyDescent="0.35">
      <c r="A10">
        <v>8</v>
      </c>
      <c r="B10" s="83">
        <v>83923</v>
      </c>
      <c r="C10" s="85">
        <v>11.272244404059743</v>
      </c>
      <c r="D10" s="86">
        <f t="shared" si="0"/>
        <v>56361.222020298716</v>
      </c>
      <c r="E10">
        <v>8</v>
      </c>
      <c r="F10" s="85">
        <v>19.100000000000001</v>
      </c>
      <c r="G10" s="86">
        <f t="shared" si="1"/>
        <v>95500</v>
      </c>
      <c r="H10">
        <v>8</v>
      </c>
      <c r="I10" s="85">
        <v>7.8151037919371271</v>
      </c>
      <c r="J10" s="86">
        <f t="shared" si="2"/>
        <v>39075.518959685636</v>
      </c>
    </row>
    <row r="11" spans="1:13" x14ac:dyDescent="0.35">
      <c r="A11">
        <v>9</v>
      </c>
      <c r="B11" s="83">
        <v>92316</v>
      </c>
      <c r="C11" s="85">
        <v>13.094135522154499</v>
      </c>
      <c r="D11" s="86">
        <f t="shared" si="0"/>
        <v>65470.677610772495</v>
      </c>
      <c r="E11">
        <v>9</v>
      </c>
      <c r="F11" s="85">
        <v>21</v>
      </c>
      <c r="G11" s="86">
        <f t="shared" si="1"/>
        <v>105000</v>
      </c>
      <c r="H11">
        <v>9</v>
      </c>
      <c r="I11" s="85">
        <v>8.6719492851310385</v>
      </c>
      <c r="J11" s="86">
        <f t="shared" si="2"/>
        <v>43359.74642565519</v>
      </c>
    </row>
    <row r="12" spans="1:13" x14ac:dyDescent="0.35">
      <c r="A12">
        <v>10</v>
      </c>
      <c r="B12" s="83">
        <v>101547</v>
      </c>
      <c r="C12" s="85">
        <v>15.210492154587916</v>
      </c>
      <c r="D12" s="86">
        <f t="shared" si="0"/>
        <v>76052.460772939579</v>
      </c>
      <c r="E12">
        <v>10</v>
      </c>
      <c r="F12" s="85">
        <v>23.1</v>
      </c>
      <c r="G12" s="86">
        <f t="shared" si="1"/>
        <v>115500</v>
      </c>
      <c r="H12">
        <v>10</v>
      </c>
      <c r="I12" s="85">
        <v>9.6227390455737325</v>
      </c>
      <c r="J12" s="86">
        <f t="shared" si="2"/>
        <v>48113.695227868666</v>
      </c>
    </row>
    <row r="13" spans="1:13" x14ac:dyDescent="0.35">
      <c r="A13">
        <v>11</v>
      </c>
      <c r="B13" s="83">
        <v>111702</v>
      </c>
      <c r="C13" s="85">
        <v>17.668907671937163</v>
      </c>
      <c r="D13" s="86">
        <f t="shared" si="0"/>
        <v>88344.538359685816</v>
      </c>
      <c r="E13">
        <v>11</v>
      </c>
      <c r="F13" s="85">
        <v>25.4</v>
      </c>
      <c r="G13" s="86">
        <f t="shared" si="1"/>
        <v>127000</v>
      </c>
      <c r="H13">
        <v>11</v>
      </c>
      <c r="I13" s="85">
        <v>10.677773092835849</v>
      </c>
      <c r="J13" s="86">
        <f t="shared" si="2"/>
        <v>53388.865464179245</v>
      </c>
    </row>
    <row r="14" spans="1:13" x14ac:dyDescent="0.35">
      <c r="A14">
        <v>12</v>
      </c>
      <c r="B14" s="83">
        <v>122872</v>
      </c>
      <c r="C14" s="85">
        <v>20.524667785011445</v>
      </c>
      <c r="D14" s="86">
        <f t="shared" si="0"/>
        <v>102623.33892505722</v>
      </c>
      <c r="E14">
        <v>12</v>
      </c>
      <c r="F14" s="85">
        <v>27.9</v>
      </c>
      <c r="G14" s="86">
        <f t="shared" si="1"/>
        <v>139500</v>
      </c>
      <c r="H14">
        <v>12</v>
      </c>
      <c r="I14" s="85">
        <v>11.848480737356564</v>
      </c>
      <c r="J14" s="86">
        <f t="shared" si="2"/>
        <v>59242.403686782818</v>
      </c>
    </row>
    <row r="15" spans="1:13" x14ac:dyDescent="0.35">
      <c r="A15">
        <v>13</v>
      </c>
      <c r="B15" s="83">
        <v>135159</v>
      </c>
      <c r="C15" s="85">
        <v>23.841993829316376</v>
      </c>
      <c r="D15" s="86">
        <f t="shared" si="0"/>
        <v>119209.96914658188</v>
      </c>
      <c r="E15">
        <v>13</v>
      </c>
      <c r="F15" s="85">
        <v>30.7</v>
      </c>
      <c r="G15" s="86">
        <f t="shared" si="1"/>
        <v>153500</v>
      </c>
      <c r="H15">
        <v>13</v>
      </c>
      <c r="I15" s="85">
        <v>13.147544395535107</v>
      </c>
      <c r="J15" s="86">
        <f t="shared" si="2"/>
        <v>65737.721977675537</v>
      </c>
    </row>
    <row r="16" spans="1:13" x14ac:dyDescent="0.35">
      <c r="A16">
        <v>14</v>
      </c>
      <c r="B16" s="83">
        <v>148675</v>
      </c>
      <c r="C16" s="85">
        <v>27.695486996982016</v>
      </c>
      <c r="D16" s="86">
        <f t="shared" si="0"/>
        <v>138477.43498491007</v>
      </c>
      <c r="E16">
        <v>14</v>
      </c>
      <c r="F16" s="85">
        <v>33.799999999999997</v>
      </c>
      <c r="G16" s="86">
        <f t="shared" si="1"/>
        <v>169000</v>
      </c>
      <c r="H16">
        <v>14</v>
      </c>
      <c r="I16" s="85">
        <v>14.589036979869521</v>
      </c>
      <c r="J16" s="86">
        <f t="shared" si="2"/>
        <v>72945.184899347601</v>
      </c>
    </row>
    <row r="17" spans="1:10" x14ac:dyDescent="0.35">
      <c r="A17">
        <v>15</v>
      </c>
      <c r="B17" s="83">
        <v>163543</v>
      </c>
      <c r="C17" s="85">
        <v>32.171805994548961</v>
      </c>
      <c r="D17" s="86">
        <f t="shared" si="0"/>
        <v>160859.02997274481</v>
      </c>
      <c r="E17">
        <v>15</v>
      </c>
      <c r="F17" s="85">
        <v>37.200000000000003</v>
      </c>
      <c r="G17" s="86">
        <f t="shared" si="1"/>
        <v>186000</v>
      </c>
      <c r="H17">
        <v>15</v>
      </c>
      <c r="I17" s="85">
        <v>16.188574352506514</v>
      </c>
      <c r="J17" s="86">
        <f t="shared" si="2"/>
        <v>80942.871762532566</v>
      </c>
    </row>
    <row r="18" spans="1:10" x14ac:dyDescent="0.35">
      <c r="A18">
        <v>16</v>
      </c>
      <c r="B18" s="83">
        <v>179897</v>
      </c>
      <c r="C18" s="85">
        <v>37.371615854369466</v>
      </c>
      <c r="D18" s="86">
        <f t="shared" si="0"/>
        <v>186858.07927184732</v>
      </c>
      <c r="E18">
        <v>16</v>
      </c>
      <c r="F18" s="85">
        <v>40.9</v>
      </c>
      <c r="G18" s="86">
        <f t="shared" si="1"/>
        <v>204500</v>
      </c>
      <c r="H18">
        <v>16</v>
      </c>
      <c r="I18" s="85">
        <v>17.963484493750016</v>
      </c>
      <c r="J18" s="86">
        <f t="shared" si="2"/>
        <v>89817.422468750083</v>
      </c>
    </row>
    <row r="19" spans="1:10" x14ac:dyDescent="0.35">
      <c r="A19">
        <v>17</v>
      </c>
      <c r="B19" s="83">
        <v>197887</v>
      </c>
      <c r="C19" s="85">
        <v>43.411851725178217</v>
      </c>
      <c r="D19" s="86">
        <f t="shared" si="0"/>
        <v>217059.25862589109</v>
      </c>
      <c r="E19">
        <v>17</v>
      </c>
      <c r="F19" s="85">
        <v>45</v>
      </c>
      <c r="G19" s="86">
        <f t="shared" si="1"/>
        <v>225000</v>
      </c>
      <c r="H19">
        <v>17</v>
      </c>
      <c r="I19" s="85">
        <v>19.932995218151188</v>
      </c>
      <c r="J19" s="86">
        <f t="shared" si="2"/>
        <v>99664.976090755939</v>
      </c>
    </row>
    <row r="20" spans="1:10" x14ac:dyDescent="0.35">
      <c r="A20">
        <v>18</v>
      </c>
      <c r="B20" s="83">
        <v>217676</v>
      </c>
      <c r="C20" s="85">
        <v>50.428348550749483</v>
      </c>
      <c r="D20" s="86">
        <f t="shared" si="0"/>
        <v>252141.74275374741</v>
      </c>
      <c r="E20">
        <v>18</v>
      </c>
      <c r="F20" s="85">
        <v>49.5</v>
      </c>
      <c r="G20" s="86">
        <f t="shared" si="1"/>
        <v>247500</v>
      </c>
      <c r="H20">
        <v>18</v>
      </c>
      <c r="I20" s="85">
        <v>22.118442471730805</v>
      </c>
      <c r="J20" s="86">
        <f t="shared" si="2"/>
        <v>110592.21235865403</v>
      </c>
    </row>
    <row r="21" spans="1:10" x14ac:dyDescent="0.35">
      <c r="A21">
        <v>19</v>
      </c>
      <c r="B21" s="83">
        <v>239443</v>
      </c>
      <c r="C21" s="85">
        <v>58.578895773777035</v>
      </c>
      <c r="D21" s="86">
        <f t="shared" si="0"/>
        <v>292894.4788688852</v>
      </c>
      <c r="E21">
        <v>19</v>
      </c>
      <c r="F21" s="85">
        <v>54.4</v>
      </c>
      <c r="G21" s="86">
        <f t="shared" si="1"/>
        <v>272000</v>
      </c>
      <c r="H21">
        <v>19</v>
      </c>
      <c r="I21" s="85">
        <v>24.543501466842848</v>
      </c>
      <c r="J21" s="86">
        <f t="shared" si="2"/>
        <v>122717.50733421424</v>
      </c>
    </row>
    <row r="22" spans="1:10" x14ac:dyDescent="0.35">
      <c r="A22">
        <v>20</v>
      </c>
      <c r="B22" s="83">
        <v>263387</v>
      </c>
      <c r="C22" s="85">
        <v>68.046785760229568</v>
      </c>
      <c r="D22" s="86">
        <f t="shared" si="0"/>
        <v>340233.92880114785</v>
      </c>
      <c r="E22">
        <v>20</v>
      </c>
      <c r="F22" s="85">
        <v>59.9</v>
      </c>
      <c r="G22" s="86">
        <f t="shared" si="1"/>
        <v>299500</v>
      </c>
      <c r="H22">
        <v>20</v>
      </c>
      <c r="I22" s="85">
        <v>27.23444315859097</v>
      </c>
      <c r="J22" s="86">
        <f t="shared" si="2"/>
        <v>136172.21579295484</v>
      </c>
    </row>
    <row r="23" spans="1:10" x14ac:dyDescent="0.35">
      <c r="A23">
        <v>21</v>
      </c>
      <c r="B23" s="83">
        <v>289726</v>
      </c>
      <c r="C23" s="85">
        <v>79.044935742393662</v>
      </c>
      <c r="D23" s="86">
        <f t="shared" si="0"/>
        <v>395224.6787119683</v>
      </c>
      <c r="E23">
        <v>21</v>
      </c>
      <c r="F23" s="85">
        <v>65.8</v>
      </c>
      <c r="G23" s="86">
        <f t="shared" si="1"/>
        <v>329000</v>
      </c>
      <c r="H23">
        <v>21</v>
      </c>
      <c r="I23" s="85">
        <v>30.220418841237692</v>
      </c>
      <c r="J23" s="86">
        <f t="shared" si="2"/>
        <v>151102.09420618846</v>
      </c>
    </row>
    <row r="24" spans="1:10" x14ac:dyDescent="0.35">
      <c r="A24">
        <v>22</v>
      </c>
      <c r="B24" s="83">
        <v>318699</v>
      </c>
      <c r="C24" s="85">
        <v>91.820675976305864</v>
      </c>
      <c r="D24" s="86">
        <f t="shared" si="0"/>
        <v>459103.37988152931</v>
      </c>
      <c r="E24">
        <v>22</v>
      </c>
      <c r="F24" s="85">
        <v>72.400000000000006</v>
      </c>
      <c r="G24" s="86">
        <f t="shared" si="1"/>
        <v>362000</v>
      </c>
      <c r="H24">
        <v>22</v>
      </c>
      <c r="I24" s="85">
        <v>33.53377594767332</v>
      </c>
      <c r="J24" s="86">
        <f t="shared" si="2"/>
        <v>167668.87973836661</v>
      </c>
    </row>
    <row r="25" spans="1:10" x14ac:dyDescent="0.35">
      <c r="A25">
        <v>23</v>
      </c>
      <c r="B25" s="83">
        <v>350569</v>
      </c>
      <c r="C25" s="85">
        <v>106.66131179133832</v>
      </c>
      <c r="D25" s="86">
        <f t="shared" si="0"/>
        <v>533306.55895669165</v>
      </c>
      <c r="E25">
        <v>23</v>
      </c>
      <c r="F25" s="85">
        <v>79.7</v>
      </c>
      <c r="G25" s="86">
        <f t="shared" si="1"/>
        <v>398500</v>
      </c>
      <c r="H25">
        <v>23</v>
      </c>
      <c r="I25" s="85">
        <v>37.210408473038179</v>
      </c>
      <c r="J25" s="86">
        <f t="shared" si="2"/>
        <v>186052.04236519089</v>
      </c>
    </row>
    <row r="26" spans="1:10" x14ac:dyDescent="0.35">
      <c r="A26">
        <v>24</v>
      </c>
      <c r="B26" s="83">
        <v>385625</v>
      </c>
      <c r="C26" s="85">
        <v>123.90058461326079</v>
      </c>
      <c r="D26" s="86">
        <f t="shared" si="0"/>
        <v>619502.92306630395</v>
      </c>
      <c r="E26">
        <v>24</v>
      </c>
      <c r="F26" s="85">
        <v>87.6</v>
      </c>
      <c r="G26" s="86">
        <f t="shared" si="1"/>
        <v>438000</v>
      </c>
      <c r="H26">
        <v>24</v>
      </c>
      <c r="I26" s="85">
        <v>41.290145818679285</v>
      </c>
      <c r="J26" s="86">
        <f t="shared" si="2"/>
        <v>206450.72909339643</v>
      </c>
    </row>
    <row r="27" spans="1:10" x14ac:dyDescent="0.35">
      <c r="A27">
        <v>25</v>
      </c>
      <c r="B27" s="83">
        <v>424188</v>
      </c>
      <c r="C27" s="85">
        <v>143.92617725853282</v>
      </c>
      <c r="D27" s="86">
        <f t="shared" si="0"/>
        <v>719630.8862926641</v>
      </c>
      <c r="E27">
        <v>25</v>
      </c>
      <c r="F27" s="85">
        <v>96.4</v>
      </c>
      <c r="G27" s="86">
        <f t="shared" si="1"/>
        <v>482000</v>
      </c>
      <c r="H27">
        <v>25</v>
      </c>
      <c r="I27" s="85">
        <v>45.817184268834701</v>
      </c>
      <c r="J27" s="86">
        <f t="shared" si="2"/>
        <v>229085.92134417352</v>
      </c>
    </row>
    <row r="28" spans="1:10" x14ac:dyDescent="0.35">
      <c r="A28">
        <v>26</v>
      </c>
      <c r="B28" s="83">
        <v>466607</v>
      </c>
      <c r="C28" s="85">
        <v>167.18843228151772</v>
      </c>
      <c r="D28" s="86">
        <f t="shared" si="0"/>
        <v>835942.16140758863</v>
      </c>
      <c r="E28">
        <v>26</v>
      </c>
      <c r="F28" s="85">
        <v>106</v>
      </c>
      <c r="G28" s="86">
        <f t="shared" si="1"/>
        <v>530000</v>
      </c>
      <c r="H28">
        <v>26</v>
      </c>
      <c r="I28" s="85">
        <v>50.8405657742843</v>
      </c>
      <c r="J28" s="86">
        <f t="shared" si="2"/>
        <v>254202.82887142152</v>
      </c>
    </row>
    <row r="29" spans="1:10" x14ac:dyDescent="0.35">
      <c r="A29">
        <v>27</v>
      </c>
      <c r="B29" s="83">
        <v>513268</v>
      </c>
      <c r="C29" s="85">
        <v>194.21047943586979</v>
      </c>
      <c r="D29" s="86">
        <f t="shared" si="0"/>
        <v>971052.39717934898</v>
      </c>
      <c r="E29">
        <v>27</v>
      </c>
      <c r="F29" s="85">
        <v>116.7</v>
      </c>
      <c r="G29" s="86">
        <f t="shared" si="1"/>
        <v>583500</v>
      </c>
      <c r="H29">
        <v>27</v>
      </c>
      <c r="I29" s="85">
        <v>56.414709229687638</v>
      </c>
      <c r="J29" s="86">
        <f t="shared" si="2"/>
        <v>282073.54614843818</v>
      </c>
    </row>
    <row r="30" spans="1:10" x14ac:dyDescent="0.35">
      <c r="A30">
        <v>28</v>
      </c>
      <c r="B30" s="83">
        <v>564594</v>
      </c>
      <c r="C30" s="85">
        <v>229</v>
      </c>
      <c r="D30" s="86">
        <f t="shared" si="0"/>
        <v>1145000</v>
      </c>
      <c r="E30">
        <v>28</v>
      </c>
      <c r="F30" s="85">
        <v>128.30000000000001</v>
      </c>
      <c r="G30" s="86">
        <f t="shared" si="1"/>
        <v>641500</v>
      </c>
      <c r="H30">
        <v>28</v>
      </c>
      <c r="I30" s="85">
        <v>66</v>
      </c>
      <c r="J30" s="86">
        <f t="shared" si="2"/>
        <v>330000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Refs</vt:lpstr>
      <vt:lpstr>ETA</vt:lpstr>
      <vt:lpstr>FM</vt:lpstr>
      <vt:lpstr>CM_0</vt:lpstr>
      <vt:lpstr>DELTA</vt:lpstr>
      <vt:lpstr>CF_0</vt:lpstr>
      <vt:lpstr>EFF</vt:lpstr>
      <vt:lpstr>INF</vt:lpstr>
      <vt:lpstr>DEV</vt:lpstr>
      <vt:lpstr>LAMBDA</vt:lpstr>
      <vt:lpstr>GAMMA</vt:lpstr>
      <vt:lpstr>RESALE</vt:lpstr>
      <vt:lpstr>EVOL</vt:lpstr>
      <vt:lpstr>WTW</vt:lpstr>
      <vt:lpstr>BETA</vt:lpstr>
      <vt:lpstr>SA</vt:lpstr>
      <vt:lpstr>SF</vt:lpstr>
      <vt:lpstr>Omega</vt:lpstr>
      <vt:lpstr>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Ladino, Andres</dc:creator>
  <cp:lastModifiedBy>Cristiam Andreas, Gil Gonzalez</cp:lastModifiedBy>
  <dcterms:created xsi:type="dcterms:W3CDTF">2022-11-01T10:51:58Z</dcterms:created>
  <dcterms:modified xsi:type="dcterms:W3CDTF">2023-02-14T06:02:49Z</dcterms:modified>
</cp:coreProperties>
</file>