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drawings/drawing1.xml" ContentType="application/vnd.openxmlformats-officedocument.drawing+xml"/>
  <Override PartName="/xl/tables/table14.xml" ContentType="application/vnd.openxmlformats-officedocument.spreadsheetml.table+xml"/>
  <Override PartName="/xl/drawings/drawing2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drawings/drawing3.xml" ContentType="application/vnd.openxmlformats-officedocument.drawing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amultasfiq/Desktop/FACT-Project/"/>
    </mc:Choice>
  </mc:AlternateContent>
  <xr:revisionPtr revIDLastSave="0" documentId="13_ncr:1_{1CF1BF55-55F8-CF49-B4A4-1A70082966B1}" xr6:coauthVersionLast="47" xr6:coauthVersionMax="47" xr10:uidLastSave="{00000000-0000-0000-0000-000000000000}"/>
  <bookViews>
    <workbookView xWindow="160" yWindow="1040" windowWidth="35680" windowHeight="22180" activeTab="5" xr2:uid="{9B4A493E-70C4-47F8-9866-440D113E782F}"/>
  </bookViews>
  <sheets>
    <sheet name=" Green Zebra Historic Data" sheetId="1" r:id="rId1"/>
    <sheet name="Finance option" sheetId="4" r:id="rId2"/>
    <sheet name="1-Store Portland Expansion" sheetId="3" r:id="rId3"/>
    <sheet name="GZ Competitors AND WACC" sheetId="6" r:id="rId4"/>
    <sheet name="3‐Store Seattle Expan " sheetId="9" r:id="rId5"/>
    <sheet name="3 and 3‐Store Seattle Expansion" sheetId="5" r:id="rId6"/>
    <sheet name="NPV and PI" sheetId="8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83" i="5" l="1"/>
  <c r="I83" i="5"/>
  <c r="J83" i="5"/>
  <c r="K83" i="5"/>
  <c r="L83" i="5"/>
  <c r="G83" i="5"/>
  <c r="F30" i="8"/>
  <c r="F29" i="8"/>
  <c r="E30" i="8"/>
  <c r="E29" i="8"/>
  <c r="D30" i="8"/>
  <c r="D29" i="8"/>
  <c r="I2" i="8"/>
  <c r="H2" i="8"/>
  <c r="N12" i="8"/>
  <c r="D13" i="8"/>
  <c r="D6" i="8"/>
  <c r="D2" i="8"/>
  <c r="H33" i="9"/>
  <c r="I33" i="9"/>
  <c r="J33" i="9"/>
  <c r="K33" i="9"/>
  <c r="L33" i="9"/>
  <c r="G33" i="9"/>
  <c r="L31" i="9"/>
  <c r="K31" i="9"/>
  <c r="J31" i="9"/>
  <c r="I31" i="9"/>
  <c r="H31" i="9"/>
  <c r="G31" i="9"/>
  <c r="H30" i="9"/>
  <c r="I30" i="9" s="1"/>
  <c r="J30" i="9" s="1"/>
  <c r="K30" i="9" s="1"/>
  <c r="L30" i="9" s="1"/>
  <c r="G30" i="9"/>
  <c r="L77" i="9"/>
  <c r="K77" i="9"/>
  <c r="J77" i="9"/>
  <c r="I77" i="9"/>
  <c r="H77" i="9"/>
  <c r="G77" i="9"/>
  <c r="L74" i="9"/>
  <c r="K74" i="9"/>
  <c r="J74" i="9"/>
  <c r="I74" i="9"/>
  <c r="H74" i="9"/>
  <c r="G74" i="9"/>
  <c r="L37" i="9"/>
  <c r="K37" i="9"/>
  <c r="J37" i="9"/>
  <c r="I37" i="9"/>
  <c r="H37" i="9"/>
  <c r="G37" i="9"/>
  <c r="L16" i="9" a="1"/>
  <c r="C7" i="9"/>
  <c r="C6" i="9"/>
  <c r="C8" i="9" s="1"/>
  <c r="C9" i="9" s="1"/>
  <c r="G53" i="9" s="1"/>
  <c r="D3" i="9"/>
  <c r="F3" i="9" s="1"/>
  <c r="O4" i="8"/>
  <c r="P4" i="8"/>
  <c r="Q4" i="8"/>
  <c r="R4" i="8"/>
  <c r="S4" i="8"/>
  <c r="O5" i="8"/>
  <c r="P5" i="8"/>
  <c r="Q5" i="8"/>
  <c r="R5" i="8"/>
  <c r="S5" i="8"/>
  <c r="N4" i="8"/>
  <c r="O3" i="8"/>
  <c r="P3" i="8"/>
  <c r="Q3" i="8"/>
  <c r="R3" i="8"/>
  <c r="S3" i="8"/>
  <c r="N3" i="8"/>
  <c r="O2" i="8"/>
  <c r="O6" i="8" s="1"/>
  <c r="P2" i="8"/>
  <c r="P6" i="8" s="1"/>
  <c r="Q2" i="8"/>
  <c r="Q6" i="8" s="1"/>
  <c r="R2" i="8"/>
  <c r="R6" i="8" s="1"/>
  <c r="S2" i="8"/>
  <c r="S6" i="8" s="1"/>
  <c r="N2" i="8"/>
  <c r="D9" i="8"/>
  <c r="D4" i="8"/>
  <c r="E3" i="8"/>
  <c r="F3" i="8"/>
  <c r="G3" i="8"/>
  <c r="H3" i="8"/>
  <c r="I3" i="8"/>
  <c r="D3" i="8"/>
  <c r="B36" i="6"/>
  <c r="D107" i="6"/>
  <c r="D108" i="6" s="1"/>
  <c r="B37" i="6"/>
  <c r="B35" i="6"/>
  <c r="B44" i="6" s="1"/>
  <c r="B45" i="6" s="1"/>
  <c r="G39" i="6"/>
  <c r="H39" i="6"/>
  <c r="F39" i="6"/>
  <c r="M34" i="6"/>
  <c r="G32" i="6"/>
  <c r="H32" i="6"/>
  <c r="F32" i="6"/>
  <c r="L34" i="6"/>
  <c r="G31" i="6"/>
  <c r="G33" i="6" s="1"/>
  <c r="H31" i="6"/>
  <c r="H33" i="6" s="1"/>
  <c r="F31" i="6"/>
  <c r="F33" i="6" s="1"/>
  <c r="L27" i="6"/>
  <c r="L29" i="6" s="1"/>
  <c r="N5" i="6"/>
  <c r="O5" i="6"/>
  <c r="M5" i="6"/>
  <c r="L19" i="6"/>
  <c r="L13" i="6"/>
  <c r="N4" i="6"/>
  <c r="M7" i="6" s="1"/>
  <c r="O4" i="6"/>
  <c r="N7" i="6" s="1"/>
  <c r="N3" i="6"/>
  <c r="M6" i="6" s="1"/>
  <c r="O3" i="6"/>
  <c r="N6" i="6" s="1"/>
  <c r="M4" i="6"/>
  <c r="L7" i="6" s="1"/>
  <c r="P7" i="6" s="1"/>
  <c r="M3" i="6"/>
  <c r="L6" i="6" s="1"/>
  <c r="P6" i="6" s="1"/>
  <c r="L5" i="6"/>
  <c r="L4" i="6"/>
  <c r="L3" i="6"/>
  <c r="M1" i="6" a="1"/>
  <c r="M1" i="6"/>
  <c r="H33" i="5"/>
  <c r="I33" i="5"/>
  <c r="J33" i="5"/>
  <c r="K33" i="5"/>
  <c r="L33" i="5"/>
  <c r="G33" i="5"/>
  <c r="G22" i="5"/>
  <c r="H27" i="5"/>
  <c r="I27" i="5"/>
  <c r="J27" i="5"/>
  <c r="K27" i="5"/>
  <c r="L27" i="5"/>
  <c r="G27" i="5"/>
  <c r="G77" i="5"/>
  <c r="H35" i="5"/>
  <c r="I35" i="5"/>
  <c r="J35" i="5"/>
  <c r="K35" i="5"/>
  <c r="L35" i="5"/>
  <c r="G35" i="5"/>
  <c r="D3" i="5"/>
  <c r="F3" i="5"/>
  <c r="E15" i="1"/>
  <c r="N94" i="1"/>
  <c r="O94" i="1"/>
  <c r="P94" i="1"/>
  <c r="Q94" i="1"/>
  <c r="R94" i="1"/>
  <c r="M94" i="1"/>
  <c r="N109" i="1"/>
  <c r="O109" i="1" s="1"/>
  <c r="P109" i="1" s="1"/>
  <c r="Q109" i="1" s="1"/>
  <c r="R109" i="1" s="1"/>
  <c r="M103" i="1"/>
  <c r="M102" i="1"/>
  <c r="M100" i="1"/>
  <c r="M98" i="1"/>
  <c r="M104" i="1" s="1"/>
  <c r="M106" i="1" s="1"/>
  <c r="M108" i="1" s="1"/>
  <c r="M110" i="1" s="1"/>
  <c r="M97" i="1"/>
  <c r="J31" i="5"/>
  <c r="I31" i="5"/>
  <c r="L31" i="5"/>
  <c r="K31" i="5"/>
  <c r="H31" i="5"/>
  <c r="G31" i="5"/>
  <c r="G30" i="5"/>
  <c r="H77" i="5"/>
  <c r="I77" i="5"/>
  <c r="J77" i="5"/>
  <c r="K77" i="5"/>
  <c r="L77" i="5"/>
  <c r="G74" i="5"/>
  <c r="Y59" i="3"/>
  <c r="Z59" i="3"/>
  <c r="AA59" i="3"/>
  <c r="AB59" i="3"/>
  <c r="AC59" i="3"/>
  <c r="X59" i="3"/>
  <c r="AC72" i="3"/>
  <c r="AB72" i="3"/>
  <c r="AA72" i="3"/>
  <c r="Z72" i="3"/>
  <c r="Y72" i="3"/>
  <c r="X72" i="3"/>
  <c r="O39" i="3"/>
  <c r="I42" i="3"/>
  <c r="J42" i="3"/>
  <c r="K42" i="3"/>
  <c r="L42" i="3"/>
  <c r="X15" i="3"/>
  <c r="X39" i="3" s="1"/>
  <c r="X65" i="3" s="1"/>
  <c r="X7" i="3"/>
  <c r="X31" i="3" s="1"/>
  <c r="X57" i="3" s="1"/>
  <c r="G29" i="3"/>
  <c r="G56" i="3" s="1"/>
  <c r="I30" i="3"/>
  <c r="I57" i="3" s="1"/>
  <c r="J30" i="3"/>
  <c r="J57" i="3" s="1"/>
  <c r="K30" i="3"/>
  <c r="K57" i="3" s="1"/>
  <c r="L30" i="3"/>
  <c r="L57" i="3" s="1"/>
  <c r="H30" i="3"/>
  <c r="H57" i="3" s="1"/>
  <c r="H7" i="3"/>
  <c r="M13" i="6" s="1"/>
  <c r="H71" i="3"/>
  <c r="I71" i="3" s="1"/>
  <c r="J71" i="3" s="1"/>
  <c r="K71" i="3" s="1"/>
  <c r="L71" i="3" s="1"/>
  <c r="J44" i="3"/>
  <c r="L44" i="3"/>
  <c r="I44" i="3"/>
  <c r="K44" i="3" s="1"/>
  <c r="H22" i="3"/>
  <c r="I22" i="3" s="1"/>
  <c r="J22" i="3" s="1"/>
  <c r="K22" i="3" s="1"/>
  <c r="L22" i="3" s="1"/>
  <c r="X46" i="3"/>
  <c r="P64" i="3"/>
  <c r="Q64" i="3"/>
  <c r="R64" i="3"/>
  <c r="S64" i="3"/>
  <c r="T64" i="3"/>
  <c r="P58" i="3"/>
  <c r="Q58" i="3"/>
  <c r="R58" i="3"/>
  <c r="S58" i="3"/>
  <c r="T58" i="3"/>
  <c r="O58" i="3"/>
  <c r="H37" i="5"/>
  <c r="I37" i="5"/>
  <c r="J37" i="5"/>
  <c r="K37" i="5"/>
  <c r="L37" i="5"/>
  <c r="G37" i="5"/>
  <c r="H74" i="5"/>
  <c r="I74" i="5"/>
  <c r="J74" i="5"/>
  <c r="K74" i="5"/>
  <c r="L74" i="5"/>
  <c r="AC21" i="3"/>
  <c r="AB21" i="3"/>
  <c r="AA21" i="3"/>
  <c r="Z21" i="3"/>
  <c r="Y21" i="3"/>
  <c r="X21" i="3"/>
  <c r="R41" i="3"/>
  <c r="B30" i="3"/>
  <c r="Y46" i="3"/>
  <c r="Z46" i="3"/>
  <c r="AA46" i="3"/>
  <c r="AB46" i="3"/>
  <c r="AC46" i="3"/>
  <c r="Y43" i="3"/>
  <c r="Z43" i="3"/>
  <c r="AA43" i="3"/>
  <c r="AB43" i="3"/>
  <c r="AC43" i="3"/>
  <c r="X43" i="3"/>
  <c r="Y35" i="3"/>
  <c r="Y61" i="3" s="1"/>
  <c r="X35" i="3"/>
  <c r="X61" i="3" s="1"/>
  <c r="Y11" i="3"/>
  <c r="X11" i="3"/>
  <c r="E5" i="8"/>
  <c r="F5" i="8"/>
  <c r="G5" i="8"/>
  <c r="H5" i="8"/>
  <c r="I5" i="8"/>
  <c r="L35" i="9" l="1"/>
  <c r="L47" i="9" s="1"/>
  <c r="K35" i="9"/>
  <c r="K47" i="9" s="1"/>
  <c r="J35" i="9"/>
  <c r="J47" i="9" s="1"/>
  <c r="I35" i="9"/>
  <c r="I47" i="9" s="1"/>
  <c r="H35" i="9"/>
  <c r="H47" i="9" s="1"/>
  <c r="G35" i="9"/>
  <c r="G47" i="9" s="1"/>
  <c r="L27" i="9"/>
  <c r="K27" i="9"/>
  <c r="J27" i="9"/>
  <c r="I27" i="9"/>
  <c r="H27" i="9"/>
  <c r="L16" i="9"/>
  <c r="G27" i="9" s="1"/>
  <c r="G72" i="9"/>
  <c r="G68" i="9"/>
  <c r="H68" i="9" s="1"/>
  <c r="I68" i="9" s="1"/>
  <c r="J68" i="9" s="1"/>
  <c r="K68" i="9" s="1"/>
  <c r="L68" i="9" s="1"/>
  <c r="G65" i="9"/>
  <c r="G32" i="9"/>
  <c r="G71" i="9"/>
  <c r="G66" i="9"/>
  <c r="G49" i="9" s="1"/>
  <c r="H71" i="9"/>
  <c r="H66" i="9"/>
  <c r="H49" i="9" s="1"/>
  <c r="I71" i="9"/>
  <c r="I66" i="9"/>
  <c r="I49" i="9" s="1"/>
  <c r="J71" i="9"/>
  <c r="J66" i="9"/>
  <c r="J49" i="9" s="1"/>
  <c r="K71" i="9"/>
  <c r="K66" i="9"/>
  <c r="K49" i="9" s="1"/>
  <c r="L71" i="9"/>
  <c r="L66" i="9"/>
  <c r="L49" i="9" s="1"/>
  <c r="N6" i="8"/>
  <c r="B41" i="6"/>
  <c r="L20" i="6"/>
  <c r="F35" i="6"/>
  <c r="F41" i="6"/>
  <c r="F40" i="6"/>
  <c r="F34" i="6"/>
  <c r="H41" i="6"/>
  <c r="H40" i="6"/>
  <c r="G41" i="6"/>
  <c r="G40" i="6"/>
  <c r="X69" i="3"/>
  <c r="AC69" i="3"/>
  <c r="AB69" i="3"/>
  <c r="AA69" i="3"/>
  <c r="Z69" i="3"/>
  <c r="Y69" i="3"/>
  <c r="L14" i="6"/>
  <c r="M14" i="6"/>
  <c r="G72" i="5"/>
  <c r="G68" i="5"/>
  <c r="G65" i="5"/>
  <c r="G71" i="5"/>
  <c r="G50" i="5" s="1"/>
  <c r="G66" i="5"/>
  <c r="G49" i="5" s="1"/>
  <c r="H71" i="5"/>
  <c r="H50" i="5" s="1"/>
  <c r="H66" i="5"/>
  <c r="H49" i="5" s="1"/>
  <c r="K71" i="5"/>
  <c r="K50" i="5" s="1"/>
  <c r="K66" i="5"/>
  <c r="K49" i="5" s="1"/>
  <c r="L71" i="5"/>
  <c r="L50" i="5" s="1"/>
  <c r="L66" i="5"/>
  <c r="L49" i="5" s="1"/>
  <c r="I71" i="5"/>
  <c r="I50" i="5" s="1"/>
  <c r="I66" i="5"/>
  <c r="I49" i="5" s="1"/>
  <c r="J71" i="5"/>
  <c r="J50" i="5" s="1"/>
  <c r="J66" i="5"/>
  <c r="J49" i="5" s="1"/>
  <c r="H30" i="5"/>
  <c r="I30" i="5"/>
  <c r="N103" i="1"/>
  <c r="N102" i="1"/>
  <c r="N100" i="1"/>
  <c r="N98" i="1"/>
  <c r="N104" i="1" s="1"/>
  <c r="N106" i="1" s="1"/>
  <c r="N108" i="1" s="1"/>
  <c r="N110" i="1" s="1"/>
  <c r="N97" i="1"/>
  <c r="J30" i="5"/>
  <c r="D30" i="3"/>
  <c r="H42" i="3" s="1"/>
  <c r="P41" i="3" s="1"/>
  <c r="C30" i="3"/>
  <c r="G42" i="3" s="1"/>
  <c r="O41" i="3" s="1"/>
  <c r="S41" i="3"/>
  <c r="T41" i="3"/>
  <c r="I7" i="3"/>
  <c r="N13" i="6" s="1"/>
  <c r="N14" i="6" s="1"/>
  <c r="Y15" i="3"/>
  <c r="Y39" i="3" s="1"/>
  <c r="Y65" i="3" s="1"/>
  <c r="Y7" i="3"/>
  <c r="Y31" i="3" s="1"/>
  <c r="Y57" i="3" s="1"/>
  <c r="H29" i="3"/>
  <c r="H56" i="3" s="1"/>
  <c r="H47" i="5"/>
  <c r="I47" i="5"/>
  <c r="J47" i="5"/>
  <c r="K47" i="5"/>
  <c r="L47" i="5"/>
  <c r="G47" i="5"/>
  <c r="L16" i="5" a="1"/>
  <c r="L16" i="5"/>
  <c r="H72" i="5"/>
  <c r="Y9" i="3"/>
  <c r="Z9" i="3"/>
  <c r="AA9" i="3"/>
  <c r="AB9" i="3"/>
  <c r="AC9" i="3"/>
  <c r="X9" i="3"/>
  <c r="P31" i="3"/>
  <c r="Q31" i="3"/>
  <c r="R31" i="3"/>
  <c r="S31" i="3"/>
  <c r="T31" i="3"/>
  <c r="O31" i="3"/>
  <c r="O9" i="3"/>
  <c r="P9" i="3"/>
  <c r="Q9" i="3"/>
  <c r="R9" i="3"/>
  <c r="S9" i="3"/>
  <c r="T9" i="3"/>
  <c r="H69" i="3"/>
  <c r="P68" i="3" s="1"/>
  <c r="I69" i="3"/>
  <c r="Q68" i="3" s="1"/>
  <c r="J69" i="3"/>
  <c r="R68" i="3" s="1"/>
  <c r="K69" i="3"/>
  <c r="S68" i="3" s="1"/>
  <c r="L69" i="3"/>
  <c r="T68" i="3" s="1"/>
  <c r="G69" i="3"/>
  <c r="O68" i="3" s="1"/>
  <c r="G59" i="3"/>
  <c r="H59" i="3"/>
  <c r="G60" i="3"/>
  <c r="H60" i="3"/>
  <c r="G62" i="3"/>
  <c r="H62" i="3"/>
  <c r="G64" i="3"/>
  <c r="H64" i="3"/>
  <c r="G65" i="3"/>
  <c r="H65" i="3"/>
  <c r="I16" i="3"/>
  <c r="H16" i="3"/>
  <c r="G16" i="3"/>
  <c r="I15" i="3"/>
  <c r="H15" i="3"/>
  <c r="G15" i="3"/>
  <c r="I13" i="3"/>
  <c r="H13" i="3"/>
  <c r="G13" i="3"/>
  <c r="I11" i="3"/>
  <c r="I17" i="3" s="1"/>
  <c r="I19" i="3" s="1"/>
  <c r="I21" i="3" s="1"/>
  <c r="I23" i="3" s="1"/>
  <c r="H11" i="3"/>
  <c r="H17" i="3" s="1"/>
  <c r="H19" i="3" s="1"/>
  <c r="H21" i="3" s="1"/>
  <c r="H23" i="3" s="1"/>
  <c r="G11" i="3"/>
  <c r="G17" i="3" s="1"/>
  <c r="G19" i="3" s="1"/>
  <c r="G21" i="3" s="1"/>
  <c r="G23" i="3" s="1"/>
  <c r="X22" i="3" s="1"/>
  <c r="Y22" i="3" s="1"/>
  <c r="Z22" i="3" s="1"/>
  <c r="I10" i="3"/>
  <c r="H10" i="3"/>
  <c r="G10" i="3"/>
  <c r="C7" i="5"/>
  <c r="C6" i="5"/>
  <c r="C8" i="5" s="1"/>
  <c r="C9" i="5"/>
  <c r="G53" i="5" s="1"/>
  <c r="H38" i="3"/>
  <c r="G38" i="3"/>
  <c r="H37" i="3"/>
  <c r="G37" i="3"/>
  <c r="H35" i="3"/>
  <c r="G35" i="3"/>
  <c r="H33" i="3"/>
  <c r="H39" i="3" s="1"/>
  <c r="H41" i="3" s="1"/>
  <c r="G33" i="3"/>
  <c r="H32" i="3"/>
  <c r="G32" i="3"/>
  <c r="I15" i="1"/>
  <c r="J15" i="1"/>
  <c r="H15" i="1"/>
  <c r="I14" i="1"/>
  <c r="J14" i="1"/>
  <c r="H14" i="1"/>
  <c r="C7" i="3"/>
  <c r="I13" i="1"/>
  <c r="J13" i="1"/>
  <c r="I12" i="1"/>
  <c r="J12" i="1"/>
  <c r="I11" i="1"/>
  <c r="J11" i="1"/>
  <c r="I10" i="1"/>
  <c r="J10" i="1"/>
  <c r="H13" i="1"/>
  <c r="H12" i="1"/>
  <c r="H11" i="1"/>
  <c r="H10" i="1"/>
  <c r="I9" i="1"/>
  <c r="J9" i="1"/>
  <c r="H9" i="1"/>
  <c r="L50" i="9" l="1"/>
  <c r="K50" i="9"/>
  <c r="J50" i="9"/>
  <c r="I50" i="9"/>
  <c r="H50" i="9"/>
  <c r="G73" i="9"/>
  <c r="G75" i="9" s="1"/>
  <c r="G50" i="9"/>
  <c r="H72" i="9"/>
  <c r="H73" i="9" s="1"/>
  <c r="H75" i="9" s="1"/>
  <c r="H65" i="9"/>
  <c r="H67" i="9" s="1"/>
  <c r="H69" i="9" s="1"/>
  <c r="H32" i="9"/>
  <c r="H34" i="9" s="1"/>
  <c r="H36" i="9" s="1"/>
  <c r="G67" i="9"/>
  <c r="G69" i="9" s="1"/>
  <c r="G34" i="9"/>
  <c r="G36" i="9" s="1"/>
  <c r="G38" i="9" s="1"/>
  <c r="G40" i="9" s="1"/>
  <c r="G22" i="9"/>
  <c r="B43" i="6"/>
  <c r="B42" i="6"/>
  <c r="F36" i="6"/>
  <c r="F44" i="6"/>
  <c r="F45" i="6"/>
  <c r="F38" i="6"/>
  <c r="G66" i="3"/>
  <c r="G68" i="3" s="1"/>
  <c r="G70" i="3" s="1"/>
  <c r="G72" i="3" s="1"/>
  <c r="J65" i="5"/>
  <c r="O19" i="6"/>
  <c r="O20" i="6" s="1"/>
  <c r="I65" i="5"/>
  <c r="N19" i="6"/>
  <c r="N20" i="6" s="1"/>
  <c r="H65" i="5"/>
  <c r="M19" i="6"/>
  <c r="M20" i="6" s="1"/>
  <c r="H66" i="3"/>
  <c r="H68" i="3" s="1"/>
  <c r="H70" i="3" s="1"/>
  <c r="H72" i="3" s="1"/>
  <c r="O103" i="1"/>
  <c r="O102" i="1"/>
  <c r="O100" i="1"/>
  <c r="O98" i="1"/>
  <c r="O104" i="1" s="1"/>
  <c r="O106" i="1" s="1"/>
  <c r="O108" i="1" s="1"/>
  <c r="O110" i="1" s="1"/>
  <c r="O97" i="1"/>
  <c r="K30" i="5"/>
  <c r="O37" i="3"/>
  <c r="O15" i="3"/>
  <c r="X14" i="3"/>
  <c r="X38" i="3" s="1"/>
  <c r="X64" i="3" s="1"/>
  <c r="X68" i="3" s="1"/>
  <c r="X70" i="3" s="1"/>
  <c r="X8" i="3"/>
  <c r="Y14" i="3"/>
  <c r="Y38" i="3" s="1"/>
  <c r="Y64" i="3" s="1"/>
  <c r="Y68" i="3" s="1"/>
  <c r="Y70" i="3" s="1"/>
  <c r="Y8" i="3"/>
  <c r="Z14" i="3"/>
  <c r="Z38" i="3" s="1"/>
  <c r="Z64" i="3" s="1"/>
  <c r="Z8" i="3"/>
  <c r="J7" i="3"/>
  <c r="O13" i="6" s="1"/>
  <c r="O14" i="6" s="1"/>
  <c r="Z15" i="3"/>
  <c r="Z39" i="3" s="1"/>
  <c r="Z65" i="3" s="1"/>
  <c r="Z7" i="3"/>
  <c r="Z31" i="3" s="1"/>
  <c r="Z57" i="3" s="1"/>
  <c r="I29" i="3"/>
  <c r="Z35" i="3"/>
  <c r="Z61" i="3" s="1"/>
  <c r="Z11" i="3"/>
  <c r="O12" i="3"/>
  <c r="P12" i="3"/>
  <c r="Q12" i="3"/>
  <c r="X23" i="3"/>
  <c r="O29" i="3"/>
  <c r="O7" i="3"/>
  <c r="Y23" i="3"/>
  <c r="P29" i="3"/>
  <c r="P7" i="3"/>
  <c r="Z23" i="3"/>
  <c r="Q29" i="3"/>
  <c r="Q7" i="3"/>
  <c r="H68" i="5"/>
  <c r="I68" i="5" s="1"/>
  <c r="J68" i="5" s="1"/>
  <c r="K68" i="5" s="1"/>
  <c r="L68" i="5" s="1"/>
  <c r="G32" i="5"/>
  <c r="G34" i="5" s="1"/>
  <c r="G36" i="5" s="1"/>
  <c r="G38" i="5" s="1"/>
  <c r="G40" i="5" s="1"/>
  <c r="G73" i="5"/>
  <c r="G75" i="5" s="1"/>
  <c r="L21" i="6" s="1"/>
  <c r="L22" i="6" s="1"/>
  <c r="I72" i="5"/>
  <c r="G39" i="3"/>
  <c r="G41" i="3" s="1"/>
  <c r="G43" i="3" s="1"/>
  <c r="G45" i="3" s="1"/>
  <c r="X47" i="3" s="1"/>
  <c r="H38" i="9" l="1"/>
  <c r="E2" i="8"/>
  <c r="G79" i="9"/>
  <c r="G78" i="9" s="1"/>
  <c r="G45" i="9"/>
  <c r="G51" i="9" s="1"/>
  <c r="G56" i="9" s="1"/>
  <c r="G58" i="9" s="1"/>
  <c r="H57" i="9" s="1"/>
  <c r="I72" i="9"/>
  <c r="I73" i="9" s="1"/>
  <c r="I75" i="9" s="1"/>
  <c r="I65" i="9"/>
  <c r="I67" i="9" s="1"/>
  <c r="I69" i="9" s="1"/>
  <c r="I32" i="9"/>
  <c r="I34" i="9" s="1"/>
  <c r="I36" i="9" s="1"/>
  <c r="H40" i="9"/>
  <c r="O40" i="9" s="1"/>
  <c r="H42" i="6"/>
  <c r="G42" i="6"/>
  <c r="F42" i="6"/>
  <c r="X73" i="3"/>
  <c r="K65" i="5"/>
  <c r="P19" i="6"/>
  <c r="P20" i="6" s="1"/>
  <c r="O56" i="3"/>
  <c r="X74" i="3"/>
  <c r="O40" i="5"/>
  <c r="G45" i="5"/>
  <c r="L30" i="5"/>
  <c r="Z68" i="3"/>
  <c r="Z70" i="3" s="1"/>
  <c r="P103" i="1"/>
  <c r="P102" i="1"/>
  <c r="P100" i="1"/>
  <c r="P98" i="1"/>
  <c r="P104" i="1" s="1"/>
  <c r="P106" i="1" s="1"/>
  <c r="P108" i="1" s="1"/>
  <c r="P110" i="1" s="1"/>
  <c r="P97" i="1"/>
  <c r="P56" i="3"/>
  <c r="Y74" i="3"/>
  <c r="O34" i="3"/>
  <c r="O61" i="3"/>
  <c r="I56" i="3"/>
  <c r="I38" i="3"/>
  <c r="I37" i="3"/>
  <c r="I35" i="3"/>
  <c r="I33" i="3"/>
  <c r="I39" i="3" s="1"/>
  <c r="I41" i="3" s="1"/>
  <c r="I32" i="3"/>
  <c r="K7" i="3"/>
  <c r="P13" i="6" s="1"/>
  <c r="P14" i="6" s="1"/>
  <c r="AA15" i="3"/>
  <c r="AA39" i="3" s="1"/>
  <c r="AA65" i="3" s="1"/>
  <c r="AA7" i="3"/>
  <c r="AA31" i="3" s="1"/>
  <c r="AA57" i="3" s="1"/>
  <c r="J29" i="3"/>
  <c r="AA35" i="3"/>
  <c r="AA61" i="3" s="1"/>
  <c r="AA11" i="3"/>
  <c r="J16" i="3"/>
  <c r="J15" i="3"/>
  <c r="J13" i="3"/>
  <c r="J11" i="3"/>
  <c r="J17" i="3" s="1"/>
  <c r="J19" i="3" s="1"/>
  <c r="J21" i="3" s="1"/>
  <c r="J23" i="3" s="1"/>
  <c r="AA22" i="3" s="1"/>
  <c r="J10" i="3"/>
  <c r="Q11" i="3"/>
  <c r="Z32" i="3"/>
  <c r="Z58" i="3" s="1"/>
  <c r="Z60" i="3" s="1"/>
  <c r="Z62" i="3" s="1"/>
  <c r="P11" i="3"/>
  <c r="Y32" i="3"/>
  <c r="Y58" i="3" s="1"/>
  <c r="Y60" i="3" s="1"/>
  <c r="Y62" i="3" s="1"/>
  <c r="O11" i="3"/>
  <c r="X32" i="3"/>
  <c r="X58" i="3" s="1"/>
  <c r="X60" i="3" s="1"/>
  <c r="X62" i="3" s="1"/>
  <c r="O64" i="3"/>
  <c r="Q34" i="3"/>
  <c r="Q61" i="3"/>
  <c r="Q33" i="3"/>
  <c r="Q60" i="3"/>
  <c r="P34" i="3"/>
  <c r="P61" i="3"/>
  <c r="P33" i="3"/>
  <c r="P60" i="3"/>
  <c r="P62" i="3" s="1"/>
  <c r="P69" i="3" s="1"/>
  <c r="Q13" i="3"/>
  <c r="Q19" i="3" s="1"/>
  <c r="P13" i="3"/>
  <c r="P19" i="3" s="1"/>
  <c r="X24" i="3"/>
  <c r="G51" i="5"/>
  <c r="G79" i="5"/>
  <c r="G78" i="5" s="1"/>
  <c r="Q41" i="3"/>
  <c r="I43" i="3"/>
  <c r="I45" i="3" s="1"/>
  <c r="H43" i="3"/>
  <c r="H45" i="3" s="1"/>
  <c r="Y47" i="3" s="1"/>
  <c r="Z17" i="3"/>
  <c r="Z19" i="3" s="1"/>
  <c r="N15" i="6" s="1"/>
  <c r="N16" i="6" s="1"/>
  <c r="Z42" i="3"/>
  <c r="Z44" i="3" s="1"/>
  <c r="Y17" i="3"/>
  <c r="Y19" i="3" s="1"/>
  <c r="M15" i="6" s="1"/>
  <c r="M16" i="6" s="1"/>
  <c r="Y42" i="3"/>
  <c r="Y44" i="3" s="1"/>
  <c r="X17" i="3"/>
  <c r="X19" i="3" s="1"/>
  <c r="L15" i="6" s="1"/>
  <c r="L16" i="6" s="1"/>
  <c r="X42" i="3"/>
  <c r="X44" i="3" s="1"/>
  <c r="X48" i="3"/>
  <c r="X49" i="3" s="1"/>
  <c r="H32" i="5"/>
  <c r="H34" i="5" s="1"/>
  <c r="H36" i="5" s="1"/>
  <c r="H73" i="5"/>
  <c r="H75" i="5" s="1"/>
  <c r="M21" i="6" s="1"/>
  <c r="M22" i="6" s="1"/>
  <c r="J72" i="5"/>
  <c r="I38" i="9" l="1"/>
  <c r="F2" i="8"/>
  <c r="H38" i="5"/>
  <c r="P40" i="5" s="1"/>
  <c r="H39" i="5" s="1"/>
  <c r="H79" i="9"/>
  <c r="H45" i="9"/>
  <c r="H51" i="9" s="1"/>
  <c r="H56" i="9" s="1"/>
  <c r="H58" i="9" s="1"/>
  <c r="I57" i="9" s="1"/>
  <c r="J72" i="9"/>
  <c r="J73" i="9" s="1"/>
  <c r="J75" i="9" s="1"/>
  <c r="J65" i="9"/>
  <c r="J67" i="9" s="1"/>
  <c r="J69" i="9" s="1"/>
  <c r="J32" i="9"/>
  <c r="J34" i="9" s="1"/>
  <c r="J36" i="9" s="1"/>
  <c r="I40" i="9"/>
  <c r="H78" i="9"/>
  <c r="G80" i="9"/>
  <c r="G81" i="9" s="1"/>
  <c r="G83" i="9" s="1"/>
  <c r="F43" i="6"/>
  <c r="Z47" i="3"/>
  <c r="L65" i="5"/>
  <c r="Q19" i="6"/>
  <c r="Q20" i="6" s="1"/>
  <c r="Y73" i="3"/>
  <c r="Z73" i="3" s="1"/>
  <c r="AA73" i="3" s="1"/>
  <c r="AB73" i="3" s="1"/>
  <c r="AC73" i="3" s="1"/>
  <c r="X75" i="3"/>
  <c r="X76" i="3" s="1"/>
  <c r="X77" i="3" s="1"/>
  <c r="Y48" i="3"/>
  <c r="Y75" i="3"/>
  <c r="Y76" i="3" s="1"/>
  <c r="Y77" i="3" s="1"/>
  <c r="Q103" i="1"/>
  <c r="Q102" i="1"/>
  <c r="Q100" i="1"/>
  <c r="Q98" i="1"/>
  <c r="Q104" i="1" s="1"/>
  <c r="Q106" i="1" s="1"/>
  <c r="Q108" i="1" s="1"/>
  <c r="Q110" i="1" s="1"/>
  <c r="Q97" i="1"/>
  <c r="Z48" i="3"/>
  <c r="O60" i="3"/>
  <c r="O62" i="3" s="1"/>
  <c r="O69" i="3" s="1"/>
  <c r="O71" i="3" s="1"/>
  <c r="P70" i="3" s="1"/>
  <c r="P71" i="3" s="1"/>
  <c r="Q70" i="3" s="1"/>
  <c r="O33" i="3"/>
  <c r="O35" i="3" s="1"/>
  <c r="O13" i="3"/>
  <c r="O19" i="3" s="1"/>
  <c r="O21" i="3" s="1"/>
  <c r="P20" i="3" s="1"/>
  <c r="P21" i="3" s="1"/>
  <c r="AA14" i="3"/>
  <c r="AA8" i="3"/>
  <c r="R12" i="3"/>
  <c r="AA23" i="3"/>
  <c r="R29" i="3"/>
  <c r="R7" i="3"/>
  <c r="J56" i="3"/>
  <c r="J38" i="3"/>
  <c r="J37" i="3"/>
  <c r="J35" i="3"/>
  <c r="J33" i="3"/>
  <c r="J39" i="3" s="1"/>
  <c r="J41" i="3" s="1"/>
  <c r="J43" i="3" s="1"/>
  <c r="J45" i="3" s="1"/>
  <c r="J32" i="3"/>
  <c r="L7" i="3"/>
  <c r="Q13" i="6" s="1"/>
  <c r="Q14" i="6" s="1"/>
  <c r="AB15" i="3"/>
  <c r="AB39" i="3" s="1"/>
  <c r="AB65" i="3" s="1"/>
  <c r="AB7" i="3"/>
  <c r="AB31" i="3" s="1"/>
  <c r="AB57" i="3" s="1"/>
  <c r="K29" i="3"/>
  <c r="AB35" i="3"/>
  <c r="AB61" i="3" s="1"/>
  <c r="AB11" i="3"/>
  <c r="K16" i="3"/>
  <c r="K15" i="3"/>
  <c r="K13" i="3"/>
  <c r="K11" i="3"/>
  <c r="K17" i="3" s="1"/>
  <c r="K19" i="3" s="1"/>
  <c r="K21" i="3" s="1"/>
  <c r="K23" i="3" s="1"/>
  <c r="AB22" i="3" s="1"/>
  <c r="K10" i="3"/>
  <c r="I59" i="3"/>
  <c r="I60" i="3"/>
  <c r="I62" i="3"/>
  <c r="I64" i="3"/>
  <c r="I65" i="3"/>
  <c r="Q35" i="3"/>
  <c r="P35" i="3"/>
  <c r="Q20" i="3"/>
  <c r="Q21" i="3" s="1"/>
  <c r="G56" i="5"/>
  <c r="G58" i="5" s="1"/>
  <c r="H57" i="5" s="1"/>
  <c r="X25" i="3"/>
  <c r="Y24" i="3"/>
  <c r="Y49" i="3"/>
  <c r="X50" i="3"/>
  <c r="I32" i="5"/>
  <c r="I34" i="5" s="1"/>
  <c r="I36" i="5" s="1"/>
  <c r="I73" i="5"/>
  <c r="I75" i="5" s="1"/>
  <c r="N21" i="6" s="1"/>
  <c r="N22" i="6" s="1"/>
  <c r="K72" i="5"/>
  <c r="J38" i="9" l="1"/>
  <c r="P40" i="9" s="1"/>
  <c r="G2" i="8"/>
  <c r="I38" i="5"/>
  <c r="I39" i="5" s="1"/>
  <c r="I78" i="9"/>
  <c r="H80" i="9"/>
  <c r="H81" i="9" s="1"/>
  <c r="H83" i="9" s="1"/>
  <c r="I79" i="9"/>
  <c r="I45" i="9"/>
  <c r="I51" i="9" s="1"/>
  <c r="I56" i="9" s="1"/>
  <c r="I58" i="9" s="1"/>
  <c r="J57" i="9" s="1"/>
  <c r="K72" i="9"/>
  <c r="K73" i="9" s="1"/>
  <c r="K75" i="9" s="1"/>
  <c r="K65" i="9"/>
  <c r="K67" i="9" s="1"/>
  <c r="K69" i="9" s="1"/>
  <c r="K32" i="9"/>
  <c r="K34" i="9" s="1"/>
  <c r="K36" i="9" s="1"/>
  <c r="J40" i="9"/>
  <c r="F46" i="6"/>
  <c r="B46" i="6"/>
  <c r="AA48" i="3"/>
  <c r="AA47" i="3"/>
  <c r="I66" i="3"/>
  <c r="R103" i="1"/>
  <c r="R102" i="1"/>
  <c r="R100" i="1"/>
  <c r="R98" i="1"/>
  <c r="R104" i="1" s="1"/>
  <c r="R106" i="1" s="1"/>
  <c r="R108" i="1" s="1"/>
  <c r="R110" i="1" s="1"/>
  <c r="R97" i="1"/>
  <c r="I68" i="3"/>
  <c r="I70" i="3" s="1"/>
  <c r="I72" i="3" s="1"/>
  <c r="AB14" i="3"/>
  <c r="AB8" i="3"/>
  <c r="S12" i="3"/>
  <c r="AB23" i="3"/>
  <c r="S29" i="3"/>
  <c r="S7" i="3"/>
  <c r="K56" i="3"/>
  <c r="K38" i="3"/>
  <c r="K37" i="3"/>
  <c r="K35" i="3"/>
  <c r="K33" i="3"/>
  <c r="K39" i="3" s="1"/>
  <c r="K41" i="3" s="1"/>
  <c r="K43" i="3" s="1"/>
  <c r="K45" i="3" s="1"/>
  <c r="AB48" i="3" s="1"/>
  <c r="K32" i="3"/>
  <c r="AC15" i="3"/>
  <c r="AC39" i="3" s="1"/>
  <c r="AC65" i="3" s="1"/>
  <c r="AC7" i="3"/>
  <c r="AC31" i="3" s="1"/>
  <c r="AC57" i="3" s="1"/>
  <c r="L29" i="3"/>
  <c r="AC35" i="3"/>
  <c r="AC61" i="3" s="1"/>
  <c r="AC11" i="3"/>
  <c r="L16" i="3"/>
  <c r="L15" i="3"/>
  <c r="L13" i="3"/>
  <c r="L11" i="3"/>
  <c r="L17" i="3" s="1"/>
  <c r="L19" i="3" s="1"/>
  <c r="L21" i="3" s="1"/>
  <c r="L23" i="3" s="1"/>
  <c r="AC22" i="3" s="1"/>
  <c r="L10" i="3"/>
  <c r="J59" i="3"/>
  <c r="J60" i="3"/>
  <c r="J62" i="3"/>
  <c r="J64" i="3"/>
  <c r="J65" i="3"/>
  <c r="R34" i="3"/>
  <c r="R61" i="3"/>
  <c r="R11" i="3"/>
  <c r="AA32" i="3"/>
  <c r="AA58" i="3" s="1"/>
  <c r="AA60" i="3" s="1"/>
  <c r="AA62" i="3" s="1"/>
  <c r="AA38" i="3"/>
  <c r="AA17" i="3"/>
  <c r="AA19" i="3" s="1"/>
  <c r="O15" i="6" s="1"/>
  <c r="O16" i="6" s="1"/>
  <c r="O42" i="3"/>
  <c r="O44" i="3" s="1"/>
  <c r="P43" i="3" s="1"/>
  <c r="Q42" i="3"/>
  <c r="P42" i="3"/>
  <c r="P44" i="3" s="1"/>
  <c r="R20" i="3"/>
  <c r="G67" i="5"/>
  <c r="G69" i="5" s="1"/>
  <c r="Z24" i="3"/>
  <c r="I40" i="5"/>
  <c r="I45" i="5" s="1"/>
  <c r="I51" i="5"/>
  <c r="I79" i="5"/>
  <c r="X10" i="3"/>
  <c r="X12" i="3" s="1"/>
  <c r="X26" i="3" s="1"/>
  <c r="X34" i="3"/>
  <c r="X36" i="3" s="1"/>
  <c r="X51" i="3" s="1"/>
  <c r="Q43" i="3"/>
  <c r="Q44" i="3" s="1"/>
  <c r="Z49" i="3"/>
  <c r="Y50" i="3"/>
  <c r="J32" i="5"/>
  <c r="J34" i="5" s="1"/>
  <c r="J36" i="5" s="1"/>
  <c r="J73" i="5"/>
  <c r="J75" i="5" s="1"/>
  <c r="O21" i="6" s="1"/>
  <c r="O22" i="6" s="1"/>
  <c r="I56" i="5"/>
  <c r="L72" i="5"/>
  <c r="K38" i="9" l="1"/>
  <c r="J38" i="5"/>
  <c r="J39" i="5" s="1"/>
  <c r="J79" i="9"/>
  <c r="J45" i="9"/>
  <c r="J51" i="9" s="1"/>
  <c r="J56" i="9" s="1"/>
  <c r="J58" i="9" s="1"/>
  <c r="K57" i="9" s="1"/>
  <c r="L72" i="9"/>
  <c r="L73" i="9" s="1"/>
  <c r="L75" i="9" s="1"/>
  <c r="L65" i="9"/>
  <c r="L67" i="9" s="1"/>
  <c r="L69" i="9" s="1"/>
  <c r="L32" i="9"/>
  <c r="L34" i="9" s="1"/>
  <c r="L36" i="9" s="1"/>
  <c r="K40" i="9"/>
  <c r="J78" i="9"/>
  <c r="I80" i="9"/>
  <c r="I81" i="9" s="1"/>
  <c r="I83" i="9" s="1"/>
  <c r="B47" i="6"/>
  <c r="AB47" i="3"/>
  <c r="AA42" i="3"/>
  <c r="AA44" i="3" s="1"/>
  <c r="AA64" i="3"/>
  <c r="AA68" i="3" s="1"/>
  <c r="AA70" i="3" s="1"/>
  <c r="J66" i="3"/>
  <c r="Q56" i="3"/>
  <c r="Q62" i="3" s="1"/>
  <c r="Q69" i="3" s="1"/>
  <c r="Q71" i="3" s="1"/>
  <c r="R70" i="3" s="1"/>
  <c r="Z74" i="3"/>
  <c r="Z75" i="3" s="1"/>
  <c r="Z76" i="3" s="1"/>
  <c r="Z77" i="3" s="1"/>
  <c r="R33" i="3"/>
  <c r="R35" i="3" s="1"/>
  <c r="R60" i="3"/>
  <c r="R13" i="3"/>
  <c r="R19" i="3" s="1"/>
  <c r="R21" i="3" s="1"/>
  <c r="J68" i="3"/>
  <c r="J70" i="3" s="1"/>
  <c r="J72" i="3" s="1"/>
  <c r="AC14" i="3"/>
  <c r="AC8" i="3"/>
  <c r="T12" i="3"/>
  <c r="AC23" i="3"/>
  <c r="T29" i="3"/>
  <c r="T7" i="3"/>
  <c r="L56" i="3"/>
  <c r="L38" i="3"/>
  <c r="L37" i="3"/>
  <c r="L35" i="3"/>
  <c r="L33" i="3"/>
  <c r="L39" i="3" s="1"/>
  <c r="L41" i="3" s="1"/>
  <c r="L43" i="3" s="1"/>
  <c r="L45" i="3" s="1"/>
  <c r="AC48" i="3" s="1"/>
  <c r="L32" i="3"/>
  <c r="K59" i="3"/>
  <c r="K60" i="3"/>
  <c r="K62" i="3"/>
  <c r="K64" i="3"/>
  <c r="K65" i="3"/>
  <c r="S34" i="3"/>
  <c r="S61" i="3"/>
  <c r="S11" i="3"/>
  <c r="AB32" i="3"/>
  <c r="AB58" i="3" s="1"/>
  <c r="AB60" i="3" s="1"/>
  <c r="AB62" i="3" s="1"/>
  <c r="AB38" i="3"/>
  <c r="AB17" i="3"/>
  <c r="AB19" i="3" s="1"/>
  <c r="P15" i="6" s="1"/>
  <c r="P16" i="6" s="1"/>
  <c r="S20" i="3"/>
  <c r="AA24" i="3"/>
  <c r="J40" i="5"/>
  <c r="J45" i="5" s="1"/>
  <c r="J51" i="5"/>
  <c r="J79" i="5"/>
  <c r="Y34" i="3"/>
  <c r="Y36" i="3" s="1"/>
  <c r="Y51" i="3" s="1"/>
  <c r="Y10" i="3"/>
  <c r="Y12" i="3" s="1"/>
  <c r="Y26" i="3" s="1"/>
  <c r="R43" i="3"/>
  <c r="AA49" i="3"/>
  <c r="Z50" i="3"/>
  <c r="K32" i="5"/>
  <c r="K34" i="5" s="1"/>
  <c r="K36" i="5" s="1"/>
  <c r="K73" i="5"/>
  <c r="K75" i="5" s="1"/>
  <c r="P21" i="6" s="1"/>
  <c r="P22" i="6" s="1"/>
  <c r="L38" i="9" l="1"/>
  <c r="K38" i="5"/>
  <c r="K39" i="5" s="1"/>
  <c r="K78" i="9"/>
  <c r="J80" i="9"/>
  <c r="J81" i="9" s="1"/>
  <c r="J83" i="9" s="1"/>
  <c r="K79" i="9"/>
  <c r="K45" i="9"/>
  <c r="K51" i="9" s="1"/>
  <c r="K56" i="9" s="1"/>
  <c r="K58" i="9" s="1"/>
  <c r="L57" i="9" s="1"/>
  <c r="L40" i="9"/>
  <c r="AC47" i="3"/>
  <c r="AB42" i="3"/>
  <c r="AB44" i="3" s="1"/>
  <c r="AB64" i="3"/>
  <c r="AB68" i="3" s="1"/>
  <c r="AB70" i="3" s="1"/>
  <c r="K66" i="3"/>
  <c r="R56" i="3"/>
  <c r="AA74" i="3"/>
  <c r="AA75" i="3" s="1"/>
  <c r="AA76" i="3"/>
  <c r="AA77" i="3" s="1"/>
  <c r="S33" i="3"/>
  <c r="S35" i="3" s="1"/>
  <c r="S60" i="3"/>
  <c r="S13" i="3"/>
  <c r="S19" i="3" s="1"/>
  <c r="S21" i="3" s="1"/>
  <c r="K68" i="3"/>
  <c r="K70" i="3" s="1"/>
  <c r="K72" i="3" s="1"/>
  <c r="L59" i="3"/>
  <c r="L60" i="3"/>
  <c r="L62" i="3"/>
  <c r="L64" i="3"/>
  <c r="L65" i="3"/>
  <c r="T34" i="3"/>
  <c r="T61" i="3"/>
  <c r="T11" i="3"/>
  <c r="AC32" i="3"/>
  <c r="AC58" i="3" s="1"/>
  <c r="AC60" i="3" s="1"/>
  <c r="AC62" i="3" s="1"/>
  <c r="AC38" i="3"/>
  <c r="AC17" i="3"/>
  <c r="AC19" i="3" s="1"/>
  <c r="Q15" i="6" s="1"/>
  <c r="Q16" i="6" s="1"/>
  <c r="L35" i="6" s="1"/>
  <c r="R62" i="3"/>
  <c r="R69" i="3" s="1"/>
  <c r="R71" i="3" s="1"/>
  <c r="S70" i="3" s="1"/>
  <c r="R42" i="3"/>
  <c r="R44" i="3" s="1"/>
  <c r="T20" i="3"/>
  <c r="J56" i="5"/>
  <c r="AC24" i="3"/>
  <c r="AB24" i="3"/>
  <c r="K40" i="5"/>
  <c r="K45" i="5" s="1"/>
  <c r="K51" i="5"/>
  <c r="K79" i="5"/>
  <c r="S43" i="3"/>
  <c r="Z34" i="3"/>
  <c r="Z36" i="3" s="1"/>
  <c r="Z51" i="3" s="1"/>
  <c r="Z10" i="3"/>
  <c r="Z12" i="3" s="1"/>
  <c r="Z26" i="3" s="1"/>
  <c r="AA50" i="3"/>
  <c r="AB49" i="3"/>
  <c r="L32" i="5"/>
  <c r="L34" i="5" s="1"/>
  <c r="L36" i="5" s="1"/>
  <c r="L73" i="5"/>
  <c r="L75" i="5" s="1"/>
  <c r="Q21" i="6" s="1"/>
  <c r="Q22" i="6" s="1"/>
  <c r="M35" i="6" s="1"/>
  <c r="L38" i="5" l="1"/>
  <c r="L39" i="5" s="1"/>
  <c r="L79" i="9"/>
  <c r="L45" i="9"/>
  <c r="L51" i="9" s="1"/>
  <c r="L56" i="9" s="1"/>
  <c r="L58" i="9" s="1"/>
  <c r="L78" i="9"/>
  <c r="L80" i="9" s="1"/>
  <c r="L81" i="9" s="1"/>
  <c r="L83" i="9" s="1"/>
  <c r="K80" i="9"/>
  <c r="K81" i="9" s="1"/>
  <c r="K83" i="9" s="1"/>
  <c r="AC42" i="3"/>
  <c r="AC44" i="3" s="1"/>
  <c r="AC64" i="3"/>
  <c r="AC68" i="3" s="1"/>
  <c r="AC70" i="3" s="1"/>
  <c r="L66" i="3"/>
  <c r="S56" i="3"/>
  <c r="AB74" i="3"/>
  <c r="AB75" i="3" s="1"/>
  <c r="AB76" i="3"/>
  <c r="AB77" i="3" s="1"/>
  <c r="T33" i="3"/>
  <c r="T35" i="3" s="1"/>
  <c r="T60" i="3"/>
  <c r="T13" i="3"/>
  <c r="T19" i="3" s="1"/>
  <c r="T21" i="3" s="1"/>
  <c r="L68" i="3"/>
  <c r="L70" i="3" s="1"/>
  <c r="L72" i="3" s="1"/>
  <c r="S62" i="3"/>
  <c r="S69" i="3" s="1"/>
  <c r="S71" i="3" s="1"/>
  <c r="T70" i="3" s="1"/>
  <c r="S42" i="3"/>
  <c r="S44" i="3" s="1"/>
  <c r="K56" i="5"/>
  <c r="L40" i="5"/>
  <c r="L45" i="5" s="1"/>
  <c r="L51" i="5"/>
  <c r="L79" i="5"/>
  <c r="T43" i="3"/>
  <c r="AA34" i="3"/>
  <c r="AA36" i="3" s="1"/>
  <c r="AA51" i="3" s="1"/>
  <c r="AA10" i="3"/>
  <c r="AA12" i="3" s="1"/>
  <c r="AA26" i="3" s="1"/>
  <c r="AB50" i="3"/>
  <c r="L56" i="5"/>
  <c r="T56" i="3" l="1"/>
  <c r="AC74" i="3"/>
  <c r="AC75" i="3" s="1"/>
  <c r="AC76" i="3"/>
  <c r="AC77" i="3" s="1"/>
  <c r="T62" i="3"/>
  <c r="T69" i="3" s="1"/>
  <c r="T71" i="3" s="1"/>
  <c r="N13" i="8" a="1"/>
  <c r="N13" i="8" s="1"/>
  <c r="N19" i="8" s="1"/>
  <c r="N20" i="8" s="1"/>
  <c r="T42" i="3"/>
  <c r="T44" i="3" s="1"/>
  <c r="AC49" i="3"/>
  <c r="AC50" i="3" s="1"/>
  <c r="AC10" i="3"/>
  <c r="AC12" i="3" s="1"/>
  <c r="AC26" i="3" s="1"/>
  <c r="AC34" i="3"/>
  <c r="AC36" i="3" s="1"/>
  <c r="AB34" i="3"/>
  <c r="AB36" i="3" s="1"/>
  <c r="AB51" i="3" s="1"/>
  <c r="AB10" i="3"/>
  <c r="AB12" i="3" s="1"/>
  <c r="AB26" i="3" s="1"/>
  <c r="G80" i="5"/>
  <c r="G81" i="5" s="1"/>
  <c r="AC51" i="3" l="1"/>
  <c r="H40" i="5"/>
  <c r="H45" i="5" s="1"/>
  <c r="H78" i="5"/>
  <c r="I78" i="5"/>
  <c r="I80" i="5" s="1"/>
  <c r="I81" i="5" s="1"/>
  <c r="J78" i="5"/>
  <c r="J80" i="5" s="1"/>
  <c r="J81" i="5" s="1"/>
  <c r="K78" i="5"/>
  <c r="K80" i="5" s="1"/>
  <c r="K81" i="5" s="1"/>
  <c r="L78" i="5"/>
  <c r="L80" i="5" s="1"/>
  <c r="L81" i="5" s="1"/>
  <c r="H51" i="5" l="1"/>
  <c r="H79" i="5"/>
  <c r="H80" i="5" s="1"/>
  <c r="H81" i="5" s="1"/>
  <c r="H56" i="5" l="1"/>
  <c r="H58" i="5" s="1"/>
  <c r="H67" i="5" l="1"/>
  <c r="I57" i="5"/>
  <c r="I58" i="5" s="1"/>
  <c r="H69" i="5" l="1"/>
  <c r="E4" i="8"/>
  <c r="E6" i="8" s="1"/>
  <c r="I67" i="5"/>
  <c r="J57" i="5"/>
  <c r="J58" i="5" s="1"/>
  <c r="I69" i="5" l="1"/>
  <c r="F4" i="8"/>
  <c r="F6" i="8" s="1"/>
  <c r="J67" i="5"/>
  <c r="K57" i="5"/>
  <c r="K58" i="5" s="1"/>
  <c r="J69" i="5" l="1"/>
  <c r="G4" i="8"/>
  <c r="G6" i="8" s="1"/>
  <c r="K67" i="5"/>
  <c r="L57" i="5"/>
  <c r="L58" i="5" s="1"/>
  <c r="L67" i="5" s="1"/>
  <c r="L69" i="5" l="1"/>
  <c r="I4" i="8"/>
  <c r="I6" i="8" s="1"/>
  <c r="K69" i="5"/>
  <c r="H4" i="8"/>
  <c r="H6" i="8" s="1"/>
  <c r="D14" i="8" a="1"/>
  <c r="D14" i="8" s="1"/>
  <c r="D21" i="8" l="1"/>
  <c r="D20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<sst xmlns="http://schemas.openxmlformats.org/spreadsheetml/2006/main" count="891" uniqueCount="375">
  <si>
    <t>Collected from Exhibits  5, and 6</t>
  </si>
  <si>
    <t xml:space="preserve">Income statement </t>
  </si>
  <si>
    <t>Item</t>
  </si>
  <si>
    <t>2019e</t>
  </si>
  <si>
    <t>Number of Stores</t>
  </si>
  <si>
    <t>3</t>
  </si>
  <si>
    <t>32</t>
  </si>
  <si>
    <t>33</t>
  </si>
  <si>
    <t>Sales</t>
  </si>
  <si>
    <t>Cost of Sales (COGS)</t>
  </si>
  <si>
    <t>Gross Profit</t>
  </si>
  <si>
    <t>2019e 1</t>
  </si>
  <si>
    <t>Store-Level Operating Exp</t>
  </si>
  <si>
    <t>Corporate-Level Operating Exp</t>
  </si>
  <si>
    <t>Cost of Sales</t>
  </si>
  <si>
    <t>EBITDA</t>
  </si>
  <si>
    <t>Gross Margin</t>
  </si>
  <si>
    <t>Depreciation</t>
  </si>
  <si>
    <t xml:space="preserve">Store-Level Operating Expense </t>
  </si>
  <si>
    <t>Interest Expense</t>
  </si>
  <si>
    <t>Corporate Overhead</t>
  </si>
  <si>
    <t>Payroll &amp; Benefits</t>
  </si>
  <si>
    <t>Net Income (Loss)</t>
  </si>
  <si>
    <t>EBITDA Margin</t>
  </si>
  <si>
    <t>Advertising &amp; Marketing</t>
  </si>
  <si>
    <t>Net Profit Margin</t>
  </si>
  <si>
    <t>Occupancy &amp; Other</t>
  </si>
  <si>
    <t>Current Ratio</t>
  </si>
  <si>
    <t>Total - Other Operating Expenses</t>
  </si>
  <si>
    <t xml:space="preserve">EBIT </t>
  </si>
  <si>
    <t>Debt to Equity</t>
  </si>
  <si>
    <t>Depreciation/Amortization</t>
  </si>
  <si>
    <t>Interest Expense/(Income)</t>
  </si>
  <si>
    <t>Balance Sheet</t>
  </si>
  <si>
    <t>Assets</t>
  </si>
  <si>
    <t>Income before Fed Income Tax</t>
  </si>
  <si>
    <t>Cash &amp; Equivalents</t>
  </si>
  <si>
    <t>=G25*G27+</t>
  </si>
  <si>
    <t>Receivables</t>
  </si>
  <si>
    <t>Income Tax2</t>
  </si>
  <si>
    <t>Inventory</t>
  </si>
  <si>
    <t>Other Current Assets</t>
  </si>
  <si>
    <t>Net Income/(Loss)</t>
  </si>
  <si>
    <t>Total Current Assets</t>
  </si>
  <si>
    <t>Net Long-Term Assets</t>
  </si>
  <si>
    <t>Balance sheet</t>
  </si>
  <si>
    <t>Total Assets</t>
  </si>
  <si>
    <t>Column1</t>
  </si>
  <si>
    <t>Column2</t>
  </si>
  <si>
    <t>Column3</t>
  </si>
  <si>
    <t>Column4</t>
  </si>
  <si>
    <t>Liabilities &amp; Equity</t>
  </si>
  <si>
    <t>Accounts Payable</t>
  </si>
  <si>
    <t xml:space="preserve">=G30*60% + </t>
  </si>
  <si>
    <t>Other Current Liabilities</t>
  </si>
  <si>
    <t>Line of Credit</t>
  </si>
  <si>
    <t>Total Current Liabilities</t>
  </si>
  <si>
    <t>Long-Term Debt &amp; LT Liabilities</t>
  </si>
  <si>
    <t>Total LT Assets2</t>
  </si>
  <si>
    <t>Total Liabilities</t>
  </si>
  <si>
    <t>Stockholder’s Equity</t>
  </si>
  <si>
    <t>Retained Earnings</t>
  </si>
  <si>
    <t>LIABILITIES</t>
  </si>
  <si>
    <t>Current Year Earnings</t>
  </si>
  <si>
    <t>Total Equity</t>
  </si>
  <si>
    <t>Total Liab. &amp; Equity</t>
  </si>
  <si>
    <t>Long Term Debt &amp; LT Liabilities2</t>
  </si>
  <si>
    <t xml:space="preserve">         </t>
  </si>
  <si>
    <t>NET WORTH</t>
  </si>
  <si>
    <t>Stockholder's Equity</t>
  </si>
  <si>
    <t>Total Net Worth</t>
  </si>
  <si>
    <t>Total Liabilities &amp; Net Worth</t>
  </si>
  <si>
    <t xml:space="preserve">b  </t>
  </si>
  <si>
    <t>Column5</t>
  </si>
  <si>
    <t>Column6</t>
  </si>
  <si>
    <t>Column7</t>
  </si>
  <si>
    <t>Column8</t>
  </si>
  <si>
    <t>Existing 3-store
Operation
(3 stores)</t>
  </si>
  <si>
    <t>EBITDA
External Financing</t>
  </si>
  <si>
    <t>Needed</t>
  </si>
  <si>
    <t> </t>
  </si>
  <si>
    <t>Investment Related</t>
  </si>
  <si>
    <t>Fixed assets, net (% of sales)1</t>
  </si>
  <si>
    <t>Income Statement2</t>
  </si>
  <si>
    <t>% of:</t>
  </si>
  <si>
    <t>After 2020:</t>
  </si>
  <si>
    <t>Sales growth rate</t>
  </si>
  <si>
    <t>7.0%, 5.0%, 4.0%, then steady state at 1.0%</t>
  </si>
  <si>
    <t>Cost of goods sold</t>
  </si>
  <si>
    <t>of sales</t>
  </si>
  <si>
    <t>leveling off at 58% by 2022</t>
  </si>
  <si>
    <t>falling to 24.0% by 2022</t>
  </si>
  <si>
    <t>Occupancy &amp; other</t>
  </si>
  <si>
    <t>falling to 12.3% by 2024</t>
  </si>
  <si>
    <t>constant</t>
  </si>
  <si>
    <t>% of sales</t>
  </si>
  <si>
    <t>Inventories</t>
  </si>
  <si>
    <t>% cost of good sold</t>
  </si>
  <si>
    <t>Accounts payable</t>
  </si>
  <si>
    <t>Other current liabilities</t>
  </si>
  <si>
    <t>Name</t>
  </si>
  <si>
    <t>2020</t>
  </si>
  <si>
    <t>2021</t>
  </si>
  <si>
    <t>2022</t>
  </si>
  <si>
    <t>2023</t>
  </si>
  <si>
    <t>2024</t>
  </si>
  <si>
    <t>2025</t>
  </si>
  <si>
    <t>Growth (%)</t>
  </si>
  <si>
    <t>–</t>
  </si>
  <si>
    <t>COGS (% of Sales)</t>
  </si>
  <si>
    <t>COGS</t>
  </si>
  <si>
    <t>Payroll &amp; Benefits (%)</t>
  </si>
  <si>
    <t>Occupancy &amp; Other (%)</t>
  </si>
  <si>
    <t>Advertising (1% of Sales)</t>
  </si>
  <si>
    <t>EBIT</t>
  </si>
  <si>
    <t>Interest</t>
  </si>
  <si>
    <t>Income before tax</t>
  </si>
  <si>
    <t>Fixed State Tax</t>
  </si>
  <si>
    <t>Net Income</t>
  </si>
  <si>
    <t>Choice</t>
  </si>
  <si>
    <t>Condition</t>
  </si>
  <si>
    <t>Benefit</t>
  </si>
  <si>
    <t>Problem</t>
  </si>
  <si>
    <t>1) Bridge Loan</t>
  </si>
  <si>
    <t>$2.2M principal, 180k 1st day payment, 12.5% interest (6.25% cash + 6.25% PIK), due 12–18 months</t>
  </si>
  <si>
    <t>Quick, no equity dilution</t>
  </si>
  <si>
    <t>High interest, balloon maturity, 180k upfront fee</t>
  </si>
  <si>
    <t>2) 12M venture capital</t>
  </si>
  <si>
    <t>12M equity, 2 new board seats, big dilution, used for 3+ store Seattle expansion</t>
  </si>
  <si>
    <t>Large capital for multi-store expansion</t>
  </si>
  <si>
    <t>Big dilution, loss of control</t>
  </si>
  <si>
    <t>3) Mixed</t>
  </si>
  <si>
    <t>$2–3M total ($1.5–2.5M equity + $0.5–1M equip loan @ 11.5%), uncertain availability</t>
  </si>
  <si>
    <t xml:space="preserve"> less interest than bridge keep more control compare to 12m vc</t>
  </si>
  <si>
    <t>CFO sees it as unlikely; multiple negotiations; smaller scale</t>
  </si>
  <si>
    <t>Fixed asset of sale %</t>
  </si>
  <si>
    <t>Exhibihit7 forecast 3</t>
  </si>
  <si>
    <t>1-Store Portland Expansion</t>
  </si>
  <si>
    <t>Income Statement FC20-25 without new debt</t>
  </si>
  <si>
    <t>Cash Flow Statement</t>
  </si>
  <si>
    <t>Balance Sheet:</t>
  </si>
  <si>
    <t>Total up front cost is</t>
  </si>
  <si>
    <t>needed</t>
  </si>
  <si>
    <t>- Cash &amp; Equivalents</t>
  </si>
  <si>
    <t>interest rate</t>
  </si>
  <si>
    <t>Adjustments for:</t>
  </si>
  <si>
    <t>- Inventory</t>
  </si>
  <si>
    <t>- Depreciation</t>
  </si>
  <si>
    <t>- Other Current Assets</t>
  </si>
  <si>
    <t>250000 taken from 2019 BS and no information about change in future.</t>
  </si>
  <si>
    <t>Changes in Working Capital:</t>
  </si>
  <si>
    <t>Other given data</t>
  </si>
  <si>
    <t>-  Inventories</t>
  </si>
  <si>
    <t>Exihibit 7 - 6.3% of cogs</t>
  </si>
  <si>
    <t>- Fixed Assets (net)</t>
  </si>
  <si>
    <t xml:space="preserve">last year fixed assent from exibit 6 minus depeciation value we calculated </t>
  </si>
  <si>
    <t>Value / Rate</t>
  </si>
  <si>
    <t>+  Accounts Payable</t>
  </si>
  <si>
    <t>Exihibit 7 - 7% of cogs</t>
  </si>
  <si>
    <t>2020 Sales (4 total stores)</t>
  </si>
  <si>
    <t>Cash from Operations</t>
  </si>
  <si>
    <t>Liabilities</t>
  </si>
  <si>
    <t>Sales Growth (2021–2025)</t>
  </si>
  <si>
    <t xml:space="preserve">20400 BY 2024 (7,5,4,2) and 1% after </t>
  </si>
  <si>
    <t>Cash from Investing:</t>
  </si>
  <si>
    <t>- Accounts Payable</t>
  </si>
  <si>
    <t>COGS (% Sales)</t>
  </si>
  <si>
    <t>59.5% in 2020, gradually down to 58% by 2022</t>
  </si>
  <si>
    <t>CapEx for New Store</t>
  </si>
  <si>
    <t>- Other Current Liabilities</t>
  </si>
  <si>
    <t>25.3% in 2020, down to 24% by 2022 (of sale)</t>
  </si>
  <si>
    <t>Cash from Financing:</t>
  </si>
  <si>
    <t>- Line of Credit</t>
  </si>
  <si>
    <t>14% in 2020, 12.3% by 2024</t>
  </si>
  <si>
    <t xml:space="preserve">- New Debt </t>
  </si>
  <si>
    <t>1% of Sales</t>
  </si>
  <si>
    <t>- Debt Repayment (no information about old debt repayment found.)</t>
  </si>
  <si>
    <t>- Long Term Debt</t>
  </si>
  <si>
    <t>Depreciation (2020-25)</t>
  </si>
  <si>
    <t xml:space="preserve">420072 , 402711 , 326661 , 311583 , 262919 , 125551 </t>
  </si>
  <si>
    <t>Net Increase in Cash</t>
  </si>
  <si>
    <t xml:space="preserve">since new loan is short term we didn't change the long term loand amount what we got 2019e from exibhit 6.  </t>
  </si>
  <si>
    <t>Interest Expense Rate</t>
  </si>
  <si>
    <t xml:space="preserve">170k per year for pervious debt + if any other finance option taken </t>
  </si>
  <si>
    <t>Net cash flow</t>
  </si>
  <si>
    <t>Equity</t>
  </si>
  <si>
    <t>State Tax</t>
  </si>
  <si>
    <t>0% for federal due to loss carryforwards; $15,000 minimum Oregon state tax each year</t>
  </si>
  <si>
    <t>Closing Cash Balance</t>
  </si>
  <si>
    <t>- Shareholder's Equity</t>
  </si>
  <si>
    <t>Forecast year</t>
  </si>
  <si>
    <t>2020–2025</t>
  </si>
  <si>
    <t>- Retained Earnings</t>
  </si>
  <si>
    <t>(5million debt converted to Equity)</t>
  </si>
  <si>
    <t>amra cashflow statement korsi but green zebra oikhane bola ase cash hole sells eer 2%. tahole amra konta nibo?</t>
  </si>
  <si>
    <t>- Current Year Earnings</t>
  </si>
  <si>
    <t>Total Net Equity</t>
  </si>
  <si>
    <t>Total Liab &amp; Equity</t>
  </si>
  <si>
    <t>What will be the tax rate if company become profitable ?</t>
  </si>
  <si>
    <t>Income Statement FC20-25 if 2.2m bridge loan taken</t>
  </si>
  <si>
    <t>Cash Flow Statement: if bridge loan taken</t>
  </si>
  <si>
    <t>EFN</t>
  </si>
  <si>
    <t xml:space="preserve">*No inforamtion was found for accout receiveable </t>
  </si>
  <si>
    <t>+Depreciation</t>
  </si>
  <si>
    <t xml:space="preserve"> Cash &amp; Equivalents</t>
  </si>
  <si>
    <t xml:space="preserve"> Other Current Assets</t>
  </si>
  <si>
    <t>for balance sheet</t>
  </si>
  <si>
    <t>+ Accounts Payable</t>
  </si>
  <si>
    <t xml:space="preserve">cash </t>
  </si>
  <si>
    <t>2% of Sales</t>
  </si>
  <si>
    <t>Fixed Assets (net)</t>
  </si>
  <si>
    <t>6.3% of COGS</t>
  </si>
  <si>
    <t>7.0% of COGS</t>
  </si>
  <si>
    <t>- Capital Expenditures</t>
  </si>
  <si>
    <t xml:space="preserve"> Current Liabilities</t>
  </si>
  <si>
    <t>1.9% of Sales</t>
  </si>
  <si>
    <t xml:space="preserve"> Loan Received</t>
  </si>
  <si>
    <t>- Loan Repayment</t>
  </si>
  <si>
    <t>- Interest Paid</t>
  </si>
  <si>
    <t>Short-Term Loan (New)</t>
  </si>
  <si>
    <t xml:space="preserve">180000 have to pay when taking loan </t>
  </si>
  <si>
    <t>Opening Cash Balance</t>
  </si>
  <si>
    <t>Long Term Debt</t>
  </si>
  <si>
    <t>Shareholder's Equity</t>
  </si>
  <si>
    <t>Income Statement FC20-25 if 2.2m mixed loan taken</t>
  </si>
  <si>
    <t xml:space="preserve">Cash Flow Statement: vc </t>
  </si>
  <si>
    <t>- VC Investment</t>
  </si>
  <si>
    <t>This 3 can consider as competitor as GZ consider themself as C-store</t>
  </si>
  <si>
    <t>CMG</t>
  </si>
  <si>
    <t>SFM</t>
  </si>
  <si>
    <t>VLGEA</t>
  </si>
  <si>
    <t>KR</t>
  </si>
  <si>
    <t>CASY</t>
  </si>
  <si>
    <t>ANCUF</t>
  </si>
  <si>
    <t>ANCADRNY</t>
  </si>
  <si>
    <t>WMT</t>
  </si>
  <si>
    <t>Positioning</t>
  </si>
  <si>
    <t>Fast Casual</t>
  </si>
  <si>
    <t>Natural &amp; Organie</t>
  </si>
  <si>
    <t>Grocery</t>
  </si>
  <si>
    <t>C-Store</t>
  </si>
  <si>
    <t>Supercenters and Wholesalers</t>
  </si>
  <si>
    <t>TTM Revenues ($ Bil)</t>
  </si>
  <si>
    <t>EBITDA ($ Mil)</t>
  </si>
  <si>
    <t>Industry EV/Revenue</t>
  </si>
  <si>
    <t>Avg</t>
  </si>
  <si>
    <t>3yr Revenue growth rate %</t>
  </si>
  <si>
    <t>Industry EV/EBITDA</t>
  </si>
  <si>
    <t>ROE %</t>
  </si>
  <si>
    <t>ROIC %</t>
  </si>
  <si>
    <t>EBITDA Margin %</t>
  </si>
  <si>
    <t>Net Margin</t>
  </si>
  <si>
    <t>If 1-Store expasion in Portland</t>
  </si>
  <si>
    <t>Market Capitalization ($ Bil)</t>
  </si>
  <si>
    <t xml:space="preserve">Projected Revenue </t>
  </si>
  <si>
    <t>Enterprise Value ($ Bil)</t>
  </si>
  <si>
    <t>EV</t>
  </si>
  <si>
    <t>Book Value</t>
  </si>
  <si>
    <t xml:space="preserve">Net Debt </t>
  </si>
  <si>
    <t>Equity Value</t>
  </si>
  <si>
    <t>D/E</t>
  </si>
  <si>
    <t>Interest Bearing Debt ($)</t>
  </si>
  <si>
    <t>If 3-Store expansion in Seattle</t>
  </si>
  <si>
    <t>Shareholders Equity ($)</t>
  </si>
  <si>
    <t xml:space="preserve">Bond Rating </t>
  </si>
  <si>
    <t>na</t>
  </si>
  <si>
    <t>Baa</t>
  </si>
  <si>
    <t>AA</t>
  </si>
  <si>
    <t>Beta coefficient</t>
  </si>
  <si>
    <t>Ent. Value to EBITDA</t>
  </si>
  <si>
    <t xml:space="preserve">Price / Sales </t>
  </si>
  <si>
    <t>Share price becuase of VC Investment</t>
  </si>
  <si>
    <t>WACC, % (2019)</t>
  </si>
  <si>
    <t>New Equity Investment</t>
  </si>
  <si>
    <t>New Shares Issued</t>
  </si>
  <si>
    <t xml:space="preserve">Share price </t>
  </si>
  <si>
    <t>Calculation of Relevent Industry WACC</t>
  </si>
  <si>
    <t>Total shares outstanding after the VC investment</t>
  </si>
  <si>
    <t>Relevent Competitor</t>
  </si>
  <si>
    <t xml:space="preserve">Total Valution </t>
  </si>
  <si>
    <t>Data Given</t>
  </si>
  <si>
    <t>Risk Free Rate (Rf)</t>
  </si>
  <si>
    <t>Pre-Vc</t>
  </si>
  <si>
    <t>Post Vc</t>
  </si>
  <si>
    <t>Market Risk Premimum (Rm-Rf)</t>
  </si>
  <si>
    <t>Step-1</t>
  </si>
  <si>
    <t>Beta_Asset</t>
  </si>
  <si>
    <t>Sedlar share number</t>
  </si>
  <si>
    <t>Industry Beta (ß)</t>
  </si>
  <si>
    <t>AV. D/E</t>
  </si>
  <si>
    <t xml:space="preserve">Percentage </t>
  </si>
  <si>
    <t>Tax Rate</t>
  </si>
  <si>
    <t>Oregon Tax Rates &amp; Rankings | Tax Foundation</t>
  </si>
  <si>
    <t>Av. Beta_Asset</t>
  </si>
  <si>
    <t>Price of total owner ship by Equity value (2025)</t>
  </si>
  <si>
    <t>Equity €</t>
  </si>
  <si>
    <t>Step-2</t>
  </si>
  <si>
    <t>Industry Average Levered Beta</t>
  </si>
  <si>
    <t>Debt (D)</t>
  </si>
  <si>
    <t xml:space="preserve">Industry Cost of Equity </t>
  </si>
  <si>
    <t>WACC Calculation of GZ</t>
  </si>
  <si>
    <t>E/V</t>
  </si>
  <si>
    <t>Total Capital (E+D)</t>
  </si>
  <si>
    <t>D/V</t>
  </si>
  <si>
    <t>Weight of Equity (We)</t>
  </si>
  <si>
    <t>Cost of debt</t>
  </si>
  <si>
    <t>Weight of Debt (D)</t>
  </si>
  <si>
    <t>Industry Cost of Debt</t>
  </si>
  <si>
    <t>Levered Beta</t>
  </si>
  <si>
    <t>Av. E/V</t>
  </si>
  <si>
    <t>Cost of Equity Return (Re)</t>
  </si>
  <si>
    <t>AV. D/V</t>
  </si>
  <si>
    <t>Industry Average Cost of Debt</t>
  </si>
  <si>
    <t>Industry WACC</t>
  </si>
  <si>
    <t>WACC</t>
  </si>
  <si>
    <t>WACC to kon yaer ta nibo as a discount rate hisabe?</t>
  </si>
  <si>
    <t>Calculation of Pre-Money Valution</t>
  </si>
  <si>
    <t>Per Share Price</t>
  </si>
  <si>
    <t>Pre-Money Valuation</t>
  </si>
  <si>
    <t>1-Store Seattle Expansion</t>
  </si>
  <si>
    <t>pre-opening costs</t>
  </si>
  <si>
    <t xml:space="preserve">advertasement </t>
  </si>
  <si>
    <t>working capital 1% next year revenue</t>
  </si>
  <si>
    <t xml:space="preserve">Site selection </t>
  </si>
  <si>
    <t>Total up front cost for 1 store</t>
  </si>
  <si>
    <t>Total up front cost is x3</t>
  </si>
  <si>
    <t>Year</t>
  </si>
  <si>
    <t>Total Operating Expenses of sale</t>
  </si>
  <si>
    <t>in 2020 4.5M, then +10%, +10%, +5%, +2%, +1%</t>
  </si>
  <si>
    <t>60%, 59% , 59% , 58.50% , 58.50% , 58%</t>
  </si>
  <si>
    <t>Operating Expenses</t>
  </si>
  <si>
    <t>31.40% , 31.20% , 31.00% , 30.80% , 30.60% , 30.50%</t>
  </si>
  <si>
    <t>15,000 per year (minimum) AND 28.6% if pofitable (7.6% state and 21% federal tax)</t>
  </si>
  <si>
    <t xml:space="preserve">3 store expantion sale </t>
  </si>
  <si>
    <t>cogs</t>
  </si>
  <si>
    <t>Working Capital (WC) Assumptions from exibit 7:</t>
  </si>
  <si>
    <t>Income Statement (2020-2025):</t>
  </si>
  <si>
    <t>Cash: 2% of sales.</t>
  </si>
  <si>
    <t>Inventory: 6.3% of COGS.</t>
  </si>
  <si>
    <t>3 store and existing 3 store have different cogs</t>
  </si>
  <si>
    <t>Accounts Payable: 7% of COGS.</t>
  </si>
  <si>
    <t>Other Current Liabilities: 1.9% of sales.</t>
  </si>
  <si>
    <t>no new loan taken and no information about interest</t>
  </si>
  <si>
    <t>EBT</t>
  </si>
  <si>
    <t>Tax</t>
  </si>
  <si>
    <t>As  2021 income alone higher than all the loss made in past, taxed only amunt remaining loss - income2021</t>
  </si>
  <si>
    <t>total loss</t>
  </si>
  <si>
    <t>2021 ebit - total previous loss</t>
  </si>
  <si>
    <t>Cash Flow Statement (2020-2025):</t>
  </si>
  <si>
    <t>- Inventories</t>
  </si>
  <si>
    <t>Balance Sheet for 3 Stores in Seattle (2020-2025):</t>
  </si>
  <si>
    <t>Assets - (Liab + Equity)</t>
  </si>
  <si>
    <t>Amdr seattle expension er sudhu data ase ar opposite a Portland er data 4ta store er combined a, tahole NPV comparision korbo kmne?</t>
  </si>
  <si>
    <t>Seattle Expansion</t>
  </si>
  <si>
    <t>Free Cash Flow</t>
  </si>
  <si>
    <t>Portland Expansion</t>
  </si>
  <si>
    <t>+</t>
  </si>
  <si>
    <t>Ebit</t>
  </si>
  <si>
    <t xml:space="preserve">Ebit </t>
  </si>
  <si>
    <t>-</t>
  </si>
  <si>
    <t>current assent - current liabilities</t>
  </si>
  <si>
    <t>NPV for Portland</t>
  </si>
  <si>
    <t>NPV for 3 Store Seattle Expansion</t>
  </si>
  <si>
    <t>Cash Flow</t>
  </si>
  <si>
    <t>NPV</t>
  </si>
  <si>
    <t>IRR</t>
  </si>
  <si>
    <t xml:space="preserve">Pay back time: </t>
  </si>
  <si>
    <t>Expansion</t>
  </si>
  <si>
    <t>Initial Investment</t>
  </si>
  <si>
    <t>Profitability Index</t>
  </si>
  <si>
    <t>Seattel</t>
  </si>
  <si>
    <t>Pordland</t>
  </si>
  <si>
    <t xml:space="preserve">NPV te amra free cashflow e to nibo??? - balance sheet theka niya kori ja ase kopal e </t>
  </si>
  <si>
    <t>Jodi free cashflow e nei tahole initial investment ta capex a dibo na? - ho</t>
  </si>
  <si>
    <t>EP kivhabe ber korbo?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</si>
</sst>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164" formatCode="_-* #,##0.00_-;\-* #,##0.00_-;_-* &quot;-&quot;??_-;_-@_-"/>
    <numFmt numFmtId="165" formatCode="0.0%"/>
    <numFmt numFmtId="166" formatCode="_-[$$-409]* #,##0.00_ ;_-[$$-409]* \-#,##0.00\ ;_-[$$-409]* &quot;-&quot;??_ ;_-@_ "/>
    <numFmt numFmtId="167" formatCode="_([$$-409]* #,##0.00_);_([$$-409]* \(#,##0.00\);_([$$-409]* &quot;-&quot;??_);_(@_)"/>
    <numFmt numFmtId="168" formatCode="0.0000"/>
    <numFmt numFmtId="169" formatCode="&quot;$&quot;#,##0.00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rgb="FF0F1419"/>
      <name val="TwitterChirp"/>
      <charset val="1"/>
    </font>
    <font>
      <sz val="11"/>
      <color rgb="FF0F1419"/>
      <name val="Calibri"/>
      <family val="2"/>
      <scheme val="minor"/>
    </font>
    <font>
      <b/>
      <sz val="11"/>
      <color rgb="FF0F1419"/>
      <name val="Inherit"/>
      <charset val="1"/>
    </font>
    <font>
      <sz val="11"/>
      <color rgb="FF000000"/>
      <name val="Calibri"/>
      <family val="2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242424"/>
      <name val="Aptos Narrow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2"/>
      <color rgb="FF000000"/>
      <name val="Verdana"/>
      <family val="2"/>
    </font>
    <font>
      <sz val="12"/>
      <color rgb="FF00000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EFF3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FF"/>
        <bgColor rgb="FF000000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CFD9DE"/>
      </left>
      <right style="thin">
        <color rgb="FFCFD9DE"/>
      </right>
      <top style="thin">
        <color rgb="FFCFD9DE"/>
      </top>
      <bottom style="thin">
        <color rgb="FFCFD9DE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FD9DE"/>
      </right>
      <top style="thin">
        <color rgb="FFCFD9DE"/>
      </top>
      <bottom style="thin">
        <color rgb="FFCFD9DE"/>
      </bottom>
      <diagonal/>
    </border>
    <border>
      <left style="thin">
        <color rgb="FFCFD9DE"/>
      </left>
      <right/>
      <top style="thin">
        <color rgb="FFCFD9DE"/>
      </top>
      <bottom style="thin">
        <color rgb="FFCFD9DE"/>
      </bottom>
      <diagonal/>
    </border>
    <border>
      <left/>
      <right style="thin">
        <color rgb="FFCFD9DE"/>
      </right>
      <top/>
      <bottom style="thin">
        <color rgb="FFCFD9DE"/>
      </bottom>
      <diagonal/>
    </border>
    <border>
      <left style="thin">
        <color rgb="FFCFD9DE"/>
      </left>
      <right style="thin">
        <color rgb="FFCFD9DE"/>
      </right>
      <top/>
      <bottom style="thin">
        <color rgb="FFCFD9DE"/>
      </bottom>
      <diagonal/>
    </border>
    <border>
      <left style="thin">
        <color rgb="FFCFD9DE"/>
      </left>
      <right/>
      <top/>
      <bottom style="thin">
        <color rgb="FFCFD9DE"/>
      </bottom>
      <diagonal/>
    </border>
    <border>
      <left/>
      <right style="thin">
        <color rgb="FFCFD9DE"/>
      </right>
      <top style="thin">
        <color rgb="FFCFD9DE"/>
      </top>
      <bottom/>
      <diagonal/>
    </border>
    <border>
      <left style="thin">
        <color rgb="FFCFD9DE"/>
      </left>
      <right style="thin">
        <color rgb="FFCFD9DE"/>
      </right>
      <top style="thin">
        <color rgb="FFCFD9DE"/>
      </top>
      <bottom/>
      <diagonal/>
    </border>
    <border>
      <left style="thin">
        <color rgb="FFCFD9DE"/>
      </left>
      <right/>
      <top style="thin">
        <color rgb="FFCFD9DE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FABF8F"/>
      </left>
      <right style="thin">
        <color indexed="64"/>
      </right>
      <top style="thin">
        <color rgb="FFFABF8F"/>
      </top>
      <bottom style="thin">
        <color rgb="FFFABF8F"/>
      </bottom>
      <diagonal/>
    </border>
    <border>
      <left/>
      <right/>
      <top style="thin">
        <color rgb="FFFABF8F"/>
      </top>
      <bottom style="thin">
        <color rgb="FFFABF8F"/>
      </bottom>
      <diagonal/>
    </border>
    <border>
      <left/>
      <right style="thin">
        <color rgb="FFFABF8F"/>
      </right>
      <top style="thin">
        <color rgb="FFFABF8F"/>
      </top>
      <bottom style="thin">
        <color rgb="FFFABF8F"/>
      </bottom>
      <diagonal/>
    </border>
    <border>
      <left style="thin">
        <color rgb="FFFABF8F"/>
      </left>
      <right style="thin">
        <color indexed="64"/>
      </right>
      <top/>
      <bottom style="thin">
        <color rgb="FFFABF8F"/>
      </bottom>
      <diagonal/>
    </border>
    <border>
      <left/>
      <right/>
      <top/>
      <bottom style="thin">
        <color rgb="FFFABF8F"/>
      </bottom>
      <diagonal/>
    </border>
    <border>
      <left/>
      <right style="thin">
        <color rgb="FFFABF8F"/>
      </right>
      <top/>
      <bottom style="thin">
        <color rgb="FFFABF8F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C00000"/>
      </bottom>
      <diagonal/>
    </border>
  </borders>
  <cellStyleXfs count="5">
    <xf numFmtId="0" fontId="0" fillId="0" borderId="0"/>
    <xf numFmtId="9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/>
  </cellStyleXfs>
  <cellXfs count="182">
    <xf numFmtId="0" fontId="0" fillId="0" borderId="0" xfId="0"/>
    <xf numFmtId="0" fontId="0" fillId="0" borderId="1" xfId="0" applyBorder="1"/>
    <xf numFmtId="0" fontId="0" fillId="0" borderId="7" xfId="0" applyBorder="1"/>
    <xf numFmtId="3" fontId="0" fillId="0" borderId="1" xfId="0" applyNumberFormat="1" applyBorder="1"/>
    <xf numFmtId="10" fontId="0" fillId="0" borderId="0" xfId="0" applyNumberFormat="1"/>
    <xf numFmtId="10" fontId="0" fillId="0" borderId="4" xfId="0" applyNumberFormat="1" applyBorder="1"/>
    <xf numFmtId="1" fontId="0" fillId="0" borderId="0" xfId="0" applyNumberFormat="1"/>
    <xf numFmtId="1" fontId="0" fillId="0" borderId="1" xfId="0" applyNumberFormat="1" applyBorder="1"/>
    <xf numFmtId="1" fontId="0" fillId="0" borderId="7" xfId="0" applyNumberFormat="1" applyBorder="1"/>
    <xf numFmtId="10" fontId="0" fillId="0" borderId="1" xfId="1" applyNumberFormat="1" applyFont="1" applyBorder="1"/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4" fontId="0" fillId="0" borderId="1" xfId="0" applyNumberFormat="1" applyBorder="1" applyAlignment="1">
      <alignment vertical="center" wrapText="1"/>
    </xf>
    <xf numFmtId="10" fontId="0" fillId="0" borderId="1" xfId="0" applyNumberFormat="1" applyBorder="1" applyAlignment="1">
      <alignment vertical="center" wrapText="1"/>
    </xf>
    <xf numFmtId="9" fontId="0" fillId="0" borderId="1" xfId="0" applyNumberFormat="1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0" xfId="0" applyFont="1"/>
    <xf numFmtId="0" fontId="4" fillId="0" borderId="0" xfId="0" applyFont="1" applyAlignment="1">
      <alignment vertical="center"/>
    </xf>
    <xf numFmtId="1" fontId="6" fillId="0" borderId="0" xfId="0" applyNumberFormat="1" applyFont="1"/>
    <xf numFmtId="0" fontId="7" fillId="0" borderId="1" xfId="0" applyFont="1" applyBorder="1"/>
    <xf numFmtId="10" fontId="7" fillId="0" borderId="0" xfId="0" applyNumberFormat="1" applyFont="1"/>
    <xf numFmtId="0" fontId="7" fillId="0" borderId="1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8" fillId="2" borderId="9" xfId="0" applyFont="1" applyFill="1" applyBorder="1" applyAlignment="1">
      <alignment wrapText="1" readingOrder="1"/>
    </xf>
    <xf numFmtId="0" fontId="8" fillId="3" borderId="9" xfId="0" applyFont="1" applyFill="1" applyBorder="1" applyAlignment="1">
      <alignment wrapText="1" readingOrder="1"/>
    </xf>
    <xf numFmtId="0" fontId="0" fillId="0" borderId="1" xfId="0" applyBorder="1" applyAlignment="1">
      <alignment wrapText="1"/>
    </xf>
    <xf numFmtId="10" fontId="8" fillId="3" borderId="9" xfId="0" applyNumberFormat="1" applyFont="1" applyFill="1" applyBorder="1" applyAlignment="1">
      <alignment wrapText="1" readingOrder="1"/>
    </xf>
    <xf numFmtId="0" fontId="0" fillId="0" borderId="10" xfId="0" applyBorder="1" applyAlignment="1">
      <alignment wrapText="1"/>
    </xf>
    <xf numFmtId="0" fontId="0" fillId="0" borderId="10" xfId="0" applyBorder="1"/>
    <xf numFmtId="3" fontId="0" fillId="0" borderId="10" xfId="0" applyNumberFormat="1" applyBorder="1"/>
    <xf numFmtId="0" fontId="10" fillId="3" borderId="0" xfId="0" applyFont="1" applyFill="1" applyAlignment="1">
      <alignment readingOrder="1"/>
    </xf>
    <xf numFmtId="6" fontId="8" fillId="0" borderId="9" xfId="0" applyNumberFormat="1" applyFont="1" applyBorder="1" applyAlignment="1">
      <alignment readingOrder="1"/>
    </xf>
    <xf numFmtId="0" fontId="0" fillId="0" borderId="9" xfId="0" applyBorder="1"/>
    <xf numFmtId="6" fontId="0" fillId="0" borderId="9" xfId="0" applyNumberFormat="1" applyBorder="1"/>
    <xf numFmtId="6" fontId="0" fillId="0" borderId="0" xfId="0" applyNumberFormat="1"/>
    <xf numFmtId="0" fontId="10" fillId="0" borderId="11" xfId="0" applyFont="1" applyBorder="1" applyAlignment="1">
      <alignment readingOrder="1"/>
    </xf>
    <xf numFmtId="0" fontId="8" fillId="0" borderId="11" xfId="0" quotePrefix="1" applyFont="1" applyBorder="1" applyAlignment="1">
      <alignment readingOrder="1"/>
    </xf>
    <xf numFmtId="6" fontId="8" fillId="0" borderId="12" xfId="0" applyNumberFormat="1" applyFont="1" applyBorder="1" applyAlignment="1">
      <alignment readingOrder="1"/>
    </xf>
    <xf numFmtId="0" fontId="0" fillId="0" borderId="12" xfId="0" applyBorder="1"/>
    <xf numFmtId="0" fontId="10" fillId="2" borderId="13" xfId="0" applyFont="1" applyFill="1" applyBorder="1" applyAlignment="1">
      <alignment readingOrder="1"/>
    </xf>
    <xf numFmtId="0" fontId="10" fillId="2" borderId="14" xfId="0" applyFont="1" applyFill="1" applyBorder="1" applyAlignment="1">
      <alignment readingOrder="1"/>
    </xf>
    <xf numFmtId="0" fontId="10" fillId="2" borderId="15" xfId="0" applyFont="1" applyFill="1" applyBorder="1" applyAlignment="1">
      <alignment readingOrder="1"/>
    </xf>
    <xf numFmtId="0" fontId="10" fillId="0" borderId="16" xfId="0" applyFont="1" applyBorder="1" applyAlignment="1">
      <alignment readingOrder="1"/>
    </xf>
    <xf numFmtId="6" fontId="8" fillId="0" borderId="17" xfId="0" applyNumberFormat="1" applyFont="1" applyBorder="1" applyAlignment="1">
      <alignment readingOrder="1"/>
    </xf>
    <xf numFmtId="0" fontId="8" fillId="0" borderId="11" xfId="0" quotePrefix="1" applyFont="1" applyBorder="1" applyAlignment="1">
      <alignment wrapText="1" readingOrder="1"/>
    </xf>
    <xf numFmtId="6" fontId="0" fillId="0" borderId="12" xfId="0" applyNumberFormat="1" applyBorder="1"/>
    <xf numFmtId="0" fontId="10" fillId="3" borderId="0" xfId="0" applyFont="1" applyFill="1" applyAlignment="1">
      <alignment wrapText="1" readingOrder="1"/>
    </xf>
    <xf numFmtId="0" fontId="0" fillId="0" borderId="0" xfId="0" applyAlignment="1">
      <alignment wrapText="1"/>
    </xf>
    <xf numFmtId="0" fontId="9" fillId="4" borderId="9" xfId="0" applyFont="1" applyFill="1" applyBorder="1" applyAlignment="1">
      <alignment wrapText="1" readingOrder="1"/>
    </xf>
    <xf numFmtId="6" fontId="9" fillId="4" borderId="9" xfId="0" applyNumberFormat="1" applyFont="1" applyFill="1" applyBorder="1" applyAlignment="1">
      <alignment wrapText="1" readingOrder="1"/>
    </xf>
    <xf numFmtId="0" fontId="1" fillId="0" borderId="1" xfId="0" applyFont="1" applyBorder="1" applyAlignment="1">
      <alignment vertical="center" wrapText="1"/>
    </xf>
    <xf numFmtId="10" fontId="0" fillId="0" borderId="0" xfId="1" applyNumberFormat="1" applyFont="1"/>
    <xf numFmtId="9" fontId="0" fillId="0" borderId="0" xfId="0" applyNumberFormat="1"/>
    <xf numFmtId="166" fontId="0" fillId="0" borderId="0" xfId="0" applyNumberFormat="1"/>
    <xf numFmtId="164" fontId="0" fillId="0" borderId="0" xfId="2" applyFont="1"/>
    <xf numFmtId="166" fontId="0" fillId="0" borderId="0" xfId="2" applyNumberFormat="1" applyFont="1"/>
    <xf numFmtId="167" fontId="0" fillId="0" borderId="0" xfId="0" applyNumberFormat="1"/>
    <xf numFmtId="0" fontId="10" fillId="0" borderId="11" xfId="0" applyFont="1" applyBorder="1" applyAlignment="1">
      <alignment wrapText="1" readingOrder="1"/>
    </xf>
    <xf numFmtId="0" fontId="10" fillId="0" borderId="16" xfId="0" applyFont="1" applyBorder="1" applyAlignment="1">
      <alignment wrapText="1" readingOrder="1"/>
    </xf>
    <xf numFmtId="6" fontId="8" fillId="0" borderId="18" xfId="0" applyNumberFormat="1" applyFont="1" applyBorder="1" applyAlignment="1">
      <alignment readingOrder="1"/>
    </xf>
    <xf numFmtId="0" fontId="3" fillId="0" borderId="6" xfId="0" applyFont="1" applyBorder="1" applyAlignment="1">
      <alignment vertical="center" wrapText="1"/>
    </xf>
    <xf numFmtId="0" fontId="0" fillId="0" borderId="4" xfId="0" applyBorder="1"/>
    <xf numFmtId="0" fontId="0" fillId="0" borderId="6" xfId="0" applyBorder="1" applyAlignment="1">
      <alignment vertical="center" wrapText="1"/>
    </xf>
    <xf numFmtId="4" fontId="0" fillId="0" borderId="5" xfId="0" applyNumberFormat="1" applyBorder="1" applyAlignment="1">
      <alignment vertical="center" wrapText="1"/>
    </xf>
    <xf numFmtId="165" fontId="0" fillId="0" borderId="19" xfId="0" applyNumberFormat="1" applyBorder="1"/>
    <xf numFmtId="10" fontId="0" fillId="0" borderId="5" xfId="0" applyNumberFormat="1" applyBorder="1" applyAlignment="1">
      <alignment vertical="center" wrapText="1"/>
    </xf>
    <xf numFmtId="9" fontId="0" fillId="0" borderId="5" xfId="0" applyNumberFormat="1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3" fillId="0" borderId="20" xfId="0" applyFont="1" applyBorder="1" applyAlignment="1">
      <alignment vertical="center" wrapText="1"/>
    </xf>
    <xf numFmtId="4" fontId="0" fillId="0" borderId="8" xfId="0" applyNumberFormat="1" applyBorder="1" applyAlignment="1">
      <alignment vertical="center" wrapText="1"/>
    </xf>
    <xf numFmtId="4" fontId="0" fillId="0" borderId="21" xfId="0" applyNumberFormat="1" applyBorder="1" applyAlignment="1">
      <alignment vertical="center" wrapText="1"/>
    </xf>
    <xf numFmtId="0" fontId="8" fillId="2" borderId="13" xfId="0" applyFont="1" applyFill="1" applyBorder="1" applyAlignment="1">
      <alignment wrapText="1" readingOrder="1"/>
    </xf>
    <xf numFmtId="0" fontId="8" fillId="2" borderId="14" xfId="0" applyFont="1" applyFill="1" applyBorder="1" applyAlignment="1">
      <alignment readingOrder="1"/>
    </xf>
    <xf numFmtId="0" fontId="8" fillId="2" borderId="15" xfId="0" applyFont="1" applyFill="1" applyBorder="1" applyAlignment="1">
      <alignment readingOrder="1"/>
    </xf>
    <xf numFmtId="4" fontId="0" fillId="0" borderId="0" xfId="0" applyNumberFormat="1"/>
    <xf numFmtId="0" fontId="11" fillId="0" borderId="0" xfId="0" applyFont="1"/>
    <xf numFmtId="0" fontId="11" fillId="0" borderId="21" xfId="0" applyFont="1" applyBorder="1"/>
    <xf numFmtId="0" fontId="11" fillId="0" borderId="22" xfId="0" applyFont="1" applyBorder="1"/>
    <xf numFmtId="0" fontId="11" fillId="0" borderId="20" xfId="0" applyFont="1" applyBorder="1"/>
    <xf numFmtId="0" fontId="11" fillId="0" borderId="3" xfId="0" applyFont="1" applyBorder="1"/>
    <xf numFmtId="0" fontId="11" fillId="0" borderId="19" xfId="0" applyFont="1" applyBorder="1"/>
    <xf numFmtId="0" fontId="11" fillId="0" borderId="4" xfId="0" applyFont="1" applyBorder="1"/>
    <xf numFmtId="0" fontId="11" fillId="0" borderId="2" xfId="0" applyFont="1" applyBorder="1"/>
    <xf numFmtId="0" fontId="11" fillId="0" borderId="23" xfId="0" applyFont="1" applyBorder="1"/>
    <xf numFmtId="4" fontId="11" fillId="0" borderId="2" xfId="0" applyNumberFormat="1" applyFont="1" applyBorder="1"/>
    <xf numFmtId="4" fontId="11" fillId="0" borderId="0" xfId="0" applyNumberFormat="1" applyFont="1"/>
    <xf numFmtId="10" fontId="11" fillId="0" borderId="2" xfId="0" applyNumberFormat="1" applyFont="1" applyBorder="1"/>
    <xf numFmtId="10" fontId="11" fillId="0" borderId="0" xfId="0" applyNumberFormat="1" applyFont="1"/>
    <xf numFmtId="9" fontId="11" fillId="0" borderId="2" xfId="0" applyNumberFormat="1" applyFont="1" applyBorder="1"/>
    <xf numFmtId="9" fontId="11" fillId="0" borderId="0" xfId="0" applyNumberFormat="1" applyFont="1"/>
    <xf numFmtId="10" fontId="11" fillId="0" borderId="3" xfId="0" applyNumberFormat="1" applyFont="1" applyBorder="1"/>
    <xf numFmtId="10" fontId="11" fillId="0" borderId="19" xfId="0" applyNumberFormat="1" applyFont="1" applyBorder="1"/>
    <xf numFmtId="165" fontId="0" fillId="0" borderId="0" xfId="0" applyNumberFormat="1"/>
    <xf numFmtId="0" fontId="9" fillId="4" borderId="9" xfId="0" quotePrefix="1" applyFont="1" applyFill="1" applyBorder="1" applyAlignment="1">
      <alignment wrapText="1" readingOrder="1"/>
    </xf>
    <xf numFmtId="3" fontId="0" fillId="0" borderId="0" xfId="0" applyNumberFormat="1"/>
    <xf numFmtId="0" fontId="12" fillId="0" borderId="0" xfId="0" applyFont="1"/>
    <xf numFmtId="0" fontId="8" fillId="0" borderId="16" xfId="0" applyFont="1" applyBorder="1" applyAlignment="1">
      <alignment wrapText="1" readingOrder="1"/>
    </xf>
    <xf numFmtId="0" fontId="8" fillId="0" borderId="16" xfId="0" applyFont="1" applyBorder="1" applyAlignment="1">
      <alignment readingOrder="1"/>
    </xf>
    <xf numFmtId="2" fontId="0" fillId="0" borderId="0" xfId="0" applyNumberFormat="1"/>
    <xf numFmtId="0" fontId="13" fillId="4" borderId="27" xfId="0" applyFont="1" applyFill="1" applyBorder="1"/>
    <xf numFmtId="0" fontId="13" fillId="4" borderId="28" xfId="0" applyFont="1" applyFill="1" applyBorder="1"/>
    <xf numFmtId="0" fontId="13" fillId="4" borderId="28" xfId="0" applyFont="1" applyFill="1" applyBorder="1" applyAlignment="1">
      <alignment wrapText="1"/>
    </xf>
    <xf numFmtId="0" fontId="13" fillId="4" borderId="29" xfId="0" applyFont="1" applyFill="1" applyBorder="1"/>
    <xf numFmtId="0" fontId="14" fillId="4" borderId="24" xfId="0" applyFont="1" applyFill="1" applyBorder="1" applyAlignment="1">
      <alignment wrapText="1"/>
    </xf>
    <xf numFmtId="0" fontId="14" fillId="4" borderId="25" xfId="0" applyFont="1" applyFill="1" applyBorder="1"/>
    <xf numFmtId="0" fontId="14" fillId="4" borderId="25" xfId="0" applyFont="1" applyFill="1" applyBorder="1" applyAlignment="1">
      <alignment wrapText="1"/>
    </xf>
    <xf numFmtId="0" fontId="14" fillId="4" borderId="26" xfId="0" applyFont="1" applyFill="1" applyBorder="1"/>
    <xf numFmtId="0" fontId="15" fillId="4" borderId="24" xfId="0" applyFont="1" applyFill="1" applyBorder="1"/>
    <xf numFmtId="0" fontId="15" fillId="4" borderId="25" xfId="0" applyFont="1" applyFill="1" applyBorder="1"/>
    <xf numFmtId="3" fontId="15" fillId="4" borderId="25" xfId="0" applyNumberFormat="1" applyFont="1" applyFill="1" applyBorder="1"/>
    <xf numFmtId="3" fontId="15" fillId="4" borderId="25" xfId="0" applyNumberFormat="1" applyFont="1" applyFill="1" applyBorder="1" applyAlignment="1">
      <alignment wrapText="1"/>
    </xf>
    <xf numFmtId="3" fontId="15" fillId="4" borderId="26" xfId="0" applyNumberFormat="1" applyFont="1" applyFill="1" applyBorder="1"/>
    <xf numFmtId="0" fontId="15" fillId="4" borderId="24" xfId="0" applyFont="1" applyFill="1" applyBorder="1" applyAlignment="1">
      <alignment wrapText="1"/>
    </xf>
    <xf numFmtId="6" fontId="15" fillId="4" borderId="25" xfId="0" applyNumberFormat="1" applyFont="1" applyFill="1" applyBorder="1"/>
    <xf numFmtId="6" fontId="15" fillId="4" borderId="25" xfId="0" applyNumberFormat="1" applyFont="1" applyFill="1" applyBorder="1" applyAlignment="1">
      <alignment wrapText="1"/>
    </xf>
    <xf numFmtId="6" fontId="15" fillId="4" borderId="26" xfId="0" applyNumberFormat="1" applyFont="1" applyFill="1" applyBorder="1"/>
    <xf numFmtId="0" fontId="15" fillId="4" borderId="2" xfId="0" applyFont="1" applyFill="1" applyBorder="1"/>
    <xf numFmtId="0" fontId="15" fillId="4" borderId="0" xfId="0" applyFont="1" applyFill="1"/>
    <xf numFmtId="0" fontId="15" fillId="4" borderId="0" xfId="0" applyFont="1" applyFill="1" applyAlignment="1">
      <alignment wrapText="1"/>
    </xf>
    <xf numFmtId="0" fontId="13" fillId="4" borderId="24" xfId="0" applyFont="1" applyFill="1" applyBorder="1"/>
    <xf numFmtId="0" fontId="13" fillId="4" borderId="25" xfId="0" applyFont="1" applyFill="1" applyBorder="1"/>
    <xf numFmtId="0" fontId="13" fillId="4" borderId="25" xfId="0" applyFont="1" applyFill="1" applyBorder="1" applyAlignment="1">
      <alignment wrapText="1"/>
    </xf>
    <xf numFmtId="0" fontId="13" fillId="4" borderId="26" xfId="0" applyFont="1" applyFill="1" applyBorder="1"/>
    <xf numFmtId="0" fontId="14" fillId="4" borderId="24" xfId="0" applyFont="1" applyFill="1" applyBorder="1"/>
    <xf numFmtId="0" fontId="14" fillId="4" borderId="0" xfId="0" applyFont="1" applyFill="1"/>
    <xf numFmtId="10" fontId="15" fillId="4" borderId="25" xfId="0" applyNumberFormat="1" applyFont="1" applyFill="1" applyBorder="1"/>
    <xf numFmtId="10" fontId="15" fillId="4" borderId="25" xfId="0" applyNumberFormat="1" applyFont="1" applyFill="1" applyBorder="1" applyAlignment="1">
      <alignment wrapText="1"/>
    </xf>
    <xf numFmtId="10" fontId="15" fillId="4" borderId="26" xfId="0" applyNumberFormat="1" applyFont="1" applyFill="1" applyBorder="1"/>
    <xf numFmtId="0" fontId="13" fillId="4" borderId="26" xfId="0" applyFont="1" applyFill="1" applyBorder="1" applyAlignment="1">
      <alignment wrapText="1"/>
    </xf>
    <xf numFmtId="0" fontId="14" fillId="4" borderId="26" xfId="0" applyFont="1" applyFill="1" applyBorder="1" applyAlignment="1">
      <alignment wrapText="1"/>
    </xf>
    <xf numFmtId="0" fontId="15" fillId="4" borderId="26" xfId="0" applyFont="1" applyFill="1" applyBorder="1" applyAlignment="1">
      <alignment wrapText="1"/>
    </xf>
    <xf numFmtId="0" fontId="8" fillId="0" borderId="17" xfId="0" applyFont="1" applyBorder="1" applyAlignment="1">
      <alignment readingOrder="1"/>
    </xf>
    <xf numFmtId="0" fontId="16" fillId="0" borderId="0" xfId="0" applyFont="1"/>
    <xf numFmtId="0" fontId="8" fillId="6" borderId="9" xfId="0" quotePrefix="1" applyFont="1" applyFill="1" applyBorder="1" applyAlignment="1">
      <alignment wrapText="1" readingOrder="1"/>
    </xf>
    <xf numFmtId="8" fontId="0" fillId="0" borderId="0" xfId="0" applyNumberFormat="1"/>
    <xf numFmtId="168" fontId="0" fillId="0" borderId="0" xfId="0" applyNumberFormat="1"/>
    <xf numFmtId="10" fontId="0" fillId="0" borderId="30" xfId="1" applyNumberFormat="1" applyFont="1" applyBorder="1"/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10" fontId="12" fillId="0" borderId="0" xfId="1" applyNumberFormat="1" applyFont="1" applyFill="1" applyBorder="1" applyAlignment="1">
      <alignment horizontal="center"/>
    </xf>
    <xf numFmtId="10" fontId="19" fillId="0" borderId="0" xfId="0" applyNumberFormat="1" applyFont="1"/>
    <xf numFmtId="0" fontId="0" fillId="0" borderId="34" xfId="0" applyBorder="1"/>
    <xf numFmtId="0" fontId="0" fillId="0" borderId="33" xfId="0" applyBorder="1"/>
    <xf numFmtId="10" fontId="0" fillId="0" borderId="34" xfId="0" applyNumberFormat="1" applyBorder="1"/>
    <xf numFmtId="0" fontId="0" fillId="0" borderId="35" xfId="0" applyBorder="1"/>
    <xf numFmtId="0" fontId="19" fillId="0" borderId="10" xfId="0" applyFont="1" applyBorder="1"/>
    <xf numFmtId="0" fontId="11" fillId="0" borderId="10" xfId="0" applyFont="1" applyBorder="1"/>
    <xf numFmtId="10" fontId="0" fillId="0" borderId="10" xfId="0" applyNumberFormat="1" applyBorder="1"/>
    <xf numFmtId="2" fontId="0" fillId="0" borderId="10" xfId="0" applyNumberFormat="1" applyBorder="1"/>
    <xf numFmtId="10" fontId="19" fillId="0" borderId="2" xfId="0" applyNumberFormat="1" applyFont="1" applyBorder="1"/>
    <xf numFmtId="0" fontId="0" fillId="0" borderId="37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19" fillId="0" borderId="41" xfId="0" applyFont="1" applyBorder="1"/>
    <xf numFmtId="0" fontId="11" fillId="0" borderId="41" xfId="0" applyFont="1" applyBorder="1"/>
    <xf numFmtId="0" fontId="11" fillId="0" borderId="40" xfId="0" applyFont="1" applyBorder="1"/>
    <xf numFmtId="0" fontId="0" fillId="0" borderId="41" xfId="0" applyBorder="1"/>
    <xf numFmtId="0" fontId="0" fillId="0" borderId="40" xfId="0" applyBorder="1"/>
    <xf numFmtId="10" fontId="0" fillId="0" borderId="41" xfId="0" applyNumberFormat="1" applyBorder="1"/>
    <xf numFmtId="2" fontId="0" fillId="0" borderId="41" xfId="0" applyNumberFormat="1" applyBorder="1"/>
    <xf numFmtId="0" fontId="0" fillId="0" borderId="42" xfId="0" applyBorder="1"/>
    <xf numFmtId="10" fontId="0" fillId="0" borderId="43" xfId="0" applyNumberFormat="1" applyBorder="1"/>
    <xf numFmtId="0" fontId="0" fillId="0" borderId="43" xfId="0" applyBorder="1"/>
    <xf numFmtId="0" fontId="0" fillId="0" borderId="44" xfId="0" applyBorder="1"/>
    <xf numFmtId="0" fontId="17" fillId="0" borderId="0" xfId="3"/>
    <xf numFmtId="0" fontId="0" fillId="0" borderId="31" xfId="0" applyBorder="1"/>
    <xf numFmtId="10" fontId="0" fillId="0" borderId="32" xfId="0" applyNumberFormat="1" applyBorder="1"/>
    <xf numFmtId="1" fontId="0" fillId="0" borderId="45" xfId="0" applyNumberFormat="1" applyBorder="1"/>
    <xf numFmtId="1" fontId="0" fillId="0" borderId="36" xfId="0" applyNumberFormat="1" applyBorder="1"/>
    <xf numFmtId="169" fontId="8" fillId="0" borderId="17" xfId="0" applyNumberFormat="1" applyFont="1" applyBorder="1" applyAlignment="1">
      <alignment readingOrder="1"/>
    </xf>
    <xf numFmtId="169" fontId="8" fillId="0" borderId="18" xfId="0" applyNumberFormat="1" applyFont="1" applyBorder="1" applyAlignment="1">
      <alignment readingOrder="1"/>
    </xf>
    <xf numFmtId="0" fontId="20" fillId="7" borderId="46" xfId="0" applyFont="1" applyFill="1" applyBorder="1" applyAlignment="1">
      <alignment wrapText="1"/>
    </xf>
    <xf numFmtId="0" fontId="21" fillId="8" borderId="0" xfId="0" applyFont="1" applyFill="1" applyAlignment="1">
      <alignment wrapText="1"/>
    </xf>
    <xf numFmtId="166" fontId="21" fillId="8" borderId="0" xfId="0" applyNumberFormat="1" applyFont="1" applyFill="1" applyAlignment="1">
      <alignment wrapText="1"/>
    </xf>
    <xf numFmtId="0" fontId="0" fillId="0" borderId="0" xfId="0" applyAlignment="1">
      <alignment horizontal="center" wrapText="1"/>
    </xf>
    <xf numFmtId="0" fontId="0" fillId="0" borderId="40" xfId="0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0" xfId="0" applyAlignment="1">
      <alignment horizontal="center"/>
    </xf>
  </cellXfs>
  <cellStyles count="5">
    <cellStyle name="Comma" xfId="2" builtinId="3"/>
    <cellStyle name="Hyperlink" xfId="3" builtinId="8"/>
    <cellStyle name="Normal" xfId="0" builtinId="0"/>
    <cellStyle name="Normal 3" xfId="4" xr:uid="{DE8DB7B8-A699-42AA-BDBF-D449033097FC}"/>
    <cellStyle name="Percent" xfId="1" builtinId="5"/>
  </cellStyles>
  <dxfs count="2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1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/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/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numFmt numFmtId="10" formatCode="&quot;$&quot;#,##0_);[Red]\(&quot;$&quot;#,##0\)"/>
      <alignment horizontal="general" vertical="bottom" textRotation="0" wrapText="0" indent="0" justifyLastLine="0" shrinkToFit="0" readingOrder="1"/>
      <border diagonalUp="0" diagonalDown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alignment horizontal="general" vertical="bottom" textRotation="0" wrapText="0" indent="0" justifyLastLine="0" shrinkToFit="0" readingOrder="1"/>
      <border diagonalUp="0" diagonalDown="0">
        <left/>
        <right style="thin">
          <color rgb="FFCFD9DE"/>
        </right>
        <top style="thin">
          <color rgb="FFCFD9DE"/>
        </top>
        <bottom style="thin">
          <color rgb="FFCFD9DE"/>
        </bottom>
        <vertical/>
        <horizontal/>
      </border>
    </dxf>
    <dxf>
      <border outline="0">
        <top style="thin">
          <color rgb="FFCFD9DE"/>
        </top>
      </border>
    </dxf>
    <dxf>
      <border outline="0">
        <left style="thin">
          <color rgb="FFCFD9DE"/>
        </left>
        <right style="thin">
          <color rgb="FFCFD9DE"/>
        </right>
        <top style="thin">
          <color rgb="FFCFD9DE"/>
        </top>
        <bottom style="thin">
          <color rgb="FFCFD9DE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TwitterChirp"/>
        <charset val="1"/>
        <scheme val="none"/>
      </font>
      <alignment horizontal="general" vertical="bottom" textRotation="0" wrapText="0" indent="0" justifyLastLine="0" shrinkToFit="0" readingOrder="1"/>
    </dxf>
    <dxf>
      <border outline="0">
        <bottom style="thin">
          <color rgb="FFCFD9DE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F1419"/>
        <name val="Inherit"/>
        <charset val="1"/>
        <scheme val="none"/>
      </font>
      <fill>
        <patternFill patternType="solid">
          <fgColor indexed="64"/>
          <bgColor rgb="FFEFF3F4"/>
        </patternFill>
      </fill>
      <alignment horizontal="general" vertical="bottom" textRotation="0" wrapText="0" indent="0" justifyLastLine="0" shrinkToFit="0" readingOrder="1"/>
      <border diagonalUp="0" diagonalDown="0" outline="0">
        <left style="thin">
          <color rgb="FFCFD9DE"/>
        </left>
        <right style="thin">
          <color rgb="FFCFD9DE"/>
        </right>
        <top/>
        <bottom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rgb="FFFABF8F"/>
        </right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/>
        <right/>
        <top style="thin">
          <color rgb="FFFABF8F"/>
        </top>
        <bottom style="thin">
          <color rgb="FFFABF8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rgb="FFFABF8F"/>
        </left>
        <right style="thin">
          <color indexed="64"/>
        </right>
        <top style="thin">
          <color rgb="FFFABF8F"/>
        </top>
        <bottom style="thin">
          <color rgb="FFFABF8F"/>
        </bottom>
        <vertical/>
        <horizontal/>
      </border>
    </dxf>
    <dxf>
      <border outline="0">
        <top style="thin">
          <color rgb="FFFABF8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rgb="FFFABF8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30619</xdr:colOff>
      <xdr:row>58</xdr:row>
      <xdr:rowOff>7408</xdr:rowOff>
    </xdr:from>
    <xdr:to>
      <xdr:col>21</xdr:col>
      <xdr:colOff>3039</xdr:colOff>
      <xdr:row>63</xdr:row>
      <xdr:rowOff>100894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C9D67EEC-54C0-8923-46D4-B7BF22CA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93340" y="9869106"/>
          <a:ext cx="3296645" cy="1045986"/>
        </a:xfrm>
        <a:prstGeom prst="rect">
          <a:avLst/>
        </a:prstGeom>
      </xdr:spPr>
    </xdr:pic>
    <xdr:clientData/>
  </xdr:twoCellAnchor>
  <xdr:twoCellAnchor editAs="oneCell">
    <xdr:from>
      <xdr:col>21</xdr:col>
      <xdr:colOff>66675</xdr:colOff>
      <xdr:row>12</xdr:row>
      <xdr:rowOff>0</xdr:rowOff>
    </xdr:from>
    <xdr:to>
      <xdr:col>28</xdr:col>
      <xdr:colOff>371475</xdr:colOff>
      <xdr:row>25</xdr:row>
      <xdr:rowOff>57150</xdr:rowOff>
    </xdr:to>
    <xdr:pic>
      <xdr:nvPicPr>
        <xdr:cNvPr id="8" name="Picture 1">
          <a:extLst>
            <a:ext uri="{FF2B5EF4-FFF2-40B4-BE49-F238E27FC236}">
              <a16:creationId xmlns:a16="http://schemas.microsoft.com/office/drawing/2014/main" id="{DD9A713A-8088-5614-6389-26D42C984BC7}"/>
            </a:ext>
            <a:ext uri="{147F2762-F138-4A5C-976F-8EAC2B608ADB}">
              <a16:predDERef xmlns:a16="http://schemas.microsoft.com/office/drawing/2014/main" pred="{C9D67EEC-54C0-8923-46D4-B7BF22CA6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93975" y="2466975"/>
          <a:ext cx="4572000" cy="253365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76</xdr:row>
      <xdr:rowOff>180975</xdr:rowOff>
    </xdr:from>
    <xdr:to>
      <xdr:col>7</xdr:col>
      <xdr:colOff>647700</xdr:colOff>
      <xdr:row>95</xdr:row>
      <xdr:rowOff>57150</xdr:rowOff>
    </xdr:to>
    <xdr:pic>
      <xdr:nvPicPr>
        <xdr:cNvPr id="16" name="Picture 8">
          <a:extLst>
            <a:ext uri="{FF2B5EF4-FFF2-40B4-BE49-F238E27FC236}">
              <a16:creationId xmlns:a16="http://schemas.microsoft.com/office/drawing/2014/main" id="{6DA10475-2D6C-02CD-1723-0316A8CB07AA}"/>
            </a:ext>
            <a:ext uri="{147F2762-F138-4A5C-976F-8EAC2B608ADB}">
              <a16:predDERef xmlns:a16="http://schemas.microsoft.com/office/drawing/2014/main" pred="{DD9A713A-8088-5614-6389-26D42C984B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086350" y="14839950"/>
          <a:ext cx="4191000" cy="3495675"/>
        </a:xfrm>
        <a:prstGeom prst="rect">
          <a:avLst/>
        </a:prstGeom>
      </xdr:spPr>
    </xdr:pic>
    <xdr:clientData/>
  </xdr:twoCellAnchor>
  <xdr:twoCellAnchor editAs="oneCell">
    <xdr:from>
      <xdr:col>4</xdr:col>
      <xdr:colOff>219075</xdr:colOff>
      <xdr:row>66</xdr:row>
      <xdr:rowOff>47625</xdr:rowOff>
    </xdr:from>
    <xdr:to>
      <xdr:col>8</xdr:col>
      <xdr:colOff>104775</xdr:colOff>
      <xdr:row>74</xdr:row>
      <xdr:rowOff>95250</xdr:rowOff>
    </xdr:to>
    <xdr:pic>
      <xdr:nvPicPr>
        <xdr:cNvPr id="22" name="Picture 11">
          <a:extLst>
            <a:ext uri="{FF2B5EF4-FFF2-40B4-BE49-F238E27FC236}">
              <a16:creationId xmlns:a16="http://schemas.microsoft.com/office/drawing/2014/main" id="{204B47C6-764F-F1A2-F1BD-D7FDD44B2BA8}"/>
            </a:ext>
            <a:ext uri="{147F2762-F138-4A5C-976F-8EAC2B608ADB}">
              <a16:predDERef xmlns:a16="http://schemas.microsoft.com/office/drawing/2014/main" pred="{6DA10475-2D6C-02CD-1723-0316A8CB07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286375" y="12801600"/>
          <a:ext cx="4572000" cy="1571625"/>
        </a:xfrm>
        <a:prstGeom prst="rect">
          <a:avLst/>
        </a:prstGeom>
      </xdr:spPr>
    </xdr:pic>
    <xdr:clientData/>
  </xdr:twoCellAnchor>
  <xdr:twoCellAnchor editAs="oneCell">
    <xdr:from>
      <xdr:col>3</xdr:col>
      <xdr:colOff>371475</xdr:colOff>
      <xdr:row>50</xdr:row>
      <xdr:rowOff>28575</xdr:rowOff>
    </xdr:from>
    <xdr:to>
      <xdr:col>6</xdr:col>
      <xdr:colOff>428625</xdr:colOff>
      <xdr:row>61</xdr:row>
      <xdr:rowOff>38100</xdr:rowOff>
    </xdr:to>
    <xdr:pic>
      <xdr:nvPicPr>
        <xdr:cNvPr id="32" name="Picture 12">
          <a:extLst>
            <a:ext uri="{FF2B5EF4-FFF2-40B4-BE49-F238E27FC236}">
              <a16:creationId xmlns:a16="http://schemas.microsoft.com/office/drawing/2014/main" id="{975B0695-7329-DE61-FBBD-4E1E2C2494E8}"/>
            </a:ext>
            <a:ext uri="{147F2762-F138-4A5C-976F-8EAC2B608ADB}">
              <a16:predDERef xmlns:a16="http://schemas.microsoft.com/office/drawing/2014/main" pred="{204B47C6-764F-F1A2-F1BD-D7FDD44B2B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486275" y="9734550"/>
          <a:ext cx="3924300" cy="21050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123825</xdr:colOff>
      <xdr:row>59</xdr:row>
      <xdr:rowOff>123825</xdr:rowOff>
    </xdr:from>
    <xdr:to>
      <xdr:col>3</xdr:col>
      <xdr:colOff>1057275</xdr:colOff>
      <xdr:row>83</xdr:row>
      <xdr:rowOff>133350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9EEFA8-EFB2-4D2E-AE43-22B6CBA47C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0" y="12792075"/>
          <a:ext cx="4572000" cy="44291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1289843</xdr:colOff>
      <xdr:row>60</xdr:row>
      <xdr:rowOff>39688</xdr:rowOff>
    </xdr:from>
    <xdr:to>
      <xdr:col>4</xdr:col>
      <xdr:colOff>450056</xdr:colOff>
      <xdr:row>93</xdr:row>
      <xdr:rowOff>83616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6407A9-5043-0379-CB17-48AB43028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00312" y="13335001"/>
          <a:ext cx="7772400" cy="740595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9139EE8-418D-44AE-BAA3-70BF8220C8E9}" name="Table11" displayName="Table11" ref="M3:P25" totalsRowShown="0">
  <autoFilter ref="M3:P25" xr:uid="{79139EE8-418D-44AE-BAA3-70BF8220C8E9}"/>
  <tableColumns count="4">
    <tableColumn id="1" xr3:uid="{03107614-DEA4-452D-A590-4F63104B6B33}" name="Number of Stores"/>
    <tableColumn id="2" xr3:uid="{CF9D335E-296E-41D8-83A2-14C8E2BE0482}" name="3" dataDxfId="215"/>
    <tableColumn id="3" xr3:uid="{60AE1D1F-34D1-4A48-AD6A-A66EC269DD5F}" name="32" dataDxfId="214"/>
    <tableColumn id="4" xr3:uid="{CF6B9D52-3AE7-4708-904C-DBB86974F700}" name="33" dataDxfId="21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F806F53-0FC3-4376-8084-F1B87D8BD667}" name="Table13" displayName="Table13" ref="M29:P52" totalsRowShown="0" headerRowDxfId="212">
  <autoFilter ref="M29:P52" xr:uid="{0F806F53-0FC3-4376-8084-F1B87D8BD667}"/>
  <tableColumns count="4">
    <tableColumn id="1" xr3:uid="{4D9547F8-61D2-4136-9F26-9AF9F0201B01}" name="Column1"/>
    <tableColumn id="2" xr3:uid="{9875474B-2D8A-47FC-AC5E-1DCB71108F33}" name="Column2" dataDxfId="211"/>
    <tableColumn id="3" xr3:uid="{BB2560C9-428D-40C8-8208-E12B2D6BE9B8}" name="Column3" dataDxfId="210"/>
    <tableColumn id="4" xr3:uid="{F5D786DD-4718-4144-BA4A-0949C998C87B}" name="Column4" dataDxfId="20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89856DA0-E3B2-4BA8-AA74-27B91BDC6E96}" name="Table15" displayName="Table15" ref="L64:S86" totalsRowShown="0" headerRowDxfId="208" dataDxfId="206" headerRowBorderDxfId="207" tableBorderDxfId="205">
  <autoFilter ref="L64:S86" xr:uid="{89856DA0-E3B2-4BA8-AA74-27B91BDC6E96}"/>
  <tableColumns count="8">
    <tableColumn id="1" xr3:uid="{032D12D1-1BC2-4B79-8160-790C4B5F223D}" name="Column1" dataDxfId="204"/>
    <tableColumn id="2" xr3:uid="{E9E954D4-1E0F-43A8-8F6B-B57957A3F09D}" name="Column2" dataDxfId="203"/>
    <tableColumn id="3" xr3:uid="{D3D8D3E8-FC9A-45BE-829F-0A5341914C5B}" name="Column3" dataDxfId="202"/>
    <tableColumn id="4" xr3:uid="{7B42BBBC-7CD1-4AB4-B9D3-9EB0ACB27835}" name="Column4" dataDxfId="201"/>
    <tableColumn id="5" xr3:uid="{21F046BF-279F-4DF4-948B-EF99C88C1767}" name="Column5" dataDxfId="200"/>
    <tableColumn id="6" xr3:uid="{1FEF7B28-726C-482E-BE05-9CC9AEAFFB70}" name="Column6" dataDxfId="199"/>
    <tableColumn id="7" xr3:uid="{7CC04078-F8C7-47BE-9AF8-F799F9AE989F}" name="Column7" dataDxfId="198"/>
    <tableColumn id="8" xr3:uid="{719093D4-4215-4511-86CE-FF18449C9613}" name="Column8" dataDxfId="197"/>
  </tableColumns>
  <tableStyleInfo name="TableStyleLight2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3E1972B-C4E7-4F66-81F9-4C283EBE71AF}" name="Table518" displayName="Table518" ref="L93:R110" totalsRowShown="0" headerRowDxfId="196" dataDxfId="194" headerRowBorderDxfId="195" tableBorderDxfId="193">
  <autoFilter ref="L93:R110" xr:uid="{53E1972B-C4E7-4F66-81F9-4C283EBE71AF}"/>
  <tableColumns count="7">
    <tableColumn id="1" xr3:uid="{3D3F660E-A852-4594-A43E-56E7C2498537}" name="Name" dataDxfId="192"/>
    <tableColumn id="2" xr3:uid="{EE012BD5-277B-433B-B8BB-C23A6AA18C17}" name="2020" dataDxfId="191"/>
    <tableColumn id="3" xr3:uid="{0B2B8888-D2FC-496D-837C-25F0C718E6EA}" name="2021" dataDxfId="190"/>
    <tableColumn id="4" xr3:uid="{B3599650-8483-4930-AD89-EBDAE781794A}" name="2022" dataDxfId="189"/>
    <tableColumn id="5" xr3:uid="{CEC60E9B-3801-4C83-86F3-6A7FA43D4904}" name="2023" dataDxfId="188"/>
    <tableColumn id="6" xr3:uid="{7A3F7B94-931A-4A98-8E11-2ADCCB592D7C}" name="2024" dataDxfId="187"/>
    <tableColumn id="7" xr3:uid="{04FC3B34-552A-439D-B9EA-B89878FE3314}" name="2025" dataDxfId="18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D9E6DF-BF92-4CEA-B1A2-2097834CEE1E}" name="Table1" displayName="Table1" ref="N28:T44" totalsRowShown="0" headerRowDxfId="185" dataDxfId="183" headerRowBorderDxfId="184" tableBorderDxfId="182" totalsRowBorderDxfId="181">
  <autoFilter ref="N28:T44" xr:uid="{BED9E6DF-BF92-4CEA-B1A2-2097834CEE1E}"/>
  <tableColumns count="7">
    <tableColumn id="1" xr3:uid="{A6B5AF53-06FF-4AC3-A692-9CEE2FC19EC7}" name="Item" dataDxfId="180"/>
    <tableColumn id="2" xr3:uid="{F0A0E128-8CEE-42E9-92AA-579C444E80A0}" name="2020" dataDxfId="179"/>
    <tableColumn id="3" xr3:uid="{4694567B-C15C-4016-85AA-8B3DA1D350B9}" name="2021" dataDxfId="178"/>
    <tableColumn id="4" xr3:uid="{5CD29E46-060E-468D-8921-875061D9CF07}" name="2022" dataDxfId="177"/>
    <tableColumn id="5" xr3:uid="{BC76D06F-FC3F-4D8F-BEA4-6BC2AAAD6492}" name="2023" dataDxfId="176"/>
    <tableColumn id="6" xr3:uid="{42291764-A758-42A6-988E-C1D4B30F2123}" name="2024" dataDxfId="175"/>
    <tableColumn id="7" xr3:uid="{856B9B18-711B-4DA6-B9F1-5ED16790C308}" name="2025" dataDxfId="174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9351F-4DB6-4457-9EA2-1C01264E02CE}" name="Table2" displayName="Table2" ref="N6:T21" totalsRowShown="0" headerRowDxfId="173" dataDxfId="171" headerRowBorderDxfId="172" tableBorderDxfId="170" totalsRowBorderDxfId="169">
  <autoFilter ref="N6:T21" xr:uid="{FA39351F-4DB6-4457-9EA2-1C01264E02CE}"/>
  <tableColumns count="7">
    <tableColumn id="1" xr3:uid="{1C3123B8-58E7-4DFA-85BE-3FAEBDD4F147}" name="Item" dataDxfId="168"/>
    <tableColumn id="2" xr3:uid="{453B8FBE-1997-4FA4-8C4B-AFF828D4CE38}" name="2020" dataDxfId="167"/>
    <tableColumn id="3" xr3:uid="{3BDB9E40-91C3-4673-89E2-E897EAEACAD3}" name="2021" dataDxfId="166"/>
    <tableColumn id="4" xr3:uid="{26F49C61-E1DD-4AF0-A6B6-DE970E611726}" name="2022" dataDxfId="165"/>
    <tableColumn id="5" xr3:uid="{2A1CED0D-B8DF-4F3D-8268-8680E686C3DB}" name="2023" dataDxfId="164"/>
    <tableColumn id="6" xr3:uid="{46A70143-C4EB-4D46-90DF-02914E2CE749}" name="2024" dataDxfId="163"/>
    <tableColumn id="7" xr3:uid="{01843707-1B56-415F-BC7B-214B061A9F12}" name="2025" dataDxfId="16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8F03FB7-E5DE-4B9D-B010-25EE53D9AEBF}" name="Table3" displayName="Table3" ref="W5:AC26" totalsRowShown="0" headerRowDxfId="161" dataDxfId="159" headerRowBorderDxfId="160" tableBorderDxfId="158" totalsRowBorderDxfId="157">
  <autoFilter ref="W5:AC26" xr:uid="{48F03FB7-E5DE-4B9D-B010-25EE53D9AEBF}"/>
  <tableColumns count="7">
    <tableColumn id="1" xr3:uid="{E26B9A09-CDD5-489B-BD78-A73CDFFC0F0F}" name="Item" dataDxfId="156"/>
    <tableColumn id="2" xr3:uid="{7E7113CA-E9F3-4AE5-82D7-9CC444F441B0}" name="2020" dataDxfId="155"/>
    <tableColumn id="3" xr3:uid="{0E7A9D42-690D-4CE5-B53B-EF45017160FE}" name="2021" dataDxfId="154"/>
    <tableColumn id="4" xr3:uid="{82E9B439-2C57-404A-A83B-6A2C1C7D928D}" name="2022" dataDxfId="153"/>
    <tableColumn id="5" xr3:uid="{89679557-8D14-4F7F-8D48-B645EDD53C71}" name="2023" dataDxfId="152"/>
    <tableColumn id="6" xr3:uid="{87F789E3-4439-4B8D-9DE7-94065FEEB17F}" name="2024" dataDxfId="151"/>
    <tableColumn id="7" xr3:uid="{B54F5ED5-4E27-4476-B26C-BCF295D3B9CA}" name="2025" dataDxfId="150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91FCC54-2C4D-4A33-A6F2-34D2E0C08333}" name="Table4" displayName="Table4" ref="W29:AC51" totalsRowShown="0" headerRowDxfId="149" dataDxfId="147" headerRowBorderDxfId="148" tableBorderDxfId="146" totalsRowBorderDxfId="145">
  <autoFilter ref="W29:AC51" xr:uid="{891FCC54-2C4D-4A33-A6F2-34D2E0C08333}"/>
  <tableColumns count="7">
    <tableColumn id="1" xr3:uid="{297E9BDB-C72B-4061-BCFD-046219EB36F8}" name="Item" dataDxfId="144"/>
    <tableColumn id="2" xr3:uid="{09DCA5B8-27C9-4A20-BB42-940B88E10B09}" name="2020" dataDxfId="143"/>
    <tableColumn id="3" xr3:uid="{DC7042BE-0011-46BE-B6F1-1AE6765692AC}" name="2021" dataDxfId="142"/>
    <tableColumn id="4" xr3:uid="{D39E2FFF-45D3-4C20-9222-96822141F11B}" name="2022" dataDxfId="141"/>
    <tableColumn id="5" xr3:uid="{E2410D7D-8F25-4FE6-B871-469783DC2CFE}" name="2023" dataDxfId="140"/>
    <tableColumn id="6" xr3:uid="{3DCB259A-5345-4F69-BC66-4343271633ED}" name="2024" dataDxfId="139"/>
    <tableColumn id="7" xr3:uid="{E4EDEB91-92E4-47C2-B61A-4FB2DAA49B39}" name="2025" dataDxfId="138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7D9BCB-3A2A-40B3-9FDF-B89E33175CC6}" name="Table5" displayName="Table5" ref="F6:L23" totalsRowShown="0" headerRowDxfId="137" dataDxfId="135" headerRowBorderDxfId="136" tableBorderDxfId="134">
  <autoFilter ref="F6:L23" xr:uid="{7F7D9BCB-3A2A-40B3-9FDF-B89E33175CC6}"/>
  <tableColumns count="7">
    <tableColumn id="1" xr3:uid="{C9D820C1-93F8-4E84-B3A2-55F4B4DD8610}" name="Name" dataDxfId="133"/>
    <tableColumn id="2" xr3:uid="{01CE8D0E-6FD4-4D3C-84D7-3E1599E137DA}" name="2020" dataDxfId="132"/>
    <tableColumn id="3" xr3:uid="{B2829402-B869-4B76-8B34-22240FAEA0DC}" name="2021" dataDxfId="131"/>
    <tableColumn id="4" xr3:uid="{50EAA7EB-CF9D-4493-9DE2-6719D1FDA160}" name="2022" dataDxfId="130"/>
    <tableColumn id="5" xr3:uid="{B312D90A-28B3-4F9C-A504-95172EC266EB}" name="2023" dataDxfId="129"/>
    <tableColumn id="6" xr3:uid="{D3D223FD-6BDF-4AD2-BCA0-46F7B19A812B}" name="2024" dataDxfId="128"/>
    <tableColumn id="7" xr3:uid="{9F39D7D9-2C26-4D55-8989-1FC2CCEA71BB}" name="2025" dataDxfId="127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1170362-4E0A-4FF2-9F48-6E40F667D9BF}" name="Table6" displayName="Table6" ref="F28:L45" totalsRowShown="0" headerRowDxfId="126" dataDxfId="124" headerRowBorderDxfId="125" tableBorderDxfId="123">
  <autoFilter ref="F28:L45" xr:uid="{51170362-4E0A-4FF2-9F48-6E40F667D9BF}"/>
  <tableColumns count="7">
    <tableColumn id="1" xr3:uid="{E476147E-AA5E-4949-B14A-FDC819F62AD0}" name="Name" dataDxfId="122"/>
    <tableColumn id="2" xr3:uid="{6C3A4989-1652-4C5A-91FD-6BB39845861E}" name="2020" dataDxfId="121"/>
    <tableColumn id="3" xr3:uid="{2A072100-3556-4C66-9401-55FC0F8D9669}" name="2021" dataDxfId="120"/>
    <tableColumn id="4" xr3:uid="{EB1FF5DF-CDAB-4269-9504-78D225851766}" name="2022" dataDxfId="119"/>
    <tableColumn id="5" xr3:uid="{FCCB88DF-22E1-4516-8FD9-7D269119D662}" name="2023" dataDxfId="118"/>
    <tableColumn id="6" xr3:uid="{F90DCD34-8F9F-4FA8-8526-38D6F43EE406}" name="2024" dataDxfId="117"/>
    <tableColumn id="7" xr3:uid="{728CA1A3-2500-4078-9F5E-315D997FCCAB}" name="2025" dataDxfId="11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5922EBA-DF0F-4423-BBC5-B64BA29C91F0}" name="Table7" displayName="Table7" ref="F55:L72" totalsRowShown="0" headerRowDxfId="115" dataDxfId="113" headerRowBorderDxfId="114" tableBorderDxfId="112">
  <autoFilter ref="F55:L72" xr:uid="{E5922EBA-DF0F-4423-BBC5-B64BA29C91F0}"/>
  <tableColumns count="7">
    <tableColumn id="1" xr3:uid="{B02F33DE-A5A3-410E-83BA-12D9D11C163C}" name="Name" dataDxfId="111"/>
    <tableColumn id="2" xr3:uid="{0821F3CE-5958-44C8-AF71-1A9B09DF7714}" name="2020" dataDxfId="110"/>
    <tableColumn id="3" xr3:uid="{0326F2D2-8478-4D91-9E77-50DFAE12E071}" name="2021" dataDxfId="109"/>
    <tableColumn id="4" xr3:uid="{8F57B686-DAE6-4369-B942-BFBBC8B018D0}" name="2022" dataDxfId="108"/>
    <tableColumn id="5" xr3:uid="{0C21FBAB-925D-4ED9-A39B-515BB437E1C1}" name="2023" dataDxfId="107"/>
    <tableColumn id="6" xr3:uid="{A70161BC-DD95-4E00-AABB-CBF4F86B3974}" name="2024" dataDxfId="106"/>
    <tableColumn id="7" xr3:uid="{6436066F-A507-4B2F-9077-E8D57BA5490F}" name="2025" dataDxfId="105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4C730E7-C279-41B7-AB02-F373A7E53028}" name="Table115" displayName="Table115" ref="N55:T71" totalsRowShown="0" headerRowDxfId="104" dataDxfId="102" headerRowBorderDxfId="103" tableBorderDxfId="101" totalsRowBorderDxfId="100">
  <autoFilter ref="N55:T71" xr:uid="{54C730E7-C279-41B7-AB02-F373A7E53028}"/>
  <tableColumns count="7">
    <tableColumn id="1" xr3:uid="{E25DA1C9-0B81-4314-B8EE-5199E780BE04}" name="Item" dataDxfId="99"/>
    <tableColumn id="2" xr3:uid="{764DFE56-D8B4-48DC-A595-6F7AC3154974}" name="2020" dataDxfId="98"/>
    <tableColumn id="3" xr3:uid="{9AAD523E-D590-4753-A1F6-825FE99B16CA}" name="2021" dataDxfId="97"/>
    <tableColumn id="4" xr3:uid="{D4213C35-79EF-43BE-AD08-763D2CF80333}" name="2022" dataDxfId="96"/>
    <tableColumn id="5" xr3:uid="{A9E1CB9A-3C02-4C8F-B888-28E4354A63C3}" name="2023" dataDxfId="95"/>
    <tableColumn id="6" xr3:uid="{65DD4624-9910-4D1E-969D-011E0AE01414}" name="2024" dataDxfId="94"/>
    <tableColumn id="7" xr3:uid="{6F81A9A8-8300-491D-88DD-F0E16A650A22}" name="2025" dataDxfId="93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CC23CDC6-B1E4-43F3-B013-448AEFC9636D}" name="Table417" displayName="Table417" ref="W55:AC77" totalsRowShown="0" headerRowDxfId="92" dataDxfId="90" headerRowBorderDxfId="91" tableBorderDxfId="89" totalsRowBorderDxfId="88">
  <autoFilter ref="W55:AC77" xr:uid="{CC23CDC6-B1E4-43F3-B013-448AEFC9636D}"/>
  <tableColumns count="7">
    <tableColumn id="1" xr3:uid="{6A5F92D0-DD27-471D-A021-08B2D77FB840}" name="Item" dataDxfId="87"/>
    <tableColumn id="2" xr3:uid="{FDF7D0BC-B714-41E9-88CF-E81ADBE68954}" name="2020" dataDxfId="86"/>
    <tableColumn id="3" xr3:uid="{92FB3AAE-FAE2-4D77-AD4F-3E60CAD999C6}" name="2021" dataDxfId="85"/>
    <tableColumn id="4" xr3:uid="{9695D320-AED7-472E-AB4B-1C4B00D9746E}" name="2022" dataDxfId="84"/>
    <tableColumn id="5" xr3:uid="{513C058F-FE1D-4CAE-84C8-D1987F7AD8B1}" name="2023" dataDxfId="83"/>
    <tableColumn id="6" xr3:uid="{BDDE0A61-574E-40CA-AF59-106256D4BD8C}" name="2024" dataDxfId="82"/>
    <tableColumn id="7" xr3:uid="{334878A1-B1DB-4266-9E66-68B22237E968}" name="2025" dataDxfId="81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1BD45F6-7A4D-4871-B8DE-58CC01A3031D}" name="Table1113" displayName="Table1113" ref="A2:I25" totalsRowShown="0" headerRowDxfId="80" dataDxfId="79">
  <autoFilter ref="A2:I25" xr:uid="{C1BD45F6-7A4D-4871-B8DE-58CC01A3031D}"/>
  <tableColumns count="9">
    <tableColumn id="1" xr3:uid="{D5F63DF4-6B8C-439F-A6AE-1C962161E1B9}" name="Column1" dataDxfId="78"/>
    <tableColumn id="2" xr3:uid="{BC3EB736-FFF1-4149-872A-B7816D19A0FA}" name="CMG" dataDxfId="77"/>
    <tableColumn id="3" xr3:uid="{EA96657C-4BD0-4340-B585-4A64555E4BC0}" name="SFM" dataDxfId="76"/>
    <tableColumn id="4" xr3:uid="{23E40010-2420-45DE-BF66-B76DFDBEF24D}" name="VLGEA" dataDxfId="75"/>
    <tableColumn id="5" xr3:uid="{29E1DE5E-9086-408B-AABB-C19267C487AC}" name="KR" dataDxfId="74"/>
    <tableColumn id="6" xr3:uid="{A1510A1F-7004-437C-BB01-FE472CE480F6}" name="CASY" dataDxfId="73"/>
    <tableColumn id="7" xr3:uid="{1CCD7CE4-A1FE-42A7-B6D0-F0DAC0220C2E}" name="ANCUF" dataDxfId="72"/>
    <tableColumn id="8" xr3:uid="{15C92866-F433-423A-8A38-A894A92CB7FC}" name="ANCADRNY" dataDxfId="71"/>
    <tableColumn id="9" xr3:uid="{54C738A0-CB0E-47E9-94AB-764C1F3DB9C6}" name="WMT" dataDxfId="70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6A092772-EB98-4575-B846-C848FCD08611}" name="Table819" displayName="Table819" ref="F29:L40" totalsRowShown="0" headerRowDxfId="69" dataDxfId="67" headerRowBorderDxfId="68" tableBorderDxfId="66">
  <autoFilter ref="F29:L40" xr:uid="{BE85DE8B-252C-48EC-BABC-93006F61881C}"/>
  <tableColumns count="7">
    <tableColumn id="1" xr3:uid="{06AAB393-2E99-4A4D-9A11-FC7F44520DBA}" name="Item" dataDxfId="65"/>
    <tableColumn id="2" xr3:uid="{05FFE99D-2705-4F77-B58D-8A662CFF14C4}" name="2020" dataDxfId="64"/>
    <tableColumn id="3" xr3:uid="{DA13E83F-CACB-4298-88F0-221AF0545264}" name="2021" dataDxfId="63"/>
    <tableColumn id="4" xr3:uid="{3258861A-0DFF-4F9C-9198-FC2D0A3103DD}" name="2022" dataDxfId="62"/>
    <tableColumn id="5" xr3:uid="{817893CD-105E-4B9D-9CC6-735A64125BF4}" name="2023" dataDxfId="61"/>
    <tableColumn id="6" xr3:uid="{06318C09-C6E0-4F2F-AA20-C882DB2C5CBE}" name="2024" dataDxfId="60"/>
    <tableColumn id="7" xr3:uid="{54738901-6E9F-48D0-8A00-3976FE6E9F59}" name="2025" dataDxfId="59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3B17B50D-9B47-44EA-B3B6-D07FA5EC56D0}" name="Table920" displayName="Table920" ref="F44:L58" totalsRowShown="0" headerRowDxfId="58" dataDxfId="56" headerRowBorderDxfId="57" tableBorderDxfId="55" totalsRowBorderDxfId="54">
  <autoFilter ref="F44:L58" xr:uid="{A4A7CE18-D580-4371-A08C-515FC992ED3E}"/>
  <tableColumns count="7">
    <tableColumn id="1" xr3:uid="{ACDC3C90-925C-4D49-998D-7E4EDAADB814}" name="Item" dataDxfId="53"/>
    <tableColumn id="2" xr3:uid="{266FA483-31CD-47DF-B841-5AC8BF516B2E}" name="2020" dataDxfId="52"/>
    <tableColumn id="3" xr3:uid="{5D7205AA-95AC-43BD-AE05-7563FA908370}" name="2021" dataDxfId="51"/>
    <tableColumn id="4" xr3:uid="{FA259AE4-328E-43DF-84AE-4EFDF5FF45DC}" name="2022" dataDxfId="50"/>
    <tableColumn id="5" xr3:uid="{F4915755-F2ED-4BF4-AC53-BFFBAECD57B3}" name="2023" dataDxfId="49"/>
    <tableColumn id="6" xr3:uid="{5BE90EEF-6EC8-45AD-A9AE-D228CAE822B7}" name="2024" dataDxfId="48"/>
    <tableColumn id="7" xr3:uid="{1D0A843E-D09A-4B53-8281-EB9E973CFAA4}" name="2025" dataDxfId="47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249F7816-C239-4539-8D3E-561F4C57E601}" name="Table1021" displayName="Table1021" ref="F63:L83" totalsRowShown="0" headerRowDxfId="46" dataDxfId="44" headerRowBorderDxfId="45" tableBorderDxfId="43" totalsRowBorderDxfId="42">
  <autoFilter ref="F63:L83" xr:uid="{D1107A59-C749-4BA5-A3CB-E9C63C95F3A3}"/>
  <tableColumns count="7">
    <tableColumn id="1" xr3:uid="{91B7F2DE-01CF-4661-AC6E-66FB9CB40979}" name="Item" dataDxfId="41"/>
    <tableColumn id="2" xr3:uid="{AC62DF61-7A1C-4F8D-96BA-983CA8F5971F}" name="2020" dataDxfId="40"/>
    <tableColumn id="3" xr3:uid="{D9A34425-4979-4875-AEBD-29F1565863A6}" name="2021" dataDxfId="39"/>
    <tableColumn id="4" xr3:uid="{5155117A-229F-4EC8-966A-7C409A59A7B2}" name="2022" dataDxfId="38"/>
    <tableColumn id="5" xr3:uid="{934236B8-ACF1-47A3-B6C2-AF74C9EEFB8F}" name="2023" dataDxfId="37"/>
    <tableColumn id="6" xr3:uid="{E39158B5-431E-4862-8C66-D62DEBD2BFD1}" name="2024" dataDxfId="36"/>
    <tableColumn id="7" xr3:uid="{246EAD65-C0CE-497B-80FC-CDD9C3ADF076}" name="2025" dataDxfId="35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E85DE8B-252C-48EC-BABC-93006F61881C}" name="Table8" displayName="Table8" ref="F29:L40" totalsRowShown="0" headerRowDxfId="34" dataDxfId="32" headerRowBorderDxfId="33" tableBorderDxfId="31">
  <autoFilter ref="F29:L40" xr:uid="{BE85DE8B-252C-48EC-BABC-93006F61881C}"/>
  <tableColumns count="7">
    <tableColumn id="1" xr3:uid="{9F8B9DAE-7D12-4D87-9423-7DA7F2E0C118}" name="Item" dataDxfId="30"/>
    <tableColumn id="2" xr3:uid="{B17DF1E5-A591-4275-8A0B-FE0CCFCCBEAC}" name="2020" dataDxfId="29"/>
    <tableColumn id="3" xr3:uid="{1F47B546-6AB6-4785-8EDE-26C7C84749F5}" name="2021" dataDxfId="28"/>
    <tableColumn id="4" xr3:uid="{DC1592FB-3EA2-4A1D-87D3-A7464D54A916}" name="2022" dataDxfId="27"/>
    <tableColumn id="5" xr3:uid="{BD72252E-CB50-436F-9671-CE0F8825ABAC}" name="2023" dataDxfId="26"/>
    <tableColumn id="6" xr3:uid="{D1590F44-C272-488F-8294-551A961C7B0E}" name="2024" dataDxfId="25"/>
    <tableColumn id="7" xr3:uid="{33D11B34-3380-495A-B912-9F70B698062A}" name="2025" dataDxfId="24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A4A7CE18-D580-4371-A08C-515FC992ED3E}" name="Table9" displayName="Table9" ref="F44:L58" totalsRowShown="0" headerRowDxfId="23" dataDxfId="21" headerRowBorderDxfId="22" tableBorderDxfId="20" totalsRowBorderDxfId="19">
  <autoFilter ref="F44:L58" xr:uid="{A4A7CE18-D580-4371-A08C-515FC992ED3E}"/>
  <tableColumns count="7">
    <tableColumn id="1" xr3:uid="{0352BFD8-1F99-439B-88D0-B3C227FE33F5}" name="Item" dataDxfId="18"/>
    <tableColumn id="2" xr3:uid="{B9FE1906-0E9B-4D50-9A32-FD2B59B51E9C}" name="2020" dataDxfId="17"/>
    <tableColumn id="3" xr3:uid="{C7D0A88C-F1E6-4FA1-B664-B1ACDA40C5CC}" name="2021" dataDxfId="16"/>
    <tableColumn id="4" xr3:uid="{F781DDA2-EB64-4A6A-A301-6AD6F048B8AE}" name="2022" dataDxfId="15"/>
    <tableColumn id="5" xr3:uid="{45CB25FD-7ACA-4D06-B8CC-5F5B87A5D8EC}" name="2023" dataDxfId="14"/>
    <tableColumn id="6" xr3:uid="{23EDA49D-A779-444D-90F0-644DBB4F411C}" name="2024" dataDxfId="13"/>
    <tableColumn id="7" xr3:uid="{841C1644-559C-4956-B401-4BC68A1774B0}" name="2025" dataDxfId="12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1107A59-C749-4BA5-A3CB-E9C63C95F3A3}" name="Table10" displayName="Table10" ref="F63:L83" totalsRowShown="0" headerRowDxfId="11" dataDxfId="9" headerRowBorderDxfId="10" tableBorderDxfId="8" totalsRowBorderDxfId="7">
  <autoFilter ref="F63:L83" xr:uid="{D1107A59-C749-4BA5-A3CB-E9C63C95F3A3}"/>
  <tableColumns count="7">
    <tableColumn id="1" xr3:uid="{811900F7-CF9B-4F17-AEBC-957A4297A79A}" name="Item" dataDxfId="6"/>
    <tableColumn id="2" xr3:uid="{D89F1BD5-38F9-4605-91EE-B10EEA8B6005}" name="2020" dataDxfId="5"/>
    <tableColumn id="3" xr3:uid="{B48C392A-6593-4A44-9FB5-62EF896F03EB}" name="2021" dataDxfId="4"/>
    <tableColumn id="4" xr3:uid="{1F77565A-C9CB-4896-89BE-CA73E02C61AE}" name="2022" dataDxfId="3"/>
    <tableColumn id="5" xr3:uid="{DF898A3C-C2A9-4768-8464-78E43DF4B86A}" name="2023" dataDxfId="2"/>
    <tableColumn id="6" xr3:uid="{45CAE2EB-1585-408D-B708-0CA48E29C5B9}" name="2024" dataDxfId="1"/>
    <tableColumn id="7" xr3:uid="{E5AC28BA-64C0-4A72-909C-80F5B2B0A7B8}" name="202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10" Type="http://schemas.openxmlformats.org/officeDocument/2006/relationships/table" Target="../tables/table13.xml"/><Relationship Id="rId4" Type="http://schemas.openxmlformats.org/officeDocument/2006/relationships/table" Target="../tables/table7.xml"/><Relationship Id="rId9" Type="http://schemas.openxmlformats.org/officeDocument/2006/relationships/table" Target="../tables/table1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2" Type="http://schemas.openxmlformats.org/officeDocument/2006/relationships/drawing" Target="../drawings/drawing1.xml"/><Relationship Id="rId1" Type="http://schemas.openxmlformats.org/officeDocument/2006/relationships/hyperlink" Target="https://taxfoundation.org/location/oregon/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.xml"/><Relationship Id="rId2" Type="http://schemas.openxmlformats.org/officeDocument/2006/relationships/table" Target="../tables/table15.xml"/><Relationship Id="rId1" Type="http://schemas.openxmlformats.org/officeDocument/2006/relationships/drawing" Target="../drawings/drawing2.xml"/><Relationship Id="rId4" Type="http://schemas.openxmlformats.org/officeDocument/2006/relationships/table" Target="../tables/table17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table" Target="../tables/table20.xml"/><Relationship Id="rId4" Type="http://schemas.openxmlformats.org/officeDocument/2006/relationships/table" Target="../tables/table1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33668-435A-4ECE-A281-A3FA76D77984}">
  <dimension ref="A1:AC110"/>
  <sheetViews>
    <sheetView zoomScale="99" zoomScaleNormal="130" workbookViewId="0">
      <selection activeCell="G36" sqref="G36"/>
    </sheetView>
  </sheetViews>
  <sheetFormatPr baseColWidth="10" defaultColWidth="8.83203125" defaultRowHeight="15"/>
  <cols>
    <col min="2" max="2" width="28.83203125" bestFit="1" customWidth="1"/>
    <col min="3" max="5" width="12.5" bestFit="1" customWidth="1"/>
    <col min="7" max="7" width="29.33203125" bestFit="1" customWidth="1"/>
    <col min="11" max="11" width="13" bestFit="1" customWidth="1"/>
    <col min="12" max="12" width="34.6640625" customWidth="1"/>
    <col min="13" max="13" width="29.6640625" bestFit="1" customWidth="1"/>
    <col min="14" max="14" width="17.5" customWidth="1"/>
    <col min="15" max="15" width="36.5" bestFit="1" customWidth="1"/>
    <col min="16" max="16" width="11.33203125" bestFit="1" customWidth="1"/>
    <col min="17" max="17" width="15.1640625" customWidth="1"/>
    <col min="18" max="18" width="14.33203125" customWidth="1"/>
    <col min="19" max="19" width="14.1640625" customWidth="1"/>
  </cols>
  <sheetData>
    <row r="1" spans="1:16">
      <c r="A1" t="s">
        <v>0</v>
      </c>
    </row>
    <row r="2" spans="1:16">
      <c r="A2" t="s">
        <v>1</v>
      </c>
    </row>
    <row r="3" spans="1:16">
      <c r="B3" t="s">
        <v>2</v>
      </c>
      <c r="C3">
        <v>2017</v>
      </c>
      <c r="D3">
        <v>2018</v>
      </c>
      <c r="E3" t="s">
        <v>3</v>
      </c>
      <c r="K3" t="s">
        <v>0</v>
      </c>
      <c r="M3" t="s">
        <v>4</v>
      </c>
      <c r="N3" t="s">
        <v>5</v>
      </c>
      <c r="O3" t="s">
        <v>6</v>
      </c>
      <c r="P3" t="s">
        <v>7</v>
      </c>
    </row>
    <row r="4" spans="1:16">
      <c r="B4" t="s">
        <v>8</v>
      </c>
      <c r="C4" s="6">
        <v>10006049</v>
      </c>
      <c r="D4" s="6">
        <v>10782087</v>
      </c>
      <c r="E4" s="6">
        <v>12683289</v>
      </c>
      <c r="J4" s="99"/>
      <c r="K4" t="s">
        <v>1</v>
      </c>
    </row>
    <row r="5" spans="1:16">
      <c r="B5" t="s">
        <v>9</v>
      </c>
      <c r="C5" s="6">
        <v>6329714</v>
      </c>
      <c r="D5" s="6">
        <v>6697427</v>
      </c>
      <c r="E5" s="6">
        <v>7765068</v>
      </c>
      <c r="J5" s="99"/>
    </row>
    <row r="6" spans="1:16">
      <c r="B6" t="s">
        <v>10</v>
      </c>
      <c r="C6" s="6">
        <v>3676335</v>
      </c>
      <c r="D6" s="6">
        <v>4084660</v>
      </c>
      <c r="E6" s="6">
        <v>4918221</v>
      </c>
      <c r="N6">
        <v>2017</v>
      </c>
      <c r="O6">
        <v>2018</v>
      </c>
      <c r="P6" t="s">
        <v>11</v>
      </c>
    </row>
    <row r="7" spans="1:16">
      <c r="B7" t="s">
        <v>12</v>
      </c>
      <c r="C7" s="6">
        <v>3799791</v>
      </c>
      <c r="D7" s="6">
        <v>3858400</v>
      </c>
      <c r="E7" s="6">
        <v>4355039</v>
      </c>
      <c r="M7" t="s">
        <v>8</v>
      </c>
      <c r="N7" s="98">
        <v>10006049</v>
      </c>
      <c r="O7" s="98">
        <v>10782087</v>
      </c>
      <c r="P7" s="98">
        <v>12683289</v>
      </c>
    </row>
    <row r="8" spans="1:16">
      <c r="B8" t="s">
        <v>13</v>
      </c>
      <c r="C8" s="6">
        <v>1254048</v>
      </c>
      <c r="D8" s="6">
        <v>1303468</v>
      </c>
      <c r="E8" s="6">
        <v>1486581</v>
      </c>
      <c r="M8" t="s">
        <v>14</v>
      </c>
      <c r="N8" s="98">
        <v>6329714</v>
      </c>
      <c r="O8" s="98">
        <v>6697427</v>
      </c>
      <c r="P8" s="98">
        <v>7765068</v>
      </c>
    </row>
    <row r="9" spans="1:16">
      <c r="B9" t="s">
        <v>15</v>
      </c>
      <c r="C9" s="6">
        <v>-1377504</v>
      </c>
      <c r="D9" s="6">
        <v>-1077208</v>
      </c>
      <c r="E9" s="6">
        <v>-923398</v>
      </c>
      <c r="G9" s="1" t="s">
        <v>16</v>
      </c>
      <c r="H9" s="9">
        <f>C6/C4</f>
        <v>0.36741125293310078</v>
      </c>
      <c r="I9" s="9">
        <f>D6/D4</f>
        <v>0.37883760351776052</v>
      </c>
      <c r="J9" s="9">
        <f>E6/E4</f>
        <v>0.38777173649516306</v>
      </c>
      <c r="M9" t="s">
        <v>10</v>
      </c>
      <c r="N9" s="98">
        <v>3676335</v>
      </c>
      <c r="O9" s="98">
        <v>4084660</v>
      </c>
      <c r="P9" s="98">
        <v>4918221</v>
      </c>
    </row>
    <row r="10" spans="1:16">
      <c r="B10" t="s">
        <v>17</v>
      </c>
      <c r="C10" s="6">
        <v>301100</v>
      </c>
      <c r="D10" s="6">
        <v>312080</v>
      </c>
      <c r="E10" s="6">
        <v>355322</v>
      </c>
      <c r="G10" s="1" t="s">
        <v>18</v>
      </c>
      <c r="H10" s="9">
        <f>C7/C4</f>
        <v>0.37974938959423443</v>
      </c>
      <c r="I10" s="9">
        <f>D7/D4</f>
        <v>0.35785279788597513</v>
      </c>
      <c r="J10" s="9">
        <f>E7/E4</f>
        <v>0.34336826985492486</v>
      </c>
    </row>
    <row r="11" spans="1:16">
      <c r="B11" t="s">
        <v>19</v>
      </c>
      <c r="C11" s="6">
        <v>555022</v>
      </c>
      <c r="D11" s="6">
        <v>452291</v>
      </c>
      <c r="E11" s="6">
        <v>433114</v>
      </c>
      <c r="G11" s="1" t="s">
        <v>20</v>
      </c>
      <c r="H11" s="9">
        <f>C8/C4</f>
        <v>0.12532898849485946</v>
      </c>
      <c r="I11" s="9">
        <f>D8/D4</f>
        <v>0.12089199428644937</v>
      </c>
      <c r="J11" s="9">
        <f>E8/E4</f>
        <v>0.11720784727053053</v>
      </c>
      <c r="M11" t="s">
        <v>21</v>
      </c>
      <c r="N11" s="98">
        <v>3009276</v>
      </c>
      <c r="O11" s="98">
        <v>3109118</v>
      </c>
      <c r="P11" s="98">
        <v>3576002</v>
      </c>
    </row>
    <row r="12" spans="1:16">
      <c r="B12" t="s">
        <v>22</v>
      </c>
      <c r="C12" s="6">
        <v>-2244877</v>
      </c>
      <c r="D12" s="6">
        <v>-1857000</v>
      </c>
      <c r="E12" s="6">
        <v>-1727962</v>
      </c>
      <c r="G12" s="1" t="s">
        <v>23</v>
      </c>
      <c r="H12" s="9">
        <f>C9/C4</f>
        <v>-0.13766712515599314</v>
      </c>
      <c r="I12" s="9">
        <f>D9/D4</f>
        <v>-9.9907188654663984E-2</v>
      </c>
      <c r="J12" s="9">
        <f>E9/E4</f>
        <v>-7.2804301786389955E-2</v>
      </c>
      <c r="M12" t="s">
        <v>24</v>
      </c>
      <c r="N12" s="98">
        <v>139333</v>
      </c>
      <c r="O12" s="98">
        <v>183958</v>
      </c>
      <c r="P12" s="98">
        <v>192668</v>
      </c>
    </row>
    <row r="13" spans="1:16">
      <c r="G13" s="1" t="s">
        <v>25</v>
      </c>
      <c r="H13" s="9">
        <f>C12/C4</f>
        <v>-0.2243519894815626</v>
      </c>
      <c r="I13" s="9">
        <f>D12/D4</f>
        <v>-0.17223010721393733</v>
      </c>
      <c r="J13" s="9">
        <f>E12/E4</f>
        <v>-0.13623926727523122</v>
      </c>
      <c r="M13" t="s">
        <v>26</v>
      </c>
      <c r="N13" s="98">
        <v>1905230</v>
      </c>
      <c r="O13" s="98">
        <v>1868793</v>
      </c>
      <c r="P13" s="98">
        <v>2072950</v>
      </c>
    </row>
    <row r="14" spans="1:16">
      <c r="G14" s="1" t="s">
        <v>27</v>
      </c>
      <c r="H14" s="9">
        <f>C26/C34</f>
        <v>0.89280147560413259</v>
      </c>
      <c r="I14" s="9">
        <f t="shared" ref="I14:J14" si="0">D26/D34</f>
        <v>0.69594279272098825</v>
      </c>
      <c r="J14" s="9">
        <f t="shared" si="0"/>
        <v>1.0766292954869738</v>
      </c>
      <c r="M14" t="s">
        <v>28</v>
      </c>
      <c r="N14" s="98">
        <v>5053839</v>
      </c>
      <c r="O14" s="98">
        <v>5161868</v>
      </c>
      <c r="P14" s="98">
        <v>5841619</v>
      </c>
    </row>
    <row r="15" spans="1:16">
      <c r="B15" t="s">
        <v>29</v>
      </c>
      <c r="E15" s="6">
        <f>E9+E11</f>
        <v>-490284</v>
      </c>
      <c r="G15" s="1" t="s">
        <v>30</v>
      </c>
      <c r="H15" s="1">
        <f>C41/C37</f>
        <v>0.57800574555681716</v>
      </c>
      <c r="I15" s="1">
        <f t="shared" ref="I15:J15" si="1">D41/D37</f>
        <v>0.5660457932733336</v>
      </c>
      <c r="J15" s="1">
        <f t="shared" si="1"/>
        <v>0.58780549490201384</v>
      </c>
    </row>
    <row r="16" spans="1:16">
      <c r="G16" s="1"/>
      <c r="H16" s="1"/>
      <c r="I16" s="1"/>
      <c r="J16" s="1"/>
      <c r="M16" t="s">
        <v>15</v>
      </c>
      <c r="N16" s="98">
        <v>-1377504</v>
      </c>
      <c r="O16" s="98">
        <v>-1077208</v>
      </c>
      <c r="P16" s="98">
        <v>-923398</v>
      </c>
    </row>
    <row r="18" spans="2:16">
      <c r="M18" t="s">
        <v>31</v>
      </c>
      <c r="N18" s="98">
        <v>301100</v>
      </c>
      <c r="O18" s="98">
        <v>312080</v>
      </c>
      <c r="P18" s="98">
        <v>355322</v>
      </c>
    </row>
    <row r="19" spans="2:16">
      <c r="M19" t="s">
        <v>32</v>
      </c>
      <c r="N19" s="98">
        <v>555022</v>
      </c>
      <c r="O19" s="98">
        <v>452291</v>
      </c>
      <c r="P19" s="98">
        <v>433114</v>
      </c>
    </row>
    <row r="20" spans="2:16">
      <c r="B20" t="s">
        <v>33</v>
      </c>
      <c r="C20">
        <v>2017</v>
      </c>
      <c r="D20">
        <v>2018</v>
      </c>
      <c r="E20" t="s">
        <v>3</v>
      </c>
    </row>
    <row r="21" spans="2:16">
      <c r="B21" t="s">
        <v>34</v>
      </c>
      <c r="M21" t="s">
        <v>35</v>
      </c>
      <c r="N21" s="98">
        <v>-2233625</v>
      </c>
      <c r="O21" s="98">
        <v>-1841579</v>
      </c>
      <c r="P21" s="98">
        <v>-1711834</v>
      </c>
    </row>
    <row r="22" spans="2:16">
      <c r="B22" t="s">
        <v>36</v>
      </c>
      <c r="C22" s="6">
        <v>271249</v>
      </c>
      <c r="D22" s="6">
        <v>376420</v>
      </c>
      <c r="E22" s="6">
        <v>991610</v>
      </c>
      <c r="G22" t="s">
        <v>37</v>
      </c>
    </row>
    <row r="23" spans="2:16">
      <c r="B23" t="s">
        <v>38</v>
      </c>
      <c r="C23" s="6">
        <v>19377</v>
      </c>
      <c r="D23" s="6">
        <v>75496</v>
      </c>
      <c r="E23" s="6">
        <v>65000</v>
      </c>
      <c r="M23" t="s">
        <v>39</v>
      </c>
      <c r="N23" s="98">
        <v>11252</v>
      </c>
      <c r="O23" s="98">
        <v>15421</v>
      </c>
      <c r="P23" s="98">
        <v>16129</v>
      </c>
    </row>
    <row r="24" spans="2:16">
      <c r="B24" t="s">
        <v>40</v>
      </c>
      <c r="C24" s="6">
        <v>441123</v>
      </c>
      <c r="D24" s="6">
        <v>489220</v>
      </c>
      <c r="E24" s="6">
        <v>558779</v>
      </c>
    </row>
    <row r="25" spans="2:16">
      <c r="B25" t="s">
        <v>41</v>
      </c>
      <c r="C25" s="6">
        <v>205339</v>
      </c>
      <c r="D25" s="6">
        <v>23717</v>
      </c>
      <c r="E25" s="6">
        <v>25000</v>
      </c>
      <c r="M25" t="s">
        <v>42</v>
      </c>
      <c r="N25" s="98">
        <v>-2244877</v>
      </c>
      <c r="O25" s="98">
        <v>-1857000</v>
      </c>
      <c r="P25" s="98">
        <v>-1727962</v>
      </c>
    </row>
    <row r="26" spans="2:16">
      <c r="B26" t="s">
        <v>43</v>
      </c>
      <c r="C26" s="6">
        <v>937088</v>
      </c>
      <c r="D26" s="6">
        <v>964853</v>
      </c>
      <c r="E26" s="6">
        <v>1640389</v>
      </c>
      <c r="K26" t="s">
        <v>0</v>
      </c>
    </row>
    <row r="27" spans="2:16">
      <c r="B27" t="s">
        <v>44</v>
      </c>
      <c r="C27" s="6">
        <v>3213085</v>
      </c>
      <c r="D27" s="6">
        <v>3097801</v>
      </c>
      <c r="E27" s="6">
        <v>3751686</v>
      </c>
      <c r="K27" t="s">
        <v>45</v>
      </c>
    </row>
    <row r="28" spans="2:16">
      <c r="B28" t="s">
        <v>46</v>
      </c>
      <c r="C28" s="6">
        <v>4150173</v>
      </c>
      <c r="D28" s="6">
        <v>4062654</v>
      </c>
      <c r="E28" s="6">
        <v>5392075</v>
      </c>
    </row>
    <row r="29" spans="2:16">
      <c r="C29" s="6"/>
      <c r="D29" s="6"/>
      <c r="E29" s="6"/>
      <c r="M29" t="s">
        <v>47</v>
      </c>
      <c r="N29" s="98" t="s">
        <v>48</v>
      </c>
      <c r="O29" s="98" t="s">
        <v>49</v>
      </c>
      <c r="P29" s="98" t="s">
        <v>50</v>
      </c>
    </row>
    <row r="30" spans="2:16">
      <c r="B30" t="s">
        <v>51</v>
      </c>
      <c r="C30" s="6"/>
      <c r="D30" s="6"/>
      <c r="E30" s="6"/>
      <c r="M30" t="s">
        <v>36</v>
      </c>
      <c r="N30" s="98">
        <v>271249</v>
      </c>
      <c r="O30" s="98">
        <v>376420</v>
      </c>
      <c r="P30" s="98">
        <v>991610</v>
      </c>
    </row>
    <row r="31" spans="2:16">
      <c r="B31" t="s">
        <v>52</v>
      </c>
      <c r="C31" s="6">
        <v>428128</v>
      </c>
      <c r="D31" s="6">
        <v>627075</v>
      </c>
      <c r="E31" s="6">
        <v>596550</v>
      </c>
      <c r="G31" t="s">
        <v>53</v>
      </c>
      <c r="M31" t="s">
        <v>38</v>
      </c>
      <c r="N31" s="98">
        <v>19377</v>
      </c>
      <c r="O31" s="98">
        <v>75496</v>
      </c>
      <c r="P31" s="98">
        <v>65000</v>
      </c>
    </row>
    <row r="32" spans="2:16">
      <c r="B32" t="s">
        <v>54</v>
      </c>
      <c r="C32" s="6">
        <v>521476</v>
      </c>
      <c r="D32" s="6">
        <v>684363</v>
      </c>
      <c r="E32" s="6">
        <v>892828</v>
      </c>
      <c r="M32" t="s">
        <v>40</v>
      </c>
      <c r="N32" s="98">
        <v>441123</v>
      </c>
      <c r="O32" s="98">
        <v>489220</v>
      </c>
      <c r="P32" s="98">
        <v>558779</v>
      </c>
    </row>
    <row r="33" spans="2:29">
      <c r="B33" t="s">
        <v>55</v>
      </c>
      <c r="C33" s="6">
        <v>100000</v>
      </c>
      <c r="D33" s="6">
        <v>74959</v>
      </c>
      <c r="E33" s="6">
        <v>34256</v>
      </c>
      <c r="M33" t="s">
        <v>41</v>
      </c>
      <c r="N33" s="98">
        <v>205339</v>
      </c>
      <c r="O33" s="98">
        <v>23717</v>
      </c>
      <c r="P33" s="98">
        <v>25000</v>
      </c>
    </row>
    <row r="34" spans="2:29">
      <c r="B34" t="s">
        <v>56</v>
      </c>
      <c r="C34" s="6">
        <v>1049604</v>
      </c>
      <c r="D34" s="6">
        <v>1386397</v>
      </c>
      <c r="E34" s="6">
        <v>1523634</v>
      </c>
      <c r="M34" t="s">
        <v>43</v>
      </c>
      <c r="N34" s="98">
        <v>937085</v>
      </c>
      <c r="O34" s="98">
        <v>964854</v>
      </c>
      <c r="P34" s="98">
        <v>1640389</v>
      </c>
    </row>
    <row r="35" spans="2:29">
      <c r="B35" t="s">
        <v>57</v>
      </c>
      <c r="C35" s="6">
        <v>4660101</v>
      </c>
      <c r="D35" s="6">
        <v>6095693</v>
      </c>
      <c r="E35" s="6">
        <v>7019863</v>
      </c>
      <c r="M35" t="s">
        <v>58</v>
      </c>
      <c r="N35" s="98">
        <v>3213085</v>
      </c>
      <c r="O35" s="98">
        <v>3097801</v>
      </c>
      <c r="P35" s="98">
        <v>3751686</v>
      </c>
    </row>
    <row r="36" spans="2:29">
      <c r="B36" t="s">
        <v>59</v>
      </c>
      <c r="C36" s="6">
        <v>5709705</v>
      </c>
      <c r="D36" s="6">
        <v>7482090</v>
      </c>
      <c r="E36" s="6">
        <v>8543497</v>
      </c>
      <c r="M36" t="s">
        <v>46</v>
      </c>
      <c r="N36" s="98">
        <v>4150171</v>
      </c>
      <c r="O36" s="98">
        <v>4062655</v>
      </c>
      <c r="P36" s="98">
        <v>5392075</v>
      </c>
    </row>
    <row r="37" spans="2:29">
      <c r="B37" t="s">
        <v>60</v>
      </c>
      <c r="C37" s="6">
        <v>7180157</v>
      </c>
      <c r="D37" s="6">
        <v>7177255</v>
      </c>
      <c r="E37" s="6">
        <v>9173230</v>
      </c>
    </row>
    <row r="38" spans="2:29">
      <c r="B38" t="s">
        <v>61</v>
      </c>
      <c r="C38" s="6">
        <v>-6494813</v>
      </c>
      <c r="D38" s="6">
        <v>-8739690</v>
      </c>
      <c r="E38" s="6">
        <v>-10596690</v>
      </c>
      <c r="M38" t="s">
        <v>62</v>
      </c>
    </row>
    <row r="39" spans="2:29">
      <c r="B39" t="s">
        <v>63</v>
      </c>
      <c r="C39" s="6">
        <v>-2244877</v>
      </c>
      <c r="D39" s="6">
        <v>-1857000</v>
      </c>
      <c r="E39" s="6">
        <v>-1727962</v>
      </c>
      <c r="M39" t="s">
        <v>52</v>
      </c>
      <c r="N39" s="98">
        <v>428128</v>
      </c>
      <c r="O39" s="98">
        <v>627075</v>
      </c>
      <c r="P39" s="98">
        <v>596550</v>
      </c>
    </row>
    <row r="40" spans="2:29">
      <c r="B40" t="s">
        <v>64</v>
      </c>
      <c r="C40" s="6">
        <v>-1559533</v>
      </c>
      <c r="D40" s="6">
        <v>-3419435</v>
      </c>
      <c r="E40" s="6">
        <v>-3151422</v>
      </c>
      <c r="M40" t="s">
        <v>54</v>
      </c>
      <c r="N40" s="98">
        <v>521476</v>
      </c>
      <c r="O40" s="98">
        <v>684363</v>
      </c>
      <c r="P40" s="98">
        <v>892828</v>
      </c>
    </row>
    <row r="41" spans="2:29">
      <c r="B41" t="s">
        <v>65</v>
      </c>
      <c r="C41" s="6">
        <v>4150172</v>
      </c>
      <c r="D41" s="6">
        <v>4062655</v>
      </c>
      <c r="E41" s="6">
        <v>5392075</v>
      </c>
      <c r="M41" t="s">
        <v>55</v>
      </c>
      <c r="N41" s="98">
        <v>100000</v>
      </c>
      <c r="O41" s="98">
        <v>74959</v>
      </c>
      <c r="P41" s="98">
        <v>34256</v>
      </c>
    </row>
    <row r="42" spans="2:29">
      <c r="M42" t="s">
        <v>56</v>
      </c>
      <c r="N42" s="98">
        <v>1049604</v>
      </c>
      <c r="O42" s="98">
        <v>1386397</v>
      </c>
      <c r="P42" s="98">
        <v>1523634</v>
      </c>
    </row>
    <row r="44" spans="2:29">
      <c r="C44" s="4"/>
      <c r="M44" t="s">
        <v>66</v>
      </c>
      <c r="N44" s="98">
        <v>4660101</v>
      </c>
      <c r="O44" s="98">
        <v>6095693</v>
      </c>
      <c r="P44" s="98">
        <v>7019863</v>
      </c>
      <c r="AC44" t="s">
        <v>67</v>
      </c>
    </row>
    <row r="45" spans="2:29">
      <c r="M45" t="s">
        <v>59</v>
      </c>
      <c r="N45" s="98">
        <v>5709705</v>
      </c>
      <c r="O45" s="98">
        <v>7482089</v>
      </c>
      <c r="P45" s="98">
        <v>8543497</v>
      </c>
    </row>
    <row r="47" spans="2:29">
      <c r="M47" t="s">
        <v>68</v>
      </c>
    </row>
    <row r="48" spans="2:29">
      <c r="M48" t="s">
        <v>69</v>
      </c>
      <c r="N48" s="98">
        <v>7180157</v>
      </c>
      <c r="O48" s="98">
        <v>7177255</v>
      </c>
      <c r="P48" s="98">
        <v>9173230</v>
      </c>
    </row>
    <row r="49" spans="2:19">
      <c r="M49" t="s">
        <v>61</v>
      </c>
      <c r="N49" s="98">
        <v>-6494813</v>
      </c>
      <c r="O49" s="98">
        <v>-8739690</v>
      </c>
      <c r="P49" s="98">
        <v>-10596690</v>
      </c>
    </row>
    <row r="50" spans="2:19">
      <c r="M50" t="s">
        <v>63</v>
      </c>
      <c r="N50" s="98">
        <v>-2244877</v>
      </c>
      <c r="O50" s="98">
        <v>-1857000</v>
      </c>
      <c r="P50" s="98">
        <v>-1727962</v>
      </c>
    </row>
    <row r="51" spans="2:19">
      <c r="M51" t="s">
        <v>70</v>
      </c>
      <c r="N51" s="98">
        <v>-1559532</v>
      </c>
      <c r="O51" s="98">
        <v>-3419435</v>
      </c>
      <c r="P51" s="98">
        <v>-3151422</v>
      </c>
    </row>
    <row r="52" spans="2:19">
      <c r="M52" t="s">
        <v>71</v>
      </c>
      <c r="N52" s="98">
        <v>4150173</v>
      </c>
      <c r="O52" s="98">
        <v>4062654</v>
      </c>
      <c r="P52" s="98">
        <v>5392075</v>
      </c>
    </row>
    <row r="56" spans="2:19">
      <c r="B56" t="s">
        <v>72</v>
      </c>
    </row>
    <row r="64" spans="2:19" ht="16">
      <c r="L64" s="103" t="s">
        <v>47</v>
      </c>
      <c r="M64" s="104" t="s">
        <v>48</v>
      </c>
      <c r="N64" s="104" t="s">
        <v>49</v>
      </c>
      <c r="O64" s="105" t="s">
        <v>50</v>
      </c>
      <c r="P64" s="104" t="s">
        <v>73</v>
      </c>
      <c r="Q64" s="104" t="s">
        <v>74</v>
      </c>
      <c r="R64" s="104" t="s">
        <v>75</v>
      </c>
      <c r="S64" s="106" t="s">
        <v>76</v>
      </c>
    </row>
    <row r="65" spans="12:19" ht="48">
      <c r="L65" s="107" t="s">
        <v>77</v>
      </c>
      <c r="M65" s="108" t="s">
        <v>3</v>
      </c>
      <c r="N65" s="108">
        <v>2020</v>
      </c>
      <c r="O65" s="109">
        <v>2021</v>
      </c>
      <c r="P65" s="108">
        <v>2022</v>
      </c>
      <c r="Q65" s="108">
        <v>2023</v>
      </c>
      <c r="R65" s="108">
        <v>2024</v>
      </c>
      <c r="S65" s="110">
        <v>2025</v>
      </c>
    </row>
    <row r="66" spans="12:19">
      <c r="L66" s="111" t="s">
        <v>8</v>
      </c>
      <c r="M66" s="112"/>
      <c r="N66" s="113">
        <v>12355557</v>
      </c>
      <c r="O66" s="114">
        <v>13041944</v>
      </c>
      <c r="P66" s="113">
        <v>13642033</v>
      </c>
      <c r="Q66" s="113">
        <v>14083972</v>
      </c>
      <c r="R66" s="113">
        <v>14095972</v>
      </c>
      <c r="S66" s="115">
        <v>14095972</v>
      </c>
    </row>
    <row r="67" spans="12:19" ht="32">
      <c r="L67" s="116" t="s">
        <v>78</v>
      </c>
      <c r="M67" s="112"/>
      <c r="N67" s="113">
        <v>-359449</v>
      </c>
      <c r="O67" s="114">
        <v>-77149</v>
      </c>
      <c r="P67" s="113">
        <v>82446</v>
      </c>
      <c r="Q67" s="113">
        <v>189587</v>
      </c>
      <c r="R67" s="113">
        <v>154820</v>
      </c>
      <c r="S67" s="115">
        <v>103164</v>
      </c>
    </row>
    <row r="68" spans="12:19">
      <c r="L68" s="111" t="s">
        <v>79</v>
      </c>
      <c r="M68" s="117">
        <v>578999</v>
      </c>
      <c r="N68" s="117">
        <v>61929</v>
      </c>
      <c r="O68" s="118">
        <v>-199826</v>
      </c>
      <c r="P68" s="117">
        <v>-282508</v>
      </c>
      <c r="Q68" s="117">
        <v>-372990</v>
      </c>
      <c r="R68" s="117">
        <v>-321643</v>
      </c>
      <c r="S68" s="119">
        <v>-211115</v>
      </c>
    </row>
    <row r="69" spans="12:19">
      <c r="L69" s="120" t="s">
        <v>80</v>
      </c>
      <c r="M69" s="121"/>
      <c r="N69" s="121"/>
      <c r="O69" s="122"/>
      <c r="P69" s="121"/>
      <c r="Q69" s="121"/>
      <c r="R69" s="121"/>
      <c r="S69" s="121"/>
    </row>
    <row r="70" spans="12:19" ht="16">
      <c r="L70" s="123" t="s">
        <v>47</v>
      </c>
      <c r="M70" s="124" t="s">
        <v>48</v>
      </c>
      <c r="N70" s="124" t="s">
        <v>49</v>
      </c>
      <c r="O70" s="125" t="s">
        <v>50</v>
      </c>
      <c r="P70" s="124" t="s">
        <v>73</v>
      </c>
      <c r="Q70" s="124" t="s">
        <v>74</v>
      </c>
      <c r="R70" s="126" t="s">
        <v>75</v>
      </c>
      <c r="S70" s="121"/>
    </row>
    <row r="71" spans="12:19">
      <c r="L71" s="127" t="s">
        <v>81</v>
      </c>
      <c r="M71" s="108">
        <v>2020</v>
      </c>
      <c r="N71" s="108">
        <v>2021</v>
      </c>
      <c r="O71" s="109">
        <v>2022</v>
      </c>
      <c r="P71" s="108">
        <v>2023</v>
      </c>
      <c r="Q71" s="108">
        <v>2024</v>
      </c>
      <c r="R71" s="110">
        <v>2025</v>
      </c>
      <c r="S71" s="128"/>
    </row>
    <row r="72" spans="12:19">
      <c r="L72" s="111" t="s">
        <v>82</v>
      </c>
      <c r="M72" s="129">
        <v>0.187</v>
      </c>
      <c r="N72" s="129">
        <v>0.153</v>
      </c>
      <c r="O72" s="130">
        <v>0.128</v>
      </c>
      <c r="P72" s="129">
        <v>0.108</v>
      </c>
      <c r="Q72" s="129">
        <v>9.5000000000000001E-2</v>
      </c>
      <c r="R72" s="131">
        <v>8.8999999999999996E-2</v>
      </c>
      <c r="S72" s="121"/>
    </row>
    <row r="73" spans="12:19">
      <c r="L73" s="111" t="s">
        <v>17</v>
      </c>
      <c r="M73" s="117">
        <v>420072</v>
      </c>
      <c r="N73" s="117">
        <v>402711</v>
      </c>
      <c r="O73" s="118">
        <v>326661</v>
      </c>
      <c r="P73" s="117">
        <v>311583</v>
      </c>
      <c r="Q73" s="117">
        <v>263919</v>
      </c>
      <c r="R73" s="119">
        <v>125551</v>
      </c>
      <c r="S73" s="121"/>
    </row>
    <row r="74" spans="12:19">
      <c r="L74" s="120" t="s">
        <v>80</v>
      </c>
      <c r="M74" s="121"/>
      <c r="N74" s="121"/>
      <c r="O74" s="122"/>
      <c r="P74" s="121"/>
      <c r="Q74" s="121"/>
      <c r="R74" s="121"/>
      <c r="S74" s="121"/>
    </row>
    <row r="75" spans="12:19" ht="16">
      <c r="L75" s="123" t="s">
        <v>47</v>
      </c>
      <c r="M75" s="124" t="s">
        <v>48</v>
      </c>
      <c r="N75" s="124" t="s">
        <v>49</v>
      </c>
      <c r="O75" s="132" t="s">
        <v>50</v>
      </c>
      <c r="P75" s="121"/>
      <c r="Q75" s="121"/>
      <c r="R75" s="121"/>
      <c r="S75" s="121"/>
    </row>
    <row r="76" spans="12:19" ht="16">
      <c r="L76" s="127" t="s">
        <v>83</v>
      </c>
      <c r="M76" s="108" t="s">
        <v>84</v>
      </c>
      <c r="N76" s="108">
        <v>2020</v>
      </c>
      <c r="O76" s="133" t="s">
        <v>85</v>
      </c>
      <c r="P76" s="128"/>
      <c r="Q76" s="128"/>
      <c r="R76" s="128"/>
      <c r="S76" s="128"/>
    </row>
    <row r="77" spans="12:19" ht="16">
      <c r="L77" s="111" t="s">
        <v>86</v>
      </c>
      <c r="M77" s="112"/>
      <c r="N77" s="112">
        <v>35</v>
      </c>
      <c r="O77" s="134" t="s">
        <v>87</v>
      </c>
      <c r="P77" s="121"/>
      <c r="Q77" s="121"/>
      <c r="R77" s="121"/>
      <c r="S77" s="121"/>
    </row>
    <row r="78" spans="12:19" ht="16">
      <c r="L78" s="111" t="s">
        <v>88</v>
      </c>
      <c r="M78" s="112" t="s">
        <v>89</v>
      </c>
      <c r="N78" s="112">
        <v>5.95</v>
      </c>
      <c r="O78" s="134" t="s">
        <v>90</v>
      </c>
      <c r="P78" s="121"/>
      <c r="Q78" s="121"/>
      <c r="R78" s="121"/>
      <c r="S78" s="121"/>
    </row>
    <row r="79" spans="12:19" ht="16">
      <c r="L79" s="111" t="s">
        <v>21</v>
      </c>
      <c r="M79" s="112" t="s">
        <v>89</v>
      </c>
      <c r="N79" s="112">
        <v>2.5299999999999998</v>
      </c>
      <c r="O79" s="134" t="s">
        <v>91</v>
      </c>
      <c r="P79" s="121"/>
      <c r="Q79" s="121"/>
      <c r="R79" s="121"/>
      <c r="S79" s="121"/>
    </row>
    <row r="80" spans="12:19" ht="16">
      <c r="L80" s="111" t="s">
        <v>92</v>
      </c>
      <c r="M80" s="112" t="s">
        <v>89</v>
      </c>
      <c r="N80" s="112">
        <v>1.4</v>
      </c>
      <c r="O80" s="134" t="s">
        <v>93</v>
      </c>
      <c r="P80" s="121"/>
      <c r="Q80" s="121"/>
      <c r="R80" s="121"/>
      <c r="S80" s="121"/>
    </row>
    <row r="81" spans="12:19" ht="16">
      <c r="L81" s="111" t="s">
        <v>24</v>
      </c>
      <c r="M81" s="112" t="s">
        <v>89</v>
      </c>
      <c r="N81" s="112">
        <v>0.1</v>
      </c>
      <c r="O81" s="134" t="s">
        <v>94</v>
      </c>
      <c r="P81" s="121"/>
      <c r="Q81" s="121"/>
      <c r="R81" s="121"/>
      <c r="S81" s="121"/>
    </row>
    <row r="82" spans="12:19">
      <c r="L82" s="111" t="s">
        <v>33</v>
      </c>
      <c r="M82" s="112"/>
      <c r="N82" s="112"/>
      <c r="O82" s="134"/>
      <c r="P82" s="121"/>
      <c r="Q82" s="121"/>
      <c r="R82" s="121"/>
      <c r="S82" s="121"/>
    </row>
    <row r="83" spans="12:19" ht="16">
      <c r="L83" s="111" t="s">
        <v>36</v>
      </c>
      <c r="M83" s="112" t="s">
        <v>95</v>
      </c>
      <c r="N83" s="112">
        <v>0.2</v>
      </c>
      <c r="O83" s="134" t="s">
        <v>94</v>
      </c>
      <c r="P83" s="121"/>
      <c r="Q83" s="121"/>
      <c r="R83" s="121"/>
      <c r="S83" s="121"/>
    </row>
    <row r="84" spans="12:19" ht="16">
      <c r="L84" s="111" t="s">
        <v>96</v>
      </c>
      <c r="M84" s="112" t="s">
        <v>97</v>
      </c>
      <c r="N84" s="112">
        <v>0.63</v>
      </c>
      <c r="O84" s="134" t="s">
        <v>94</v>
      </c>
      <c r="P84" s="121"/>
      <c r="Q84" s="121"/>
      <c r="R84" s="121"/>
      <c r="S84" s="121"/>
    </row>
    <row r="85" spans="12:19" ht="16">
      <c r="L85" s="111" t="s">
        <v>98</v>
      </c>
      <c r="M85" s="112" t="s">
        <v>97</v>
      </c>
      <c r="N85" s="112">
        <v>0.7</v>
      </c>
      <c r="O85" s="134" t="s">
        <v>94</v>
      </c>
      <c r="P85" s="121"/>
      <c r="Q85" s="121"/>
      <c r="R85" s="121"/>
      <c r="S85" s="121"/>
    </row>
    <row r="86" spans="12:19" ht="16">
      <c r="L86" s="111" t="s">
        <v>99</v>
      </c>
      <c r="M86" s="112" t="s">
        <v>89</v>
      </c>
      <c r="N86" s="112">
        <v>0.19</v>
      </c>
      <c r="O86" s="134" t="s">
        <v>94</v>
      </c>
      <c r="P86" s="121"/>
      <c r="Q86" s="121"/>
      <c r="R86" s="121"/>
      <c r="S86" s="121"/>
    </row>
    <row r="93" spans="12:19" ht="16">
      <c r="L93" s="69" t="s">
        <v>100</v>
      </c>
      <c r="M93" s="70" t="s">
        <v>101</v>
      </c>
      <c r="N93" s="70" t="s">
        <v>102</v>
      </c>
      <c r="O93" s="70" t="s">
        <v>103</v>
      </c>
      <c r="P93" s="70" t="s">
        <v>104</v>
      </c>
      <c r="Q93" s="70" t="s">
        <v>105</v>
      </c>
      <c r="R93" s="71" t="s">
        <v>106</v>
      </c>
    </row>
    <row r="94" spans="12:19" ht="16">
      <c r="L94" s="62" t="s">
        <v>8</v>
      </c>
      <c r="M94" s="12">
        <f>N66</f>
        <v>12355557</v>
      </c>
      <c r="N94" s="12">
        <f t="shared" ref="N94:R94" si="2">O66</f>
        <v>13041944</v>
      </c>
      <c r="O94" s="12">
        <f t="shared" si="2"/>
        <v>13642033</v>
      </c>
      <c r="P94" s="12">
        <f t="shared" si="2"/>
        <v>14083972</v>
      </c>
      <c r="Q94" s="12">
        <f t="shared" si="2"/>
        <v>14095972</v>
      </c>
      <c r="R94" s="12">
        <f t="shared" si="2"/>
        <v>14095972</v>
      </c>
    </row>
    <row r="95" spans="12:19">
      <c r="L95" s="63" t="s">
        <v>107</v>
      </c>
      <c r="M95" s="2" t="s">
        <v>108</v>
      </c>
      <c r="N95" s="5">
        <v>7.0000000000000007E-2</v>
      </c>
      <c r="O95" s="5">
        <v>0.05</v>
      </c>
      <c r="P95" s="5">
        <v>0.04</v>
      </c>
      <c r="Q95" s="5">
        <v>0.02</v>
      </c>
      <c r="R95" s="66">
        <v>0.01</v>
      </c>
    </row>
    <row r="96" spans="12:19" ht="16">
      <c r="L96" s="64" t="s">
        <v>109</v>
      </c>
      <c r="M96" s="13">
        <v>0.59499999999999997</v>
      </c>
      <c r="N96" s="13">
        <v>0.59</v>
      </c>
      <c r="O96" s="13">
        <v>0.57999999999999996</v>
      </c>
      <c r="P96" s="13">
        <v>0.57999999999999996</v>
      </c>
      <c r="Q96" s="13">
        <v>0.57999999999999996</v>
      </c>
      <c r="R96" s="67">
        <v>0.57999999999999996</v>
      </c>
    </row>
    <row r="97" spans="12:18" ht="16">
      <c r="L97" s="62" t="s">
        <v>110</v>
      </c>
      <c r="M97" s="12">
        <f>M94*M96</f>
        <v>7351556.415</v>
      </c>
      <c r="N97" s="12">
        <f t="shared" ref="N97:R97" si="3">N94*N96</f>
        <v>7694746.96</v>
      </c>
      <c r="O97" s="12">
        <f t="shared" si="3"/>
        <v>7912379.1399999997</v>
      </c>
      <c r="P97" s="12">
        <f t="shared" si="3"/>
        <v>8168703.7599999998</v>
      </c>
      <c r="Q97" s="12">
        <f t="shared" si="3"/>
        <v>8175663.7599999998</v>
      </c>
      <c r="R97" s="65">
        <f t="shared" si="3"/>
        <v>8175663.7599999998</v>
      </c>
    </row>
    <row r="98" spans="12:18" ht="16">
      <c r="L98" s="62" t="s">
        <v>10</v>
      </c>
      <c r="M98" s="12">
        <f>M94-(M94*M96)</f>
        <v>5004000.585</v>
      </c>
      <c r="N98" s="12">
        <f t="shared" ref="N98:R98" si="4">N94-(N94*N96)</f>
        <v>5347197.04</v>
      </c>
      <c r="O98" s="12">
        <f t="shared" si="4"/>
        <v>5729653.8600000003</v>
      </c>
      <c r="P98" s="12">
        <f t="shared" si="4"/>
        <v>5915268.2400000002</v>
      </c>
      <c r="Q98" s="12">
        <f t="shared" si="4"/>
        <v>5920308.2400000002</v>
      </c>
      <c r="R98" s="65">
        <f t="shared" si="4"/>
        <v>5920308.2400000002</v>
      </c>
    </row>
    <row r="99" spans="12:18" ht="16">
      <c r="L99" s="64" t="s">
        <v>111</v>
      </c>
      <c r="M99" s="13">
        <v>0.253</v>
      </c>
      <c r="N99" s="14">
        <v>0.25</v>
      </c>
      <c r="O99" s="13">
        <v>0.245</v>
      </c>
      <c r="P99" s="13">
        <v>0.24199999999999999</v>
      </c>
      <c r="Q99" s="14">
        <v>0.24</v>
      </c>
      <c r="R99" s="68">
        <v>0.24</v>
      </c>
    </row>
    <row r="100" spans="12:18" ht="16">
      <c r="L100" s="62" t="s">
        <v>21</v>
      </c>
      <c r="M100" s="12">
        <f>M94*M99</f>
        <v>3125955.9210000001</v>
      </c>
      <c r="N100" s="12">
        <f t="shared" ref="N100:R100" si="5">N94*N99</f>
        <v>3260486</v>
      </c>
      <c r="O100" s="12">
        <f t="shared" si="5"/>
        <v>3342298.085</v>
      </c>
      <c r="P100" s="12">
        <f t="shared" si="5"/>
        <v>3408321.2239999999</v>
      </c>
      <c r="Q100" s="12">
        <f t="shared" si="5"/>
        <v>3383033.28</v>
      </c>
      <c r="R100" s="65">
        <f t="shared" si="5"/>
        <v>3383033.28</v>
      </c>
    </row>
    <row r="101" spans="12:18" ht="16">
      <c r="L101" s="64" t="s">
        <v>112</v>
      </c>
      <c r="M101" s="14">
        <v>0.14000000000000001</v>
      </c>
      <c r="N101" s="13">
        <v>0.13500000000000001</v>
      </c>
      <c r="O101" s="14">
        <v>0.13</v>
      </c>
      <c r="P101" s="13">
        <v>0.125</v>
      </c>
      <c r="Q101" s="13">
        <v>0.123</v>
      </c>
      <c r="R101" s="67">
        <v>0.123</v>
      </c>
    </row>
    <row r="102" spans="12:18" ht="16">
      <c r="L102" s="62" t="s">
        <v>26</v>
      </c>
      <c r="M102" s="12">
        <f>M94*M101</f>
        <v>1729777.9800000002</v>
      </c>
      <c r="N102" s="12">
        <f t="shared" ref="N102:R102" si="6">N94*N101</f>
        <v>1760662.4400000002</v>
      </c>
      <c r="O102" s="12">
        <f t="shared" si="6"/>
        <v>1773464.29</v>
      </c>
      <c r="P102" s="12">
        <f t="shared" si="6"/>
        <v>1760496.5</v>
      </c>
      <c r="Q102" s="12">
        <f t="shared" si="6"/>
        <v>1733804.5559999999</v>
      </c>
      <c r="R102" s="65">
        <f t="shared" si="6"/>
        <v>1733804.5559999999</v>
      </c>
    </row>
    <row r="103" spans="12:18" ht="16">
      <c r="L103" s="64" t="s">
        <v>113</v>
      </c>
      <c r="M103" s="12">
        <f>1%*M94</f>
        <v>123555.57</v>
      </c>
      <c r="N103" s="12">
        <f t="shared" ref="N103:R103" si="7">1%*N94</f>
        <v>130419.44</v>
      </c>
      <c r="O103" s="12">
        <f t="shared" si="7"/>
        <v>136420.33000000002</v>
      </c>
      <c r="P103" s="12">
        <f t="shared" si="7"/>
        <v>140839.72</v>
      </c>
      <c r="Q103" s="12">
        <f t="shared" si="7"/>
        <v>140959.72</v>
      </c>
      <c r="R103" s="65">
        <f t="shared" si="7"/>
        <v>140959.72</v>
      </c>
    </row>
    <row r="104" spans="12:18" ht="16">
      <c r="L104" s="62" t="s">
        <v>15</v>
      </c>
      <c r="M104" s="12">
        <f>M98-(M100+M102+M103)</f>
        <v>24711.113999999128</v>
      </c>
      <c r="N104" s="12">
        <f>N98-(N100+N102+N103)</f>
        <v>195629.15999999922</v>
      </c>
      <c r="O104" s="12">
        <f t="shared" ref="O104:Q104" si="8">O98-(O100+O102+O103)</f>
        <v>477471.15500000026</v>
      </c>
      <c r="P104" s="12">
        <f t="shared" si="8"/>
        <v>605610.79600000102</v>
      </c>
      <c r="Q104" s="12">
        <f t="shared" si="8"/>
        <v>662510.68400000129</v>
      </c>
      <c r="R104" s="65">
        <f>R98-(R100+R102+R103)</f>
        <v>662510.68400000129</v>
      </c>
    </row>
    <row r="105" spans="12:18" ht="16">
      <c r="L105" s="64" t="s">
        <v>17</v>
      </c>
      <c r="M105" s="12">
        <v>420072</v>
      </c>
      <c r="N105" s="12">
        <v>402711</v>
      </c>
      <c r="O105" s="12">
        <v>326661</v>
      </c>
      <c r="P105" s="12">
        <v>311583</v>
      </c>
      <c r="Q105" s="12">
        <v>262919</v>
      </c>
      <c r="R105" s="65">
        <v>125551</v>
      </c>
    </row>
    <row r="106" spans="12:18" ht="16">
      <c r="L106" s="62" t="s">
        <v>114</v>
      </c>
      <c r="M106" s="12">
        <f t="shared" ref="M106:R106" si="9">M104-M105</f>
        <v>-395360.88600000087</v>
      </c>
      <c r="N106" s="12">
        <f t="shared" si="9"/>
        <v>-207081.84000000078</v>
      </c>
      <c r="O106" s="12">
        <f t="shared" si="9"/>
        <v>150810.15500000026</v>
      </c>
      <c r="P106" s="12">
        <f t="shared" si="9"/>
        <v>294027.79600000102</v>
      </c>
      <c r="Q106" s="12">
        <f t="shared" si="9"/>
        <v>399591.68400000129</v>
      </c>
      <c r="R106" s="65">
        <f t="shared" si="9"/>
        <v>536959.68400000129</v>
      </c>
    </row>
    <row r="107" spans="12:18" ht="16">
      <c r="L107" s="64" t="s">
        <v>115</v>
      </c>
      <c r="M107" s="12">
        <v>170000</v>
      </c>
      <c r="N107" s="12">
        <v>170000</v>
      </c>
      <c r="O107" s="12">
        <v>170000</v>
      </c>
      <c r="P107" s="12">
        <v>170000</v>
      </c>
      <c r="Q107" s="12">
        <v>170000</v>
      </c>
      <c r="R107" s="65">
        <v>170000</v>
      </c>
    </row>
    <row r="108" spans="12:18" ht="16">
      <c r="L108" s="62" t="s">
        <v>116</v>
      </c>
      <c r="M108" s="12">
        <f t="shared" ref="M108:R108" si="10">M106-M107</f>
        <v>-565360.88600000087</v>
      </c>
      <c r="N108" s="12">
        <f t="shared" si="10"/>
        <v>-377081.84000000078</v>
      </c>
      <c r="O108" s="12">
        <f t="shared" si="10"/>
        <v>-19189.844999999739</v>
      </c>
      <c r="P108" s="12">
        <f t="shared" si="10"/>
        <v>124027.79600000102</v>
      </c>
      <c r="Q108" s="12">
        <f t="shared" si="10"/>
        <v>229591.68400000129</v>
      </c>
      <c r="R108" s="65">
        <f t="shared" si="10"/>
        <v>366959.68400000129</v>
      </c>
    </row>
    <row r="109" spans="12:18" ht="16">
      <c r="L109" s="64" t="s">
        <v>117</v>
      </c>
      <c r="M109" s="12">
        <v>15000</v>
      </c>
      <c r="N109" s="12">
        <f>Table518[[#This Row],[2020]]</f>
        <v>15000</v>
      </c>
      <c r="O109" s="12">
        <f>Table518[[#This Row],[2021]]</f>
        <v>15000</v>
      </c>
      <c r="P109" s="12">
        <f>Table518[[#This Row],[2022]]</f>
        <v>15000</v>
      </c>
      <c r="Q109" s="12">
        <f>Table518[[#This Row],[2023]]</f>
        <v>15000</v>
      </c>
      <c r="R109" s="12">
        <f>Table518[[#This Row],[2024]]</f>
        <v>15000</v>
      </c>
    </row>
    <row r="110" spans="12:18" ht="16">
      <c r="L110" s="72" t="s">
        <v>118</v>
      </c>
      <c r="M110" s="73">
        <f t="shared" ref="M110:R110" si="11">M108-M109</f>
        <v>-580360.88600000087</v>
      </c>
      <c r="N110" s="73">
        <f t="shared" si="11"/>
        <v>-392081.84000000078</v>
      </c>
      <c r="O110" s="73">
        <f t="shared" si="11"/>
        <v>-34189.844999999739</v>
      </c>
      <c r="P110" s="73">
        <f t="shared" si="11"/>
        <v>109027.79600000102</v>
      </c>
      <c r="Q110" s="73">
        <f t="shared" si="11"/>
        <v>214591.68400000129</v>
      </c>
      <c r="R110" s="74">
        <f t="shared" si="11"/>
        <v>351959.68400000129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8FF05-FDBE-496C-9427-DE8F1BDA06B9}">
  <dimension ref="B5:M9"/>
  <sheetViews>
    <sheetView zoomScale="132" zoomScaleNormal="145" workbookViewId="0">
      <selection activeCell="C8" sqref="C8"/>
    </sheetView>
  </sheetViews>
  <sheetFormatPr baseColWidth="10" defaultColWidth="8.83203125" defaultRowHeight="15"/>
  <cols>
    <col min="2" max="2" width="13.5" bestFit="1" customWidth="1"/>
    <col min="3" max="3" width="38.1640625" customWidth="1"/>
    <col min="4" max="4" width="16.5" customWidth="1"/>
    <col min="5" max="5" width="28.1640625" customWidth="1"/>
    <col min="16384" max="16384" width="9.1640625" bestFit="1" customWidth="1"/>
  </cols>
  <sheetData>
    <row r="5" spans="2:13" ht="16">
      <c r="B5" s="10" t="s">
        <v>119</v>
      </c>
      <c r="C5" s="10" t="s">
        <v>120</v>
      </c>
      <c r="D5" s="10" t="s">
        <v>121</v>
      </c>
      <c r="E5" s="10" t="s">
        <v>122</v>
      </c>
    </row>
    <row r="6" spans="2:13" ht="48">
      <c r="B6" s="11" t="s">
        <v>123</v>
      </c>
      <c r="C6" s="15" t="s">
        <v>124</v>
      </c>
      <c r="D6" s="11" t="s">
        <v>125</v>
      </c>
      <c r="E6" s="11" t="s">
        <v>126</v>
      </c>
    </row>
    <row r="7" spans="2:13" ht="48">
      <c r="B7" s="11" t="s">
        <v>127</v>
      </c>
      <c r="C7" s="11" t="s">
        <v>128</v>
      </c>
      <c r="D7" s="11" t="s">
        <v>129</v>
      </c>
      <c r="E7" s="11" t="s">
        <v>130</v>
      </c>
    </row>
    <row r="8" spans="2:13" ht="64">
      <c r="B8" s="11" t="s">
        <v>131</v>
      </c>
      <c r="C8" s="11" t="s">
        <v>132</v>
      </c>
      <c r="D8" s="11" t="s">
        <v>133</v>
      </c>
      <c r="E8" s="11" t="s">
        <v>134</v>
      </c>
    </row>
    <row r="9" spans="2:13" ht="24">
      <c r="M9" s="1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27E3D-EA0A-482F-9193-7BF982298AE8}">
  <dimension ref="A2:AD94"/>
  <sheetViews>
    <sheetView zoomScale="50" zoomScaleNormal="50" workbookViewId="0">
      <selection activeCell="C3" sqref="C3"/>
    </sheetView>
  </sheetViews>
  <sheetFormatPr baseColWidth="10" defaultColWidth="8.83203125" defaultRowHeight="15"/>
  <cols>
    <col min="1" max="1" width="26.5" customWidth="1"/>
    <col min="2" max="2" width="25.33203125" bestFit="1" customWidth="1"/>
    <col min="3" max="3" width="54.5" customWidth="1"/>
    <col min="4" max="4" width="22.1640625" customWidth="1"/>
    <col min="6" max="6" width="26.1640625" customWidth="1"/>
    <col min="7" max="9" width="13.6640625" bestFit="1" customWidth="1"/>
    <col min="10" max="10" width="17.5" customWidth="1"/>
    <col min="11" max="12" width="13.6640625" bestFit="1" customWidth="1"/>
    <col min="13" max="13" width="33.83203125" bestFit="1" customWidth="1"/>
    <col min="14" max="14" width="41" customWidth="1"/>
    <col min="15" max="15" width="21.33203125" customWidth="1"/>
    <col min="16" max="16" width="24.5" customWidth="1"/>
    <col min="17" max="17" width="18.5" customWidth="1"/>
    <col min="18" max="18" width="15" customWidth="1"/>
    <col min="19" max="19" width="14" customWidth="1"/>
    <col min="20" max="20" width="23.6640625" customWidth="1"/>
    <col min="21" max="21" width="21.33203125" bestFit="1" customWidth="1"/>
    <col min="23" max="23" width="29.83203125" bestFit="1" customWidth="1"/>
    <col min="24" max="24" width="16.6640625" bestFit="1" customWidth="1"/>
    <col min="25" max="25" width="18.5" bestFit="1" customWidth="1"/>
    <col min="26" max="29" width="14.5" bestFit="1" customWidth="1"/>
    <col min="30" max="30" width="65.33203125" customWidth="1"/>
  </cols>
  <sheetData>
    <row r="2" spans="1:30" ht="32">
      <c r="R2" s="49" t="s">
        <v>135</v>
      </c>
      <c r="S2" s="4">
        <v>0.187</v>
      </c>
      <c r="T2" s="4">
        <v>0.153</v>
      </c>
      <c r="U2" s="4">
        <v>0.128</v>
      </c>
      <c r="V2" s="4">
        <v>0.108</v>
      </c>
      <c r="W2" s="4">
        <v>9.5000000000000001E-2</v>
      </c>
      <c r="X2" s="4">
        <v>8.8999999999999996E-2</v>
      </c>
      <c r="Y2" t="s">
        <v>136</v>
      </c>
    </row>
    <row r="3" spans="1:30">
      <c r="B3" t="s">
        <v>137</v>
      </c>
      <c r="C3" s="6">
        <v>920000</v>
      </c>
    </row>
    <row r="4" spans="1:30" ht="33" customHeight="1">
      <c r="C4" s="6"/>
      <c r="F4" s="16" t="s">
        <v>138</v>
      </c>
      <c r="N4" s="48" t="s">
        <v>139</v>
      </c>
      <c r="W4" s="32" t="s">
        <v>140</v>
      </c>
      <c r="Y4" s="102"/>
    </row>
    <row r="5" spans="1:30">
      <c r="C5" s="6"/>
      <c r="W5" s="41" t="s">
        <v>2</v>
      </c>
      <c r="X5" s="42" t="s">
        <v>101</v>
      </c>
      <c r="Y5" s="42" t="s">
        <v>102</v>
      </c>
      <c r="Z5" s="42" t="s">
        <v>103</v>
      </c>
      <c r="AA5" s="42" t="s">
        <v>104</v>
      </c>
      <c r="AB5" s="42" t="s">
        <v>105</v>
      </c>
      <c r="AC5" s="43" t="s">
        <v>106</v>
      </c>
    </row>
    <row r="6" spans="1:30" ht="16">
      <c r="F6" s="69" t="s">
        <v>100</v>
      </c>
      <c r="G6" s="70" t="s">
        <v>101</v>
      </c>
      <c r="H6" s="70" t="s">
        <v>102</v>
      </c>
      <c r="I6" s="70" t="s">
        <v>103</v>
      </c>
      <c r="J6" s="70" t="s">
        <v>104</v>
      </c>
      <c r="K6" s="70" t="s">
        <v>105</v>
      </c>
      <c r="L6" s="71" t="s">
        <v>106</v>
      </c>
      <c r="N6" s="41" t="s">
        <v>2</v>
      </c>
      <c r="O6" s="42" t="s">
        <v>101</v>
      </c>
      <c r="P6" s="42" t="s">
        <v>102</v>
      </c>
      <c r="Q6" s="42" t="s">
        <v>103</v>
      </c>
      <c r="R6" s="42" t="s">
        <v>104</v>
      </c>
      <c r="S6" s="42" t="s">
        <v>105</v>
      </c>
      <c r="T6" s="43" t="s">
        <v>106</v>
      </c>
      <c r="W6" s="37" t="s">
        <v>34</v>
      </c>
      <c r="X6" s="34"/>
      <c r="Y6" s="34"/>
      <c r="Z6" s="34"/>
      <c r="AA6" s="34"/>
      <c r="AB6" s="34"/>
      <c r="AC6" s="40"/>
    </row>
    <row r="7" spans="1:30" ht="16">
      <c r="B7" t="s">
        <v>141</v>
      </c>
      <c r="C7" s="18">
        <f>SUM(C3:C5)</f>
        <v>920000</v>
      </c>
      <c r="D7" t="s">
        <v>142</v>
      </c>
      <c r="F7" s="62" t="s">
        <v>8</v>
      </c>
      <c r="G7" s="12">
        <v>17100000</v>
      </c>
      <c r="H7" s="12">
        <f>Table5[[#This Row],[2020]]+(Table5[[#This Row],[2020]]*H8)</f>
        <v>18297000</v>
      </c>
      <c r="I7" s="12">
        <f>Table5[[#This Row],[2021]]+(Table5[[#This Row],[2021]]*I8)</f>
        <v>19211850</v>
      </c>
      <c r="J7" s="12">
        <f>Table5[[#This Row],[2022]]+(Table5[[#This Row],[2022]]*J8)</f>
        <v>19980324</v>
      </c>
      <c r="K7" s="12">
        <f>Table5[[#This Row],[2023]]+(Table5[[#This Row],[2023]]*K8)</f>
        <v>20379930.48</v>
      </c>
      <c r="L7" s="12">
        <f>Table5[[#This Row],[2024]]+(Table5[[#This Row],[2024]]*L8)</f>
        <v>20583729.7848</v>
      </c>
      <c r="N7" s="37" t="s">
        <v>118</v>
      </c>
      <c r="O7" s="33">
        <f>G23</f>
        <v>-570872</v>
      </c>
      <c r="P7" s="33">
        <f t="shared" ref="P7:T7" si="0">H23</f>
        <v>-313256</v>
      </c>
      <c r="Q7" s="33">
        <f t="shared" si="0"/>
        <v>160753.75</v>
      </c>
      <c r="R7" s="33">
        <f t="shared" si="0"/>
        <v>362570.93200000003</v>
      </c>
      <c r="S7" s="33">
        <f t="shared" si="0"/>
        <v>509937.73256000131</v>
      </c>
      <c r="T7" s="39">
        <f t="shared" si="0"/>
        <v>656884.29988559987</v>
      </c>
      <c r="W7" s="38" t="s">
        <v>143</v>
      </c>
      <c r="X7" s="33">
        <f>Table5[[#This Row],[2020]]*2%</f>
        <v>342000</v>
      </c>
      <c r="Y7" s="33">
        <f>Table5[[#This Row],[2021]]*2%</f>
        <v>365940</v>
      </c>
      <c r="Z7" s="33">
        <f>Table5[[#This Row],[2022]]*2%</f>
        <v>384237</v>
      </c>
      <c r="AA7" s="33">
        <f>Table5[[#This Row],[2023]]*2%</f>
        <v>399606.48</v>
      </c>
      <c r="AB7" s="33">
        <f>Table5[[#This Row],[2024]]*2%</f>
        <v>407598.60960000003</v>
      </c>
      <c r="AC7" s="33">
        <f>Table5[[#This Row],[2025]]*2%</f>
        <v>411674.59569600003</v>
      </c>
    </row>
    <row r="8" spans="1:30">
      <c r="D8" t="s">
        <v>144</v>
      </c>
      <c r="E8" s="20">
        <v>0.125</v>
      </c>
      <c r="F8" s="63" t="s">
        <v>107</v>
      </c>
      <c r="G8" s="2" t="s">
        <v>108</v>
      </c>
      <c r="H8" s="5">
        <v>7.0000000000000007E-2</v>
      </c>
      <c r="I8" s="5">
        <v>0.05</v>
      </c>
      <c r="J8" s="5">
        <v>0.04</v>
      </c>
      <c r="K8" s="5">
        <v>0.02</v>
      </c>
      <c r="L8" s="66">
        <v>0.01</v>
      </c>
      <c r="N8" s="37" t="s">
        <v>145</v>
      </c>
      <c r="O8" s="34"/>
      <c r="P8" s="34"/>
      <c r="Q8" s="34"/>
      <c r="R8" s="34"/>
      <c r="S8" s="34"/>
      <c r="T8" s="40"/>
      <c r="W8" s="38" t="s">
        <v>146</v>
      </c>
      <c r="X8" s="33">
        <f>G10*6.3%</f>
        <v>640993.5</v>
      </c>
      <c r="Y8" s="33">
        <f t="shared" ref="Y8:AC8" si="1">H10*6.3%</f>
        <v>680099.49</v>
      </c>
      <c r="Z8" s="33">
        <f t="shared" si="1"/>
        <v>702000.99899999995</v>
      </c>
      <c r="AA8" s="33">
        <f t="shared" si="1"/>
        <v>730081.03896000003</v>
      </c>
      <c r="AB8" s="33">
        <f t="shared" si="1"/>
        <v>744682.65973919991</v>
      </c>
      <c r="AC8" s="33">
        <f t="shared" si="1"/>
        <v>752129.486336592</v>
      </c>
    </row>
    <row r="9" spans="1:30" ht="16">
      <c r="F9" s="64" t="s">
        <v>109</v>
      </c>
      <c r="G9" s="13">
        <v>0.59499999999999997</v>
      </c>
      <c r="H9" s="13">
        <v>0.59</v>
      </c>
      <c r="I9" s="13">
        <v>0.57999999999999996</v>
      </c>
      <c r="J9" s="13">
        <v>0.57999999999999996</v>
      </c>
      <c r="K9" s="13">
        <v>0.57999999999999996</v>
      </c>
      <c r="L9" s="67">
        <v>0.57999999999999996</v>
      </c>
      <c r="N9" s="38" t="s">
        <v>147</v>
      </c>
      <c r="O9" s="33">
        <f>G18</f>
        <v>420072</v>
      </c>
      <c r="P9" s="33">
        <f t="shared" ref="P9:T9" si="2">H18</f>
        <v>402711</v>
      </c>
      <c r="Q9" s="33">
        <f t="shared" si="2"/>
        <v>326661</v>
      </c>
      <c r="R9" s="33">
        <f t="shared" si="2"/>
        <v>311583</v>
      </c>
      <c r="S9" s="33">
        <f t="shared" si="2"/>
        <v>262919</v>
      </c>
      <c r="T9" s="39">
        <f t="shared" si="2"/>
        <v>125551</v>
      </c>
      <c r="W9" s="38" t="s">
        <v>148</v>
      </c>
      <c r="X9" s="33">
        <f t="shared" ref="X9:AC9" si="3">X33</f>
        <v>25000</v>
      </c>
      <c r="Y9" s="33">
        <f t="shared" si="3"/>
        <v>25000</v>
      </c>
      <c r="Z9" s="33">
        <f t="shared" si="3"/>
        <v>25000</v>
      </c>
      <c r="AA9" s="33">
        <f t="shared" si="3"/>
        <v>25000</v>
      </c>
      <c r="AB9" s="33">
        <f t="shared" si="3"/>
        <v>25000</v>
      </c>
      <c r="AC9" s="39">
        <f t="shared" si="3"/>
        <v>25000</v>
      </c>
      <c r="AD9" s="49" t="s">
        <v>149</v>
      </c>
    </row>
    <row r="10" spans="1:30" ht="16">
      <c r="F10" s="62" t="s">
        <v>110</v>
      </c>
      <c r="G10" s="12">
        <f>G7*G9</f>
        <v>10174500</v>
      </c>
      <c r="H10" s="12">
        <f t="shared" ref="H10:L10" si="4">H7*H9</f>
        <v>10795230</v>
      </c>
      <c r="I10" s="12">
        <f t="shared" si="4"/>
        <v>11142873</v>
      </c>
      <c r="J10" s="12">
        <f t="shared" si="4"/>
        <v>11588587.92</v>
      </c>
      <c r="K10" s="12">
        <f t="shared" si="4"/>
        <v>11820359.678399999</v>
      </c>
      <c r="L10" s="65">
        <f t="shared" si="4"/>
        <v>11938563.275184</v>
      </c>
      <c r="N10" s="37" t="s">
        <v>150</v>
      </c>
      <c r="O10" s="35"/>
      <c r="P10" s="35"/>
      <c r="Q10" s="35"/>
      <c r="R10" s="35"/>
      <c r="S10" s="35"/>
      <c r="T10" s="47"/>
      <c r="W10" s="37" t="s">
        <v>43</v>
      </c>
      <c r="X10" s="33">
        <f>SUM(X7:X9)</f>
        <v>1007993.5</v>
      </c>
      <c r="Y10" s="33">
        <f t="shared" ref="Y10:AC10" si="5">SUM(Y7:Y9)</f>
        <v>1071039.49</v>
      </c>
      <c r="Z10" s="33">
        <f t="shared" si="5"/>
        <v>1111237.9989999998</v>
      </c>
      <c r="AA10" s="33">
        <f t="shared" si="5"/>
        <v>1154687.51896</v>
      </c>
      <c r="AB10" s="33">
        <f t="shared" si="5"/>
        <v>1177281.2693391999</v>
      </c>
      <c r="AC10" s="39">
        <f t="shared" si="5"/>
        <v>1188804.082032592</v>
      </c>
    </row>
    <row r="11" spans="1:30" ht="16">
      <c r="A11" t="s">
        <v>151</v>
      </c>
      <c r="F11" s="62" t="s">
        <v>10</v>
      </c>
      <c r="G11" s="12">
        <f>G7-(G7*G9)</f>
        <v>6925500</v>
      </c>
      <c r="H11" s="12">
        <f t="shared" ref="H11:L11" si="6">H7-(H7*H9)</f>
        <v>7501770</v>
      </c>
      <c r="I11" s="12">
        <f t="shared" si="6"/>
        <v>8068977</v>
      </c>
      <c r="J11" s="12">
        <f t="shared" si="6"/>
        <v>8391736.0800000001</v>
      </c>
      <c r="K11" s="12">
        <f t="shared" si="6"/>
        <v>8559570.8016000018</v>
      </c>
      <c r="L11" s="65">
        <f t="shared" si="6"/>
        <v>8645166.5096160006</v>
      </c>
      <c r="N11" s="38" t="s">
        <v>152</v>
      </c>
      <c r="O11" s="33">
        <f>X8</f>
        <v>640993.5</v>
      </c>
      <c r="P11" s="33">
        <f t="shared" ref="P11:T11" si="7">Y8</f>
        <v>680099.49</v>
      </c>
      <c r="Q11" s="33">
        <f t="shared" si="7"/>
        <v>702000.99899999995</v>
      </c>
      <c r="R11" s="33">
        <f t="shared" si="7"/>
        <v>730081.03896000003</v>
      </c>
      <c r="S11" s="33">
        <f t="shared" si="7"/>
        <v>744682.65973919991</v>
      </c>
      <c r="T11" s="33">
        <f t="shared" si="7"/>
        <v>752129.486336592</v>
      </c>
      <c r="U11" t="s">
        <v>153</v>
      </c>
      <c r="W11" s="38" t="s">
        <v>154</v>
      </c>
      <c r="X11" s="33">
        <f t="shared" ref="X11:AC11" si="8">G7*S2</f>
        <v>3197700</v>
      </c>
      <c r="Y11" s="33">
        <f t="shared" si="8"/>
        <v>2799441</v>
      </c>
      <c r="Z11" s="33">
        <f t="shared" si="8"/>
        <v>2459116.8000000003</v>
      </c>
      <c r="AA11" s="33">
        <f t="shared" si="8"/>
        <v>2157874.9920000001</v>
      </c>
      <c r="AB11" s="33">
        <f t="shared" si="8"/>
        <v>1936093.3956000002</v>
      </c>
      <c r="AC11" s="33">
        <f t="shared" si="8"/>
        <v>1831951.9508471999</v>
      </c>
      <c r="AD11" s="49" t="s">
        <v>155</v>
      </c>
    </row>
    <row r="12" spans="1:30" ht="16">
      <c r="B12" s="1" t="s">
        <v>2</v>
      </c>
      <c r="C12" s="1" t="s">
        <v>156</v>
      </c>
      <c r="F12" s="64" t="s">
        <v>111</v>
      </c>
      <c r="G12" s="13">
        <v>0.253</v>
      </c>
      <c r="H12" s="14">
        <v>0.25</v>
      </c>
      <c r="I12" s="13">
        <v>0.245</v>
      </c>
      <c r="J12" s="13">
        <v>0.24199999999999999</v>
      </c>
      <c r="K12" s="14">
        <v>0.24</v>
      </c>
      <c r="L12" s="68">
        <v>0.24</v>
      </c>
      <c r="N12" s="38" t="s">
        <v>157</v>
      </c>
      <c r="O12" s="33">
        <f>G10*7%</f>
        <v>712215.00000000012</v>
      </c>
      <c r="P12" s="33">
        <f t="shared" ref="P12:T12" si="9">H10*7%</f>
        <v>755666.10000000009</v>
      </c>
      <c r="Q12" s="33">
        <f t="shared" si="9"/>
        <v>780001.1100000001</v>
      </c>
      <c r="R12" s="33">
        <f t="shared" si="9"/>
        <v>811201.15440000012</v>
      </c>
      <c r="S12" s="33">
        <f t="shared" si="9"/>
        <v>827425.17748800002</v>
      </c>
      <c r="T12" s="39">
        <f t="shared" si="9"/>
        <v>835699.42926288012</v>
      </c>
      <c r="U12" t="s">
        <v>158</v>
      </c>
      <c r="W12" s="37" t="s">
        <v>46</v>
      </c>
      <c r="X12" s="33">
        <f>SUM(X9:X11)</f>
        <v>4230693.5</v>
      </c>
      <c r="Y12" s="33">
        <f t="shared" ref="Y12:AC12" si="10">SUM(Y9:Y11)</f>
        <v>3895480.49</v>
      </c>
      <c r="Z12" s="33">
        <f t="shared" si="10"/>
        <v>3595354.7990000001</v>
      </c>
      <c r="AA12" s="33">
        <f t="shared" si="10"/>
        <v>3337562.5109600001</v>
      </c>
      <c r="AB12" s="33">
        <f t="shared" si="10"/>
        <v>3138374.6649392</v>
      </c>
      <c r="AC12" s="39">
        <f t="shared" si="10"/>
        <v>3045756.0328797922</v>
      </c>
    </row>
    <row r="13" spans="1:30" ht="16">
      <c r="B13" s="1" t="s">
        <v>159</v>
      </c>
      <c r="C13" s="3">
        <v>17100000</v>
      </c>
      <c r="F13" s="62" t="s">
        <v>21</v>
      </c>
      <c r="G13" s="12">
        <f>G7*G12</f>
        <v>4326300</v>
      </c>
      <c r="H13" s="12">
        <f t="shared" ref="H13:L13" si="11">H7*H12</f>
        <v>4574250</v>
      </c>
      <c r="I13" s="12">
        <f t="shared" si="11"/>
        <v>4706903.25</v>
      </c>
      <c r="J13" s="12">
        <f t="shared" si="11"/>
        <v>4835238.4079999998</v>
      </c>
      <c r="K13" s="12">
        <f t="shared" si="11"/>
        <v>4891183.3152000001</v>
      </c>
      <c r="L13" s="65">
        <f t="shared" si="11"/>
        <v>4940095.1483519999</v>
      </c>
      <c r="N13" s="37" t="s">
        <v>160</v>
      </c>
      <c r="O13" s="33">
        <f t="shared" ref="O13:T13" si="12">O7+O9-O11+O12</f>
        <v>-79578.499999999884</v>
      </c>
      <c r="P13" s="33">
        <f t="shared" si="12"/>
        <v>165021.6100000001</v>
      </c>
      <c r="Q13" s="33">
        <f t="shared" si="12"/>
        <v>565414.86100000015</v>
      </c>
      <c r="R13" s="33">
        <f t="shared" si="12"/>
        <v>755274.04744000011</v>
      </c>
      <c r="S13" s="33">
        <f t="shared" si="12"/>
        <v>855599.25030880142</v>
      </c>
      <c r="T13" s="33">
        <f t="shared" si="12"/>
        <v>866005.24281188799</v>
      </c>
      <c r="W13" s="37" t="s">
        <v>161</v>
      </c>
      <c r="X13" s="34"/>
      <c r="Y13" s="34"/>
      <c r="Z13" s="34"/>
      <c r="AA13" s="34"/>
      <c r="AB13" s="34"/>
      <c r="AC13" s="40"/>
    </row>
    <row r="14" spans="1:30" ht="16">
      <c r="B14" s="1" t="s">
        <v>162</v>
      </c>
      <c r="C14" s="1" t="s">
        <v>163</v>
      </c>
      <c r="F14" s="64" t="s">
        <v>112</v>
      </c>
      <c r="G14" s="14">
        <v>0.14000000000000001</v>
      </c>
      <c r="H14" s="13">
        <v>0.13500000000000001</v>
      </c>
      <c r="I14" s="14">
        <v>0.13</v>
      </c>
      <c r="J14" s="13">
        <v>0.125</v>
      </c>
      <c r="K14" s="13">
        <v>0.123</v>
      </c>
      <c r="L14" s="67">
        <v>0.123</v>
      </c>
      <c r="N14" s="37" t="s">
        <v>164</v>
      </c>
      <c r="O14" s="34"/>
      <c r="P14" s="34"/>
      <c r="Q14" s="34"/>
      <c r="R14" s="34"/>
      <c r="S14" s="34"/>
      <c r="T14" s="40"/>
      <c r="W14" s="38" t="s">
        <v>165</v>
      </c>
      <c r="X14" s="33">
        <f>G10*7%</f>
        <v>712215.00000000012</v>
      </c>
      <c r="Y14" s="33">
        <f t="shared" ref="Y14:AC14" si="13">H10*7%</f>
        <v>755666.10000000009</v>
      </c>
      <c r="Z14" s="33">
        <f t="shared" si="13"/>
        <v>780001.1100000001</v>
      </c>
      <c r="AA14" s="33">
        <f t="shared" si="13"/>
        <v>811201.15440000012</v>
      </c>
      <c r="AB14" s="33">
        <f t="shared" si="13"/>
        <v>827425.17748800002</v>
      </c>
      <c r="AC14" s="33">
        <f t="shared" si="13"/>
        <v>835699.42926288012</v>
      </c>
    </row>
    <row r="15" spans="1:30" ht="16">
      <c r="B15" s="1" t="s">
        <v>166</v>
      </c>
      <c r="C15" s="1" t="s">
        <v>167</v>
      </c>
      <c r="F15" s="62" t="s">
        <v>26</v>
      </c>
      <c r="G15" s="12">
        <f>G7*G14</f>
        <v>2394000</v>
      </c>
      <c r="H15" s="12">
        <f t="shared" ref="H15:L15" si="14">H7*H14</f>
        <v>2470095</v>
      </c>
      <c r="I15" s="12">
        <f t="shared" si="14"/>
        <v>2497540.5</v>
      </c>
      <c r="J15" s="12">
        <f t="shared" si="14"/>
        <v>2497540.5</v>
      </c>
      <c r="K15" s="12">
        <f t="shared" si="14"/>
        <v>2506731.4490399999</v>
      </c>
      <c r="L15" s="65">
        <f t="shared" si="14"/>
        <v>2531798.7635304001</v>
      </c>
      <c r="N15" s="38" t="s">
        <v>168</v>
      </c>
      <c r="O15" s="33">
        <f>-C7</f>
        <v>-920000</v>
      </c>
      <c r="P15" s="33">
        <v>0</v>
      </c>
      <c r="Q15" s="33">
        <v>0</v>
      </c>
      <c r="R15" s="33">
        <v>0</v>
      </c>
      <c r="S15" s="33">
        <v>0</v>
      </c>
      <c r="T15" s="39">
        <v>0</v>
      </c>
      <c r="W15" s="38" t="s">
        <v>169</v>
      </c>
      <c r="X15" s="33">
        <f>G7*1.9%</f>
        <v>324900</v>
      </c>
      <c r="Y15" s="33">
        <f t="shared" ref="Y15:AC15" si="15">H7*1.9%</f>
        <v>347643</v>
      </c>
      <c r="Z15" s="33">
        <f t="shared" si="15"/>
        <v>365025.14999999997</v>
      </c>
      <c r="AA15" s="33">
        <f t="shared" si="15"/>
        <v>379626.15600000002</v>
      </c>
      <c r="AB15" s="33">
        <f t="shared" si="15"/>
        <v>387218.67911999999</v>
      </c>
      <c r="AC15" s="33">
        <f t="shared" si="15"/>
        <v>391090.8659112</v>
      </c>
    </row>
    <row r="16" spans="1:30" ht="16">
      <c r="B16" s="1" t="s">
        <v>21</v>
      </c>
      <c r="C16" s="1" t="s">
        <v>170</v>
      </c>
      <c r="F16" s="64" t="s">
        <v>113</v>
      </c>
      <c r="G16" s="12">
        <f>1%*G7</f>
        <v>171000</v>
      </c>
      <c r="H16" s="12">
        <f t="shared" ref="H16:L16" si="16">1%*H7</f>
        <v>182970</v>
      </c>
      <c r="I16" s="12">
        <f t="shared" si="16"/>
        <v>192118.5</v>
      </c>
      <c r="J16" s="12">
        <f t="shared" si="16"/>
        <v>199803.24</v>
      </c>
      <c r="K16" s="12">
        <f t="shared" si="16"/>
        <v>203799.30480000001</v>
      </c>
      <c r="L16" s="65">
        <f t="shared" si="16"/>
        <v>205837.29784800002</v>
      </c>
      <c r="N16" s="37" t="s">
        <v>171</v>
      </c>
      <c r="O16" s="34"/>
      <c r="P16" s="34"/>
      <c r="Q16" s="34"/>
      <c r="R16" s="34"/>
      <c r="S16" s="34"/>
      <c r="T16" s="40"/>
      <c r="W16" s="38" t="s">
        <v>172</v>
      </c>
      <c r="X16" s="33">
        <v>45000</v>
      </c>
      <c r="Y16" s="33">
        <v>45000</v>
      </c>
      <c r="Z16" s="33">
        <v>45000</v>
      </c>
      <c r="AA16" s="33">
        <v>45000</v>
      </c>
      <c r="AB16" s="33">
        <v>45000</v>
      </c>
      <c r="AC16" s="39">
        <v>45000</v>
      </c>
    </row>
    <row r="17" spans="2:30" ht="16">
      <c r="B17" s="1" t="s">
        <v>26</v>
      </c>
      <c r="C17" s="1" t="s">
        <v>173</v>
      </c>
      <c r="F17" s="62" t="s">
        <v>15</v>
      </c>
      <c r="G17" s="12">
        <f>G11-(G13+G15+G16)</f>
        <v>34200</v>
      </c>
      <c r="H17" s="12">
        <f>H11-(H13+H15+H16)</f>
        <v>274455</v>
      </c>
      <c r="I17" s="12">
        <f t="shared" ref="I17:K17" si="17">I11-(I13+I15+I16)</f>
        <v>672414.75</v>
      </c>
      <c r="J17" s="12">
        <f t="shared" si="17"/>
        <v>859153.93200000003</v>
      </c>
      <c r="K17" s="12">
        <f t="shared" si="17"/>
        <v>957856.73256000131</v>
      </c>
      <c r="L17" s="65">
        <f>L11-(L13+L15+L16)</f>
        <v>967435.29988559987</v>
      </c>
      <c r="N17" s="38" t="s">
        <v>174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9">
        <v>0</v>
      </c>
      <c r="W17" s="37" t="s">
        <v>56</v>
      </c>
      <c r="X17" s="33">
        <f>SUM(X13:X16)</f>
        <v>1082115</v>
      </c>
      <c r="Y17" s="33">
        <f t="shared" ref="Y17:AC17" si="18">SUM(Y13:Y16)</f>
        <v>1148309.1000000001</v>
      </c>
      <c r="Z17" s="33">
        <f t="shared" si="18"/>
        <v>1190026.26</v>
      </c>
      <c r="AA17" s="33">
        <f t="shared" si="18"/>
        <v>1235827.3104000001</v>
      </c>
      <c r="AB17" s="33">
        <f t="shared" si="18"/>
        <v>1259643.8566080001</v>
      </c>
      <c r="AC17" s="39">
        <f t="shared" si="18"/>
        <v>1271790.2951740802</v>
      </c>
    </row>
    <row r="18" spans="2:30" ht="31">
      <c r="B18" s="1" t="s">
        <v>24</v>
      </c>
      <c r="C18" s="1" t="s">
        <v>175</v>
      </c>
      <c r="F18" s="64" t="s">
        <v>17</v>
      </c>
      <c r="G18" s="12">
        <v>420072</v>
      </c>
      <c r="H18" s="12">
        <v>402711</v>
      </c>
      <c r="I18" s="12">
        <v>326661</v>
      </c>
      <c r="J18" s="12">
        <v>311583</v>
      </c>
      <c r="K18" s="12">
        <v>262919</v>
      </c>
      <c r="L18" s="65">
        <v>125551</v>
      </c>
      <c r="N18" s="46" t="s">
        <v>176</v>
      </c>
      <c r="O18" s="33">
        <v>0</v>
      </c>
      <c r="P18" s="33">
        <v>0</v>
      </c>
      <c r="Q18" s="33">
        <v>0</v>
      </c>
      <c r="R18" s="33">
        <v>0</v>
      </c>
      <c r="S18" s="33">
        <v>0</v>
      </c>
      <c r="T18" s="39">
        <v>0</v>
      </c>
      <c r="W18" s="38" t="s">
        <v>177</v>
      </c>
      <c r="X18" s="33">
        <v>7019863</v>
      </c>
      <c r="Y18" s="33">
        <v>7019863</v>
      </c>
      <c r="Z18" s="33">
        <v>7019863</v>
      </c>
      <c r="AA18" s="33">
        <v>7019863</v>
      </c>
      <c r="AB18" s="33">
        <v>7019863</v>
      </c>
      <c r="AC18" s="39">
        <v>7019863</v>
      </c>
    </row>
    <row r="19" spans="2:30" ht="32">
      <c r="B19" s="1" t="s">
        <v>178</v>
      </c>
      <c r="C19" s="1" t="s">
        <v>179</v>
      </c>
      <c r="F19" s="62" t="s">
        <v>114</v>
      </c>
      <c r="G19" s="12">
        <f t="shared" ref="G19:L19" si="19">G17-G18</f>
        <v>-385872</v>
      </c>
      <c r="H19" s="12">
        <f t="shared" si="19"/>
        <v>-128256</v>
      </c>
      <c r="I19" s="12">
        <f t="shared" si="19"/>
        <v>345753.75</v>
      </c>
      <c r="J19" s="12">
        <f t="shared" si="19"/>
        <v>547570.93200000003</v>
      </c>
      <c r="K19" s="12">
        <f t="shared" si="19"/>
        <v>694937.73256000131</v>
      </c>
      <c r="L19" s="65">
        <f t="shared" si="19"/>
        <v>841884.29988559987</v>
      </c>
      <c r="N19" s="37" t="s">
        <v>180</v>
      </c>
      <c r="O19" s="33">
        <f>O13+O15+SUM(O17:O18)</f>
        <v>-999578.49999999988</v>
      </c>
      <c r="P19" s="33">
        <f t="shared" ref="P19:T19" si="20">P13+P15+SUM(P17:P18)</f>
        <v>165021.6100000001</v>
      </c>
      <c r="Q19" s="33">
        <f t="shared" si="20"/>
        <v>565414.86100000015</v>
      </c>
      <c r="R19" s="33">
        <f t="shared" si="20"/>
        <v>755274.04744000011</v>
      </c>
      <c r="S19" s="33">
        <f t="shared" si="20"/>
        <v>855599.25030880142</v>
      </c>
      <c r="T19" s="39">
        <f t="shared" si="20"/>
        <v>866005.24281188799</v>
      </c>
      <c r="W19" s="37" t="s">
        <v>59</v>
      </c>
      <c r="X19" s="33">
        <f>X17+X18</f>
        <v>8101978</v>
      </c>
      <c r="Y19" s="33">
        <f t="shared" ref="Y19:AC19" si="21">Y17+Y18</f>
        <v>8168172.0999999996</v>
      </c>
      <c r="Z19" s="33">
        <f t="shared" si="21"/>
        <v>8209889.2599999998</v>
      </c>
      <c r="AA19" s="33">
        <f t="shared" si="21"/>
        <v>8255690.3103999998</v>
      </c>
      <c r="AB19" s="33">
        <f t="shared" si="21"/>
        <v>8279506.8566079997</v>
      </c>
      <c r="AC19" s="39">
        <f t="shared" si="21"/>
        <v>8291653.2951740799</v>
      </c>
      <c r="AD19" s="49" t="s">
        <v>181</v>
      </c>
    </row>
    <row r="20" spans="2:30" ht="16">
      <c r="B20" s="1" t="s">
        <v>182</v>
      </c>
      <c r="C20" s="21" t="s">
        <v>183</v>
      </c>
      <c r="D20" s="52"/>
      <c r="F20" s="64" t="s">
        <v>115</v>
      </c>
      <c r="G20" s="12">
        <v>170000</v>
      </c>
      <c r="H20" s="12">
        <v>170000</v>
      </c>
      <c r="I20" s="12">
        <v>170000</v>
      </c>
      <c r="J20" s="12">
        <v>170000</v>
      </c>
      <c r="K20" s="12">
        <v>170000</v>
      </c>
      <c r="L20" s="65">
        <v>170000</v>
      </c>
      <c r="N20" s="37" t="s">
        <v>184</v>
      </c>
      <c r="O20" s="33">
        <v>991610</v>
      </c>
      <c r="P20" s="33">
        <f>O21</f>
        <v>-7968.4999999998836</v>
      </c>
      <c r="Q20" s="33">
        <f t="shared" ref="Q20:T20" si="22">P21</f>
        <v>157053.11000000022</v>
      </c>
      <c r="R20" s="33">
        <f t="shared" si="22"/>
        <v>722467.97100000037</v>
      </c>
      <c r="S20" s="33">
        <f t="shared" si="22"/>
        <v>1477742.0184400005</v>
      </c>
      <c r="T20" s="33">
        <f t="shared" si="22"/>
        <v>2333341.2687488021</v>
      </c>
      <c r="W20" s="37" t="s">
        <v>185</v>
      </c>
      <c r="X20" s="34"/>
      <c r="Y20" s="34"/>
      <c r="Z20" s="34"/>
      <c r="AA20" s="34"/>
      <c r="AB20" s="34"/>
      <c r="AC20" s="40"/>
    </row>
    <row r="21" spans="2:30" ht="32">
      <c r="B21" s="1" t="s">
        <v>186</v>
      </c>
      <c r="C21" s="27" t="s">
        <v>187</v>
      </c>
      <c r="F21" s="62" t="s">
        <v>116</v>
      </c>
      <c r="G21" s="12">
        <f t="shared" ref="G21:L21" si="23">G19-G20</f>
        <v>-555872</v>
      </c>
      <c r="H21" s="12">
        <f t="shared" si="23"/>
        <v>-298256</v>
      </c>
      <c r="I21" s="12">
        <f t="shared" si="23"/>
        <v>175753.75</v>
      </c>
      <c r="J21" s="12">
        <f t="shared" si="23"/>
        <v>377570.93200000003</v>
      </c>
      <c r="K21" s="12">
        <f t="shared" si="23"/>
        <v>524937.73256000131</v>
      </c>
      <c r="L21" s="65">
        <f t="shared" si="23"/>
        <v>671884.29988559987</v>
      </c>
      <c r="N21" s="44" t="s">
        <v>188</v>
      </c>
      <c r="O21" s="45">
        <f>O19+O20</f>
        <v>-7968.4999999998836</v>
      </c>
      <c r="P21" s="45">
        <f t="shared" ref="P21:T21" si="24">P19+P20</f>
        <v>157053.11000000022</v>
      </c>
      <c r="Q21" s="45">
        <f t="shared" si="24"/>
        <v>722467.97100000037</v>
      </c>
      <c r="R21" s="45">
        <f t="shared" si="24"/>
        <v>1477742.0184400005</v>
      </c>
      <c r="S21" s="45">
        <f t="shared" si="24"/>
        <v>2333341.2687488021</v>
      </c>
      <c r="T21" s="45">
        <f t="shared" si="24"/>
        <v>3199346.5115606901</v>
      </c>
      <c r="W21" s="38" t="s">
        <v>189</v>
      </c>
      <c r="X21" s="33">
        <f>9173230+5000000</f>
        <v>14173230</v>
      </c>
      <c r="Y21" s="33">
        <f t="shared" ref="Y21:AC21" si="25">9173230+5000000</f>
        <v>14173230</v>
      </c>
      <c r="Z21" s="33">
        <f t="shared" si="25"/>
        <v>14173230</v>
      </c>
      <c r="AA21" s="33">
        <f t="shared" si="25"/>
        <v>14173230</v>
      </c>
      <c r="AB21" s="33">
        <f t="shared" si="25"/>
        <v>14173230</v>
      </c>
      <c r="AC21" s="33">
        <f t="shared" si="25"/>
        <v>14173230</v>
      </c>
    </row>
    <row r="22" spans="2:30" ht="16">
      <c r="B22" s="1" t="s">
        <v>190</v>
      </c>
      <c r="C22" s="1" t="s">
        <v>191</v>
      </c>
      <c r="F22" s="64" t="s">
        <v>117</v>
      </c>
      <c r="G22" s="12">
        <v>15000</v>
      </c>
      <c r="H22" s="12">
        <f>Table5[[#This Row],[2020]]</f>
        <v>15000</v>
      </c>
      <c r="I22" s="12">
        <f>Table5[[#This Row],[2021]]</f>
        <v>15000</v>
      </c>
      <c r="J22" s="12">
        <f>Table5[[#This Row],[2022]]</f>
        <v>15000</v>
      </c>
      <c r="K22" s="12">
        <f>Table5[[#This Row],[2023]]</f>
        <v>15000</v>
      </c>
      <c r="L22" s="12">
        <f>Table5[[#This Row],[2024]]</f>
        <v>15000</v>
      </c>
      <c r="W22" s="38" t="s">
        <v>192</v>
      </c>
      <c r="X22" s="33">
        <f>' Green Zebra Historic Data'!E38 + G23</f>
        <v>-11167562</v>
      </c>
      <c r="Y22" s="33">
        <f>Table3[[#This Row],[2020]]+H23</f>
        <v>-11480818</v>
      </c>
      <c r="Z22" s="33">
        <f>Table3[[#This Row],[2021]]+I23</f>
        <v>-11320064.25</v>
      </c>
      <c r="AA22" s="33">
        <f>Table3[[#This Row],[2022]]+J23</f>
        <v>-10957493.318</v>
      </c>
      <c r="AB22" s="33">
        <f>Table3[[#This Row],[2023]]+K23</f>
        <v>-10447555.585439999</v>
      </c>
      <c r="AC22" s="33">
        <f>Table3[[#This Row],[2024]]+L23</f>
        <v>-9790671.2855543979</v>
      </c>
      <c r="AD22" t="s">
        <v>193</v>
      </c>
    </row>
    <row r="23" spans="2:30" ht="48">
      <c r="F23" s="72" t="s">
        <v>118</v>
      </c>
      <c r="G23" s="73">
        <f t="shared" ref="G23:L23" si="26">G21-G22</f>
        <v>-570872</v>
      </c>
      <c r="H23" s="73">
        <f t="shared" si="26"/>
        <v>-313256</v>
      </c>
      <c r="I23" s="73">
        <f t="shared" si="26"/>
        <v>160753.75</v>
      </c>
      <c r="J23" s="73">
        <f t="shared" si="26"/>
        <v>362570.93200000003</v>
      </c>
      <c r="K23" s="73">
        <f t="shared" si="26"/>
        <v>509937.73256000131</v>
      </c>
      <c r="L23" s="74">
        <f t="shared" si="26"/>
        <v>656884.29988559987</v>
      </c>
      <c r="N23" s="49" t="s">
        <v>194</v>
      </c>
      <c r="W23" s="38" t="s">
        <v>195</v>
      </c>
      <c r="X23" s="33">
        <f>G23</f>
        <v>-570872</v>
      </c>
      <c r="Y23" s="33">
        <f t="shared" ref="Y23:AC23" si="27">H23</f>
        <v>-313256</v>
      </c>
      <c r="Z23" s="33">
        <f t="shared" si="27"/>
        <v>160753.75</v>
      </c>
      <c r="AA23" s="33">
        <f t="shared" si="27"/>
        <v>362570.93200000003</v>
      </c>
      <c r="AB23" s="33">
        <f t="shared" si="27"/>
        <v>509937.73256000131</v>
      </c>
      <c r="AC23" s="39">
        <f t="shared" si="27"/>
        <v>656884.29988559987</v>
      </c>
    </row>
    <row r="24" spans="2:30" ht="16">
      <c r="W24" s="59" t="s">
        <v>196</v>
      </c>
      <c r="X24" s="33">
        <f>SUM(X21:X23)</f>
        <v>2434796</v>
      </c>
      <c r="Y24" s="33">
        <f t="shared" ref="Y24:AC24" si="28">SUM(Y21:Y23)</f>
        <v>2379156</v>
      </c>
      <c r="Z24" s="33">
        <f t="shared" si="28"/>
        <v>3013919.5</v>
      </c>
      <c r="AA24" s="33">
        <f t="shared" si="28"/>
        <v>3578307.6140000001</v>
      </c>
      <c r="AB24" s="33">
        <f t="shared" si="28"/>
        <v>4235612.1471200027</v>
      </c>
      <c r="AC24" s="39">
        <f t="shared" si="28"/>
        <v>5039443.014331202</v>
      </c>
    </row>
    <row r="25" spans="2:30" ht="16">
      <c r="W25" s="60" t="s">
        <v>197</v>
      </c>
      <c r="X25" s="45">
        <f>X24+X19</f>
        <v>10536774</v>
      </c>
      <c r="Y25" s="45">
        <v>7063969</v>
      </c>
      <c r="Z25" s="45">
        <v>8063665</v>
      </c>
      <c r="AA25" s="45">
        <v>9815277</v>
      </c>
      <c r="AB25" s="45">
        <v>10400839</v>
      </c>
      <c r="AC25" s="61">
        <v>10286601</v>
      </c>
    </row>
    <row r="26" spans="2:30" ht="26">
      <c r="C26" t="s">
        <v>198</v>
      </c>
      <c r="F26" s="16" t="s">
        <v>199</v>
      </c>
      <c r="N26" s="48" t="s">
        <v>200</v>
      </c>
      <c r="W26" s="101" t="s">
        <v>201</v>
      </c>
      <c r="X26" s="45">
        <f>X25-X12</f>
        <v>6306080.5</v>
      </c>
      <c r="Y26" s="45">
        <f t="shared" ref="Y26:AC26" si="29">Y25-Y12</f>
        <v>3168488.51</v>
      </c>
      <c r="Z26" s="45">
        <f t="shared" si="29"/>
        <v>4468310.2009999994</v>
      </c>
      <c r="AA26" s="45">
        <f t="shared" si="29"/>
        <v>6477714.4890400004</v>
      </c>
      <c r="AB26" s="45">
        <f t="shared" si="29"/>
        <v>7262464.3350607995</v>
      </c>
      <c r="AC26" s="45">
        <f t="shared" si="29"/>
        <v>7240844.9671202078</v>
      </c>
    </row>
    <row r="27" spans="2:30">
      <c r="AB27" s="36"/>
    </row>
    <row r="28" spans="2:30" ht="16">
      <c r="F28" s="69" t="s">
        <v>100</v>
      </c>
      <c r="G28" s="70" t="s">
        <v>101</v>
      </c>
      <c r="H28" s="70" t="s">
        <v>102</v>
      </c>
      <c r="I28" s="70" t="s">
        <v>103</v>
      </c>
      <c r="J28" s="70" t="s">
        <v>104</v>
      </c>
      <c r="K28" s="70" t="s">
        <v>105</v>
      </c>
      <c r="L28" s="71" t="s">
        <v>106</v>
      </c>
      <c r="N28" s="41" t="s">
        <v>2</v>
      </c>
      <c r="O28" s="42" t="s">
        <v>101</v>
      </c>
      <c r="P28" s="42" t="s">
        <v>102</v>
      </c>
      <c r="Q28" s="42" t="s">
        <v>103</v>
      </c>
      <c r="R28" s="42" t="s">
        <v>104</v>
      </c>
      <c r="S28" s="42" t="s">
        <v>105</v>
      </c>
      <c r="T28" s="43" t="s">
        <v>106</v>
      </c>
      <c r="W28" s="32" t="s">
        <v>140</v>
      </c>
      <c r="AD28" s="49" t="s">
        <v>202</v>
      </c>
    </row>
    <row r="29" spans="2:30" ht="16">
      <c r="F29" s="62" t="s">
        <v>8</v>
      </c>
      <c r="G29" s="12">
        <f>G7</f>
        <v>17100000</v>
      </c>
      <c r="H29" s="12">
        <f t="shared" ref="H29:L29" si="30">H7</f>
        <v>18297000</v>
      </c>
      <c r="I29" s="12">
        <f t="shared" si="30"/>
        <v>19211850</v>
      </c>
      <c r="J29" s="12">
        <f t="shared" si="30"/>
        <v>19980324</v>
      </c>
      <c r="K29" s="12">
        <f t="shared" si="30"/>
        <v>20379930.48</v>
      </c>
      <c r="L29" s="12">
        <f t="shared" si="30"/>
        <v>20583729.7848</v>
      </c>
      <c r="N29" s="37" t="s">
        <v>118</v>
      </c>
      <c r="O29" s="33">
        <f>G23</f>
        <v>-570872</v>
      </c>
      <c r="P29" s="33">
        <f t="shared" ref="P29:T29" si="31">H23</f>
        <v>-313256</v>
      </c>
      <c r="Q29" s="33">
        <f t="shared" si="31"/>
        <v>160753.75</v>
      </c>
      <c r="R29" s="33">
        <f t="shared" si="31"/>
        <v>362570.93200000003</v>
      </c>
      <c r="S29" s="33">
        <f t="shared" si="31"/>
        <v>509937.73256000131</v>
      </c>
      <c r="T29" s="39">
        <f t="shared" si="31"/>
        <v>656884.29988559987</v>
      </c>
      <c r="W29" s="41" t="s">
        <v>2</v>
      </c>
      <c r="X29" s="42" t="s">
        <v>101</v>
      </c>
      <c r="Y29" s="42" t="s">
        <v>102</v>
      </c>
      <c r="Z29" s="42" t="s">
        <v>103</v>
      </c>
      <c r="AA29" s="42" t="s">
        <v>104</v>
      </c>
      <c r="AB29" s="42" t="s">
        <v>105</v>
      </c>
      <c r="AC29" s="43" t="s">
        <v>106</v>
      </c>
    </row>
    <row r="30" spans="2:30">
      <c r="B30">
        <f>2.2*1000000</f>
        <v>2200000</v>
      </c>
      <c r="C30">
        <f>(B30*12.5%)</f>
        <v>275000</v>
      </c>
      <c r="D30">
        <f>(B30*6.25%)</f>
        <v>137500</v>
      </c>
      <c r="F30" s="63" t="s">
        <v>107</v>
      </c>
      <c r="G30" s="2"/>
      <c r="H30" s="5">
        <f>H8</f>
        <v>7.0000000000000007E-2</v>
      </c>
      <c r="I30" s="5">
        <f t="shared" ref="I30:L30" si="32">I8</f>
        <v>0.05</v>
      </c>
      <c r="J30" s="5">
        <f t="shared" si="32"/>
        <v>0.04</v>
      </c>
      <c r="K30" s="5">
        <f t="shared" si="32"/>
        <v>0.02</v>
      </c>
      <c r="L30" s="5">
        <f t="shared" si="32"/>
        <v>0.01</v>
      </c>
      <c r="N30" s="37" t="s">
        <v>145</v>
      </c>
      <c r="O30" s="34"/>
      <c r="P30" s="34"/>
      <c r="Q30" s="34"/>
      <c r="R30" s="34"/>
      <c r="S30" s="34"/>
      <c r="T30" s="40"/>
      <c r="W30" s="37" t="s">
        <v>34</v>
      </c>
      <c r="X30" s="34"/>
      <c r="Y30" s="34"/>
      <c r="Z30" s="34"/>
      <c r="AA30" s="34"/>
      <c r="AB30" s="34"/>
      <c r="AC30" s="40"/>
    </row>
    <row r="31" spans="2:30" ht="16">
      <c r="F31" s="64" t="s">
        <v>109</v>
      </c>
      <c r="G31" s="13">
        <v>0.59499999999999997</v>
      </c>
      <c r="H31" s="13">
        <v>0.59</v>
      </c>
      <c r="I31" s="13">
        <v>0.57999999999999996</v>
      </c>
      <c r="J31" s="13">
        <v>0.57999999999999996</v>
      </c>
      <c r="K31" s="13">
        <v>0.57999999999999996</v>
      </c>
      <c r="L31" s="67">
        <v>0.57999999999999996</v>
      </c>
      <c r="N31" s="38" t="s">
        <v>203</v>
      </c>
      <c r="O31" s="33">
        <f>G18</f>
        <v>420072</v>
      </c>
      <c r="P31" s="33">
        <f t="shared" ref="P31:T31" si="33">H18</f>
        <v>402711</v>
      </c>
      <c r="Q31" s="33">
        <f t="shared" si="33"/>
        <v>326661</v>
      </c>
      <c r="R31" s="33">
        <f t="shared" si="33"/>
        <v>311583</v>
      </c>
      <c r="S31" s="33">
        <f t="shared" si="33"/>
        <v>262919</v>
      </c>
      <c r="T31" s="39">
        <f t="shared" si="33"/>
        <v>125551</v>
      </c>
      <c r="W31" s="38" t="s">
        <v>204</v>
      </c>
      <c r="X31" s="33">
        <f>X7</f>
        <v>342000</v>
      </c>
      <c r="Y31" s="33">
        <f t="shared" ref="Y31:AC31" si="34">Y7</f>
        <v>365940</v>
      </c>
      <c r="Z31" s="33">
        <f t="shared" si="34"/>
        <v>384237</v>
      </c>
      <c r="AA31" s="33">
        <f t="shared" si="34"/>
        <v>399606.48</v>
      </c>
      <c r="AB31" s="33">
        <f t="shared" si="34"/>
        <v>407598.60960000003</v>
      </c>
      <c r="AC31" s="33">
        <f t="shared" si="34"/>
        <v>411674.59569600003</v>
      </c>
    </row>
    <row r="32" spans="2:30" ht="16">
      <c r="F32" s="62" t="s">
        <v>110</v>
      </c>
      <c r="G32" s="12">
        <f>G29*G31</f>
        <v>10174500</v>
      </c>
      <c r="H32" s="12">
        <f t="shared" ref="H32:L32" si="35">H29*H31</f>
        <v>10795230</v>
      </c>
      <c r="I32" s="12">
        <f t="shared" si="35"/>
        <v>11142873</v>
      </c>
      <c r="J32" s="12">
        <f t="shared" si="35"/>
        <v>11588587.92</v>
      </c>
      <c r="K32" s="12">
        <f t="shared" si="35"/>
        <v>11820359.678399999</v>
      </c>
      <c r="L32" s="65">
        <f t="shared" si="35"/>
        <v>11938563.275184</v>
      </c>
      <c r="N32" s="37" t="s">
        <v>150</v>
      </c>
      <c r="O32" s="34"/>
      <c r="P32" s="34"/>
      <c r="Q32" s="34"/>
      <c r="R32" s="34"/>
      <c r="S32" s="34"/>
      <c r="T32" s="40"/>
      <c r="W32" s="38" t="s">
        <v>40</v>
      </c>
      <c r="X32" s="33">
        <f>X8</f>
        <v>640993.5</v>
      </c>
      <c r="Y32" s="33">
        <f t="shared" ref="Y32:AC32" si="36">Y8</f>
        <v>680099.49</v>
      </c>
      <c r="Z32" s="33">
        <f t="shared" si="36"/>
        <v>702000.99899999995</v>
      </c>
      <c r="AA32" s="33">
        <f t="shared" si="36"/>
        <v>730081.03896000003</v>
      </c>
      <c r="AB32" s="33">
        <f t="shared" si="36"/>
        <v>744682.65973919991</v>
      </c>
      <c r="AC32" s="33">
        <f t="shared" si="36"/>
        <v>752129.486336592</v>
      </c>
    </row>
    <row r="33" spans="2:29" ht="16">
      <c r="F33" s="62" t="s">
        <v>10</v>
      </c>
      <c r="G33" s="12">
        <f>G29-(G29*G31)</f>
        <v>6925500</v>
      </c>
      <c r="H33" s="12">
        <f t="shared" ref="H33:L33" si="37">H29-(H29*H31)</f>
        <v>7501770</v>
      </c>
      <c r="I33" s="12">
        <f t="shared" si="37"/>
        <v>8068977</v>
      </c>
      <c r="J33" s="12">
        <f t="shared" si="37"/>
        <v>8391736.0800000001</v>
      </c>
      <c r="K33" s="12">
        <f t="shared" si="37"/>
        <v>8559570.8016000018</v>
      </c>
      <c r="L33" s="65">
        <f t="shared" si="37"/>
        <v>8645166.5096160006</v>
      </c>
      <c r="N33" s="38" t="s">
        <v>152</v>
      </c>
      <c r="O33" s="33">
        <f>O11</f>
        <v>640993.5</v>
      </c>
      <c r="P33" s="33">
        <f t="shared" ref="P33:T33" si="38">P11</f>
        <v>680099.49</v>
      </c>
      <c r="Q33" s="33">
        <f t="shared" si="38"/>
        <v>702000.99899999995</v>
      </c>
      <c r="R33" s="33">
        <f t="shared" si="38"/>
        <v>730081.03896000003</v>
      </c>
      <c r="S33" s="33">
        <f t="shared" si="38"/>
        <v>744682.65973919991</v>
      </c>
      <c r="T33" s="39">
        <f t="shared" si="38"/>
        <v>752129.486336592</v>
      </c>
      <c r="U33" t="s">
        <v>153</v>
      </c>
      <c r="W33" s="38" t="s">
        <v>205</v>
      </c>
      <c r="X33" s="33">
        <v>25000</v>
      </c>
      <c r="Y33" s="33">
        <v>25000</v>
      </c>
      <c r="Z33" s="33">
        <v>25000</v>
      </c>
      <c r="AA33" s="33">
        <v>25000</v>
      </c>
      <c r="AB33" s="33">
        <v>25000</v>
      </c>
      <c r="AC33" s="39">
        <v>25000</v>
      </c>
    </row>
    <row r="34" spans="2:29" ht="16">
      <c r="B34" t="s">
        <v>206</v>
      </c>
      <c r="F34" s="64" t="s">
        <v>111</v>
      </c>
      <c r="G34" s="13">
        <v>0.253</v>
      </c>
      <c r="H34" s="14">
        <v>0.25</v>
      </c>
      <c r="I34" s="13">
        <v>0.245</v>
      </c>
      <c r="J34" s="13">
        <v>0.24199999999999999</v>
      </c>
      <c r="K34" s="14">
        <v>0.24</v>
      </c>
      <c r="L34" s="68">
        <v>0.24</v>
      </c>
      <c r="N34" s="38" t="s">
        <v>207</v>
      </c>
      <c r="O34" s="33">
        <f>O12</f>
        <v>712215.00000000012</v>
      </c>
      <c r="P34" s="33">
        <f t="shared" ref="P34:T34" si="39">P12</f>
        <v>755666.10000000009</v>
      </c>
      <c r="Q34" s="33">
        <f t="shared" si="39"/>
        <v>780001.1100000001</v>
      </c>
      <c r="R34" s="33">
        <f t="shared" si="39"/>
        <v>811201.15440000012</v>
      </c>
      <c r="S34" s="33">
        <f t="shared" si="39"/>
        <v>827425.17748800002</v>
      </c>
      <c r="T34" s="39">
        <f t="shared" si="39"/>
        <v>835699.42926288012</v>
      </c>
      <c r="U34" t="s">
        <v>158</v>
      </c>
      <c r="W34" s="37" t="s">
        <v>43</v>
      </c>
      <c r="X34" s="33">
        <f>SUM(X31:X33)</f>
        <v>1007993.5</v>
      </c>
      <c r="Y34" s="33">
        <f t="shared" ref="Y34:AC34" si="40">SUM(Y31:Y33)</f>
        <v>1071039.49</v>
      </c>
      <c r="Z34" s="33">
        <f t="shared" si="40"/>
        <v>1111237.9989999998</v>
      </c>
      <c r="AA34" s="33">
        <f t="shared" si="40"/>
        <v>1154687.51896</v>
      </c>
      <c r="AB34" s="33">
        <f t="shared" si="40"/>
        <v>1177281.2693391999</v>
      </c>
      <c r="AC34" s="39">
        <f t="shared" si="40"/>
        <v>1188804.082032592</v>
      </c>
    </row>
    <row r="35" spans="2:29" ht="16">
      <c r="B35" t="s">
        <v>208</v>
      </c>
      <c r="C35" t="s">
        <v>209</v>
      </c>
      <c r="F35" s="62" t="s">
        <v>21</v>
      </c>
      <c r="G35" s="12">
        <f>G29*G34</f>
        <v>4326300</v>
      </c>
      <c r="H35" s="12">
        <f t="shared" ref="H35:L35" si="41">H29*H34</f>
        <v>4574250</v>
      </c>
      <c r="I35" s="12">
        <f t="shared" si="41"/>
        <v>4706903.25</v>
      </c>
      <c r="J35" s="12">
        <f t="shared" si="41"/>
        <v>4835238.4079999998</v>
      </c>
      <c r="K35" s="12">
        <f t="shared" si="41"/>
        <v>4891183.3152000001</v>
      </c>
      <c r="L35" s="65">
        <f t="shared" si="41"/>
        <v>4940095.1483519999</v>
      </c>
      <c r="N35" s="37" t="s">
        <v>160</v>
      </c>
      <c r="O35" s="33">
        <f>O29+O31-O33+O34</f>
        <v>-79578.499999999884</v>
      </c>
      <c r="P35" s="33">
        <f t="shared" ref="P35:T35" si="42">P29+P31-P33+P34</f>
        <v>165021.6100000001</v>
      </c>
      <c r="Q35" s="33">
        <f t="shared" si="42"/>
        <v>565414.86100000015</v>
      </c>
      <c r="R35" s="33">
        <f t="shared" si="42"/>
        <v>755274.04744000011</v>
      </c>
      <c r="S35" s="33">
        <f t="shared" si="42"/>
        <v>855599.25030880142</v>
      </c>
      <c r="T35" s="39">
        <f t="shared" si="42"/>
        <v>866005.24281188799</v>
      </c>
      <c r="W35" s="38" t="s">
        <v>210</v>
      </c>
      <c r="X35" s="33">
        <f t="shared" ref="X35:AC35" si="43">G7*S2</f>
        <v>3197700</v>
      </c>
      <c r="Y35" s="33">
        <f t="shared" si="43"/>
        <v>2799441</v>
      </c>
      <c r="Z35" s="33">
        <f t="shared" si="43"/>
        <v>2459116.8000000003</v>
      </c>
      <c r="AA35" s="33">
        <f t="shared" si="43"/>
        <v>2157874.9920000001</v>
      </c>
      <c r="AB35" s="33">
        <f t="shared" si="43"/>
        <v>1936093.3956000002</v>
      </c>
      <c r="AC35" s="33">
        <f t="shared" si="43"/>
        <v>1831951.9508471999</v>
      </c>
    </row>
    <row r="36" spans="2:29" ht="16">
      <c r="B36" t="s">
        <v>96</v>
      </c>
      <c r="C36" t="s">
        <v>211</v>
      </c>
      <c r="F36" s="64" t="s">
        <v>112</v>
      </c>
      <c r="G36" s="14">
        <v>0.14000000000000001</v>
      </c>
      <c r="H36" s="13">
        <v>0.13500000000000001</v>
      </c>
      <c r="I36" s="14">
        <v>0.13</v>
      </c>
      <c r="J36" s="13">
        <v>0.125</v>
      </c>
      <c r="K36" s="13">
        <v>0.123</v>
      </c>
      <c r="L36" s="67">
        <v>0.123</v>
      </c>
      <c r="N36" s="37" t="s">
        <v>164</v>
      </c>
      <c r="O36" s="34"/>
      <c r="P36" s="34"/>
      <c r="Q36" s="34"/>
      <c r="R36" s="34"/>
      <c r="S36" s="34"/>
      <c r="T36" s="40"/>
      <c r="W36" s="37" t="s">
        <v>46</v>
      </c>
      <c r="X36" s="33">
        <f>X34+X35</f>
        <v>4205693.5</v>
      </c>
      <c r="Y36" s="33">
        <f>Y34+Y35</f>
        <v>3870480.49</v>
      </c>
      <c r="Z36" s="33">
        <f t="shared" ref="Z36:AC36" si="44">Z34+Z35</f>
        <v>3570354.7990000001</v>
      </c>
      <c r="AA36" s="33">
        <f t="shared" si="44"/>
        <v>3312562.5109600001</v>
      </c>
      <c r="AB36" s="33">
        <f t="shared" si="44"/>
        <v>3113374.6649392</v>
      </c>
      <c r="AC36" s="39">
        <f t="shared" si="44"/>
        <v>3020756.0328797922</v>
      </c>
    </row>
    <row r="37" spans="2:29" ht="16">
      <c r="B37" t="s">
        <v>52</v>
      </c>
      <c r="C37" s="54" t="s">
        <v>212</v>
      </c>
      <c r="F37" s="62" t="s">
        <v>26</v>
      </c>
      <c r="G37" s="12">
        <f>G29*G36</f>
        <v>2394000</v>
      </c>
      <c r="H37" s="12">
        <f t="shared" ref="H37:L37" si="45">H29*H36</f>
        <v>2470095</v>
      </c>
      <c r="I37" s="12">
        <f t="shared" si="45"/>
        <v>2497540.5</v>
      </c>
      <c r="J37" s="12">
        <f t="shared" si="45"/>
        <v>2497540.5</v>
      </c>
      <c r="K37" s="12">
        <f t="shared" si="45"/>
        <v>2506731.4490399999</v>
      </c>
      <c r="L37" s="65">
        <f t="shared" si="45"/>
        <v>2531798.7635304001</v>
      </c>
      <c r="N37" s="38" t="s">
        <v>213</v>
      </c>
      <c r="O37" s="33">
        <f>C7</f>
        <v>920000</v>
      </c>
      <c r="P37" s="33">
        <v>0</v>
      </c>
      <c r="Q37" s="33">
        <v>0</v>
      </c>
      <c r="R37" s="33">
        <v>0</v>
      </c>
      <c r="S37" s="33">
        <v>0</v>
      </c>
      <c r="T37" s="39">
        <v>0</v>
      </c>
      <c r="W37" s="37" t="s">
        <v>161</v>
      </c>
      <c r="X37" s="34"/>
      <c r="Y37" s="34"/>
      <c r="Z37" s="34"/>
      <c r="AA37" s="34"/>
      <c r="AB37" s="34"/>
      <c r="AC37" s="40"/>
    </row>
    <row r="38" spans="2:29" ht="16">
      <c r="B38" t="s">
        <v>214</v>
      </c>
      <c r="C38" t="s">
        <v>215</v>
      </c>
      <c r="F38" s="64" t="s">
        <v>113</v>
      </c>
      <c r="G38" s="12">
        <f>1%*G29</f>
        <v>171000</v>
      </c>
      <c r="H38" s="12">
        <f t="shared" ref="H38:L38" si="46">1%*H29</f>
        <v>182970</v>
      </c>
      <c r="I38" s="12">
        <f t="shared" si="46"/>
        <v>192118.5</v>
      </c>
      <c r="J38" s="12">
        <f t="shared" si="46"/>
        <v>199803.24</v>
      </c>
      <c r="K38" s="12">
        <f t="shared" si="46"/>
        <v>203799.30480000001</v>
      </c>
      <c r="L38" s="65">
        <f t="shared" si="46"/>
        <v>205837.29784800002</v>
      </c>
      <c r="N38" s="37" t="s">
        <v>171</v>
      </c>
      <c r="O38" s="34"/>
      <c r="P38" s="34"/>
      <c r="Q38" s="34"/>
      <c r="R38" s="34"/>
      <c r="S38" s="34"/>
      <c r="T38" s="40"/>
      <c r="W38" s="38" t="s">
        <v>52</v>
      </c>
      <c r="X38" s="33">
        <f>X14</f>
        <v>712215.00000000012</v>
      </c>
      <c r="Y38" s="33">
        <f t="shared" ref="Y38:AC38" si="47">Y14</f>
        <v>755666.10000000009</v>
      </c>
      <c r="Z38" s="33">
        <f t="shared" si="47"/>
        <v>780001.1100000001</v>
      </c>
      <c r="AA38" s="33">
        <f t="shared" si="47"/>
        <v>811201.15440000012</v>
      </c>
      <c r="AB38" s="33">
        <f t="shared" si="47"/>
        <v>827425.17748800002</v>
      </c>
      <c r="AC38" s="33">
        <f t="shared" si="47"/>
        <v>835699.42926288012</v>
      </c>
    </row>
    <row r="39" spans="2:29" ht="16">
      <c r="F39" s="62" t="s">
        <v>15</v>
      </c>
      <c r="G39" s="12">
        <f>G33-(G35+G37+G38)</f>
        <v>34200</v>
      </c>
      <c r="H39" s="12">
        <f>H33-(H35+H37+H38)</f>
        <v>274455</v>
      </c>
      <c r="I39" s="12">
        <f t="shared" ref="I39:K39" si="48">I33-(I35+I37+I38)</f>
        <v>672414.75</v>
      </c>
      <c r="J39" s="12">
        <f t="shared" si="48"/>
        <v>859153.93200000003</v>
      </c>
      <c r="K39" s="12">
        <f t="shared" si="48"/>
        <v>957856.73256000131</v>
      </c>
      <c r="L39" s="65">
        <f>L33-(L35+L37+L38)</f>
        <v>967435.29988559987</v>
      </c>
      <c r="N39" s="38" t="s">
        <v>216</v>
      </c>
      <c r="O39" s="33">
        <f>2200000-180000</f>
        <v>2020000</v>
      </c>
      <c r="P39" s="33">
        <v>0</v>
      </c>
      <c r="Q39" s="33">
        <v>0</v>
      </c>
      <c r="R39" s="33">
        <v>0</v>
      </c>
      <c r="S39" s="33">
        <v>0</v>
      </c>
      <c r="T39" s="39">
        <v>0</v>
      </c>
      <c r="W39" s="38" t="s">
        <v>54</v>
      </c>
      <c r="X39" s="33">
        <f>X15</f>
        <v>324900</v>
      </c>
      <c r="Y39" s="33">
        <f t="shared" ref="Y39:AC39" si="49">Y15</f>
        <v>347643</v>
      </c>
      <c r="Z39" s="33">
        <f t="shared" si="49"/>
        <v>365025.14999999997</v>
      </c>
      <c r="AA39" s="33">
        <f t="shared" si="49"/>
        <v>379626.15600000002</v>
      </c>
      <c r="AB39" s="33">
        <f t="shared" si="49"/>
        <v>387218.67911999999</v>
      </c>
      <c r="AC39" s="33">
        <f t="shared" si="49"/>
        <v>391090.8659112</v>
      </c>
    </row>
    <row r="40" spans="2:29" ht="16">
      <c r="F40" s="64" t="s">
        <v>17</v>
      </c>
      <c r="G40" s="12">
        <v>420072</v>
      </c>
      <c r="H40" s="12">
        <v>402711</v>
      </c>
      <c r="I40" s="12">
        <v>326661</v>
      </c>
      <c r="J40" s="12">
        <v>311583</v>
      </c>
      <c r="K40" s="12">
        <v>262919</v>
      </c>
      <c r="L40" s="65">
        <v>125551</v>
      </c>
      <c r="N40" s="38" t="s">
        <v>217</v>
      </c>
      <c r="O40" s="33">
        <v>0</v>
      </c>
      <c r="P40" s="33">
        <v>-2200000</v>
      </c>
      <c r="Q40" s="33">
        <v>0</v>
      </c>
      <c r="R40" s="33">
        <v>0</v>
      </c>
      <c r="S40" s="33">
        <v>0</v>
      </c>
      <c r="T40" s="39">
        <v>0</v>
      </c>
      <c r="W40" s="38" t="s">
        <v>55</v>
      </c>
      <c r="X40" s="33">
        <v>45000</v>
      </c>
      <c r="Y40" s="33">
        <v>45000</v>
      </c>
      <c r="Z40" s="33">
        <v>45000</v>
      </c>
      <c r="AA40" s="33">
        <v>45000</v>
      </c>
      <c r="AB40" s="33">
        <v>45000</v>
      </c>
      <c r="AC40" s="39">
        <v>45000</v>
      </c>
    </row>
    <row r="41" spans="2:29" ht="16">
      <c r="F41" s="62" t="s">
        <v>114</v>
      </c>
      <c r="G41" s="12">
        <f t="shared" ref="G41:L41" si="50">G39-G40</f>
        <v>-385872</v>
      </c>
      <c r="H41" s="12">
        <f t="shared" si="50"/>
        <v>-128256</v>
      </c>
      <c r="I41" s="12">
        <f t="shared" si="50"/>
        <v>345753.75</v>
      </c>
      <c r="J41" s="12">
        <f t="shared" si="50"/>
        <v>547570.93200000003</v>
      </c>
      <c r="K41" s="12">
        <f t="shared" si="50"/>
        <v>694937.73256000131</v>
      </c>
      <c r="L41" s="65">
        <f t="shared" si="50"/>
        <v>841884.29988559987</v>
      </c>
      <c r="N41" s="38" t="s">
        <v>218</v>
      </c>
      <c r="O41" s="33">
        <f>-G42</f>
        <v>-625000</v>
      </c>
      <c r="P41" s="33">
        <f>-H42+138000</f>
        <v>-169500</v>
      </c>
      <c r="Q41" s="33">
        <f t="shared" ref="Q41:T41" si="51">-I42</f>
        <v>-170000</v>
      </c>
      <c r="R41" s="33">
        <f>-J42</f>
        <v>-170000</v>
      </c>
      <c r="S41" s="33">
        <f t="shared" si="51"/>
        <v>-170000</v>
      </c>
      <c r="T41" s="33">
        <f t="shared" si="51"/>
        <v>-170000</v>
      </c>
      <c r="W41" s="38" t="s">
        <v>219</v>
      </c>
      <c r="X41" s="33">
        <v>2200000</v>
      </c>
      <c r="Y41" s="33">
        <v>0</v>
      </c>
      <c r="Z41" s="33">
        <v>0</v>
      </c>
      <c r="AA41" s="33">
        <v>0</v>
      </c>
      <c r="AB41" s="33">
        <v>0</v>
      </c>
      <c r="AC41" s="39">
        <v>0</v>
      </c>
    </row>
    <row r="42" spans="2:29" ht="16">
      <c r="F42" s="64" t="s">
        <v>115</v>
      </c>
      <c r="G42" s="12">
        <f>G20+$C$30+180000</f>
        <v>625000</v>
      </c>
      <c r="H42" s="12">
        <f>H20+$D$30</f>
        <v>307500</v>
      </c>
      <c r="I42" s="12">
        <f>I20</f>
        <v>170000</v>
      </c>
      <c r="J42" s="12">
        <f>K20</f>
        <v>170000</v>
      </c>
      <c r="K42" s="12">
        <f>K20</f>
        <v>170000</v>
      </c>
      <c r="L42" s="12">
        <f>L20</f>
        <v>170000</v>
      </c>
      <c r="M42" t="s">
        <v>220</v>
      </c>
      <c r="N42" s="37" t="s">
        <v>180</v>
      </c>
      <c r="O42" s="33">
        <f t="shared" ref="O42:T42" si="52">O35-O37+SUM(O39:O41)</f>
        <v>395421.50000000012</v>
      </c>
      <c r="P42" s="33">
        <f t="shared" si="52"/>
        <v>-2204478.3899999997</v>
      </c>
      <c r="Q42" s="33">
        <f t="shared" si="52"/>
        <v>395414.86100000015</v>
      </c>
      <c r="R42" s="33">
        <f t="shared" si="52"/>
        <v>585274.04744000011</v>
      </c>
      <c r="S42" s="33">
        <f t="shared" si="52"/>
        <v>685599.25030880142</v>
      </c>
      <c r="T42" s="33">
        <f t="shared" si="52"/>
        <v>696005.24281188799</v>
      </c>
      <c r="W42" s="37" t="s">
        <v>56</v>
      </c>
      <c r="X42" s="33">
        <f>SUM(X38:X41)</f>
        <v>3282115</v>
      </c>
      <c r="Y42" s="33">
        <f t="shared" ref="Y42:AC42" si="53">SUM(Y38:Y41)</f>
        <v>1148309.1000000001</v>
      </c>
      <c r="Z42" s="33">
        <f t="shared" si="53"/>
        <v>1190026.26</v>
      </c>
      <c r="AA42" s="33">
        <f t="shared" si="53"/>
        <v>1235827.3104000001</v>
      </c>
      <c r="AB42" s="33">
        <f t="shared" si="53"/>
        <v>1259643.8566080001</v>
      </c>
      <c r="AC42" s="39">
        <f t="shared" si="53"/>
        <v>1271790.2951740802</v>
      </c>
    </row>
    <row r="43" spans="2:29" ht="16">
      <c r="F43" s="62" t="s">
        <v>116</v>
      </c>
      <c r="G43" s="12">
        <f t="shared" ref="G43:L43" si="54">G41-G42</f>
        <v>-1010872</v>
      </c>
      <c r="H43" s="12">
        <f t="shared" si="54"/>
        <v>-435756</v>
      </c>
      <c r="I43" s="12">
        <f t="shared" si="54"/>
        <v>175753.75</v>
      </c>
      <c r="J43" s="12">
        <f t="shared" si="54"/>
        <v>377570.93200000003</v>
      </c>
      <c r="K43" s="12">
        <f t="shared" si="54"/>
        <v>524937.73256000131</v>
      </c>
      <c r="L43" s="65">
        <f t="shared" si="54"/>
        <v>671884.29988559987</v>
      </c>
      <c r="N43" s="37" t="s">
        <v>221</v>
      </c>
      <c r="O43" s="33">
        <v>991610</v>
      </c>
      <c r="P43" s="33">
        <f>O44</f>
        <v>1387031.5</v>
      </c>
      <c r="Q43" s="33">
        <f t="shared" ref="Q43:T43" si="55">P44</f>
        <v>-817446.88999999966</v>
      </c>
      <c r="R43" s="33">
        <f t="shared" si="55"/>
        <v>-422032.02899999951</v>
      </c>
      <c r="S43" s="33">
        <f t="shared" si="55"/>
        <v>163242.0184400006</v>
      </c>
      <c r="T43" s="33">
        <f t="shared" si="55"/>
        <v>848841.26874880202</v>
      </c>
      <c r="W43" s="38" t="s">
        <v>222</v>
      </c>
      <c r="X43" s="33">
        <f>7019863-5000000</f>
        <v>2019863</v>
      </c>
      <c r="Y43" s="33">
        <f t="shared" ref="Y43:AC43" si="56">7019863-5000000</f>
        <v>2019863</v>
      </c>
      <c r="Z43" s="33">
        <f t="shared" si="56"/>
        <v>2019863</v>
      </c>
      <c r="AA43" s="33">
        <f t="shared" si="56"/>
        <v>2019863</v>
      </c>
      <c r="AB43" s="33">
        <f t="shared" si="56"/>
        <v>2019863</v>
      </c>
      <c r="AC43" s="33">
        <f t="shared" si="56"/>
        <v>2019863</v>
      </c>
    </row>
    <row r="44" spans="2:29" ht="16">
      <c r="F44" s="64" t="s">
        <v>117</v>
      </c>
      <c r="G44" s="12">
        <v>15000</v>
      </c>
      <c r="H44" s="12">
        <v>15000</v>
      </c>
      <c r="I44" s="12">
        <f>Table6[[#This Row],[2020]]</f>
        <v>15000</v>
      </c>
      <c r="J44" s="12">
        <f>Table6[[#This Row],[2021]]</f>
        <v>15000</v>
      </c>
      <c r="K44" s="12">
        <f>Table6[[#This Row],[2022]]</f>
        <v>15000</v>
      </c>
      <c r="L44" s="12">
        <f>Table6[[#This Row],[2023]]</f>
        <v>15000</v>
      </c>
      <c r="N44" s="44" t="s">
        <v>188</v>
      </c>
      <c r="O44" s="45">
        <f>O42+O43</f>
        <v>1387031.5</v>
      </c>
      <c r="P44" s="45">
        <f t="shared" ref="P44:T44" si="57">P42+P43</f>
        <v>-817446.88999999966</v>
      </c>
      <c r="Q44" s="45">
        <f t="shared" si="57"/>
        <v>-422032.02899999951</v>
      </c>
      <c r="R44" s="45">
        <f t="shared" si="57"/>
        <v>163242.0184400006</v>
      </c>
      <c r="S44" s="45">
        <f t="shared" si="57"/>
        <v>848841.26874880202</v>
      </c>
      <c r="T44" s="45">
        <f t="shared" si="57"/>
        <v>1544846.5115606901</v>
      </c>
      <c r="W44" s="37" t="s">
        <v>59</v>
      </c>
      <c r="X44" s="33">
        <f>SUM(X42:X43)</f>
        <v>5301978</v>
      </c>
      <c r="Y44" s="33">
        <f t="shared" ref="Y44:AC44" si="58">SUM(Y42:Y43)</f>
        <v>3168172.1</v>
      </c>
      <c r="Z44" s="33">
        <f t="shared" si="58"/>
        <v>3209889.26</v>
      </c>
      <c r="AA44" s="33">
        <f t="shared" si="58"/>
        <v>3255690.3103999998</v>
      </c>
      <c r="AB44" s="33">
        <f t="shared" si="58"/>
        <v>3279506.8566080001</v>
      </c>
      <c r="AC44" s="39">
        <f t="shared" si="58"/>
        <v>3291653.2951740799</v>
      </c>
    </row>
    <row r="45" spans="2:29" ht="16">
      <c r="F45" s="72" t="s">
        <v>118</v>
      </c>
      <c r="G45" s="73">
        <f t="shared" ref="G45:L45" si="59">G43-G44</f>
        <v>-1025872</v>
      </c>
      <c r="H45" s="73">
        <f t="shared" si="59"/>
        <v>-450756</v>
      </c>
      <c r="I45" s="73">
        <f t="shared" si="59"/>
        <v>160753.75</v>
      </c>
      <c r="J45" s="73">
        <f t="shared" si="59"/>
        <v>362570.93200000003</v>
      </c>
      <c r="K45" s="73">
        <f t="shared" si="59"/>
        <v>509937.73256000131</v>
      </c>
      <c r="L45" s="74">
        <f t="shared" si="59"/>
        <v>656884.29988559987</v>
      </c>
      <c r="W45" s="37" t="s">
        <v>185</v>
      </c>
      <c r="X45" s="34"/>
      <c r="Y45" s="34"/>
      <c r="Z45" s="34"/>
      <c r="AA45" s="34"/>
      <c r="AB45" s="34"/>
      <c r="AC45" s="40"/>
    </row>
    <row r="46" spans="2:29">
      <c r="W46" s="38" t="s">
        <v>223</v>
      </c>
      <c r="X46" s="33">
        <f>9173230+5000000</f>
        <v>14173230</v>
      </c>
      <c r="Y46" s="33">
        <f t="shared" ref="Y46:AC46" si="60">9173230+5000000</f>
        <v>14173230</v>
      </c>
      <c r="Z46" s="33">
        <f t="shared" si="60"/>
        <v>14173230</v>
      </c>
      <c r="AA46" s="33">
        <f t="shared" si="60"/>
        <v>14173230</v>
      </c>
      <c r="AB46" s="33">
        <f t="shared" si="60"/>
        <v>14173230</v>
      </c>
      <c r="AC46" s="33">
        <f t="shared" si="60"/>
        <v>14173230</v>
      </c>
    </row>
    <row r="47" spans="2:29">
      <c r="W47" s="38" t="s">
        <v>61</v>
      </c>
      <c r="X47" s="33">
        <f>' Green Zebra Historic Data'!E38 + '1-Store Portland Expansion'!G45</f>
        <v>-11622562</v>
      </c>
      <c r="Y47" s="33">
        <f xml:space="preserve"> X47 + '1-Store Portland Expansion'!H45</f>
        <v>-12073318</v>
      </c>
      <c r="Z47" s="33">
        <f xml:space="preserve"> Y47 + '1-Store Portland Expansion'!I45</f>
        <v>-11912564.25</v>
      </c>
      <c r="AA47" s="33">
        <f xml:space="preserve"> Z47 + '1-Store Portland Expansion'!J45</f>
        <v>-11549993.318</v>
      </c>
      <c r="AB47" s="33">
        <f xml:space="preserve"> AA47 + '1-Store Portland Expansion'!K45</f>
        <v>-11040055.585439999</v>
      </c>
      <c r="AC47" s="39">
        <f xml:space="preserve"> AB47 + '1-Store Portland Expansion'!L45</f>
        <v>-10383171.285554398</v>
      </c>
    </row>
    <row r="48" spans="2:29">
      <c r="W48" s="38" t="s">
        <v>63</v>
      </c>
      <c r="X48" s="33">
        <f>G45</f>
        <v>-1025872</v>
      </c>
      <c r="Y48" s="33">
        <f t="shared" ref="Y48:AC48" si="61">H45</f>
        <v>-450756</v>
      </c>
      <c r="Z48" s="33">
        <f t="shared" si="61"/>
        <v>160753.75</v>
      </c>
      <c r="AA48" s="33">
        <f t="shared" si="61"/>
        <v>362570.93200000003</v>
      </c>
      <c r="AB48" s="33">
        <f t="shared" si="61"/>
        <v>509937.73256000131</v>
      </c>
      <c r="AC48" s="39">
        <f t="shared" si="61"/>
        <v>656884.29988559987</v>
      </c>
    </row>
    <row r="49" spans="6:29" ht="16">
      <c r="W49" s="59" t="s">
        <v>196</v>
      </c>
      <c r="X49" s="33">
        <f>X46+X47+X48</f>
        <v>1524796</v>
      </c>
      <c r="Y49" s="33">
        <f t="shared" ref="Y49:AC49" si="62">Y46+Y47+Y48</f>
        <v>1649156</v>
      </c>
      <c r="Z49" s="33">
        <f t="shared" si="62"/>
        <v>2421419.5</v>
      </c>
      <c r="AA49" s="33">
        <f t="shared" si="62"/>
        <v>2985807.6140000001</v>
      </c>
      <c r="AB49" s="33">
        <f t="shared" si="62"/>
        <v>3643112.1471200027</v>
      </c>
      <c r="AC49" s="39">
        <f t="shared" si="62"/>
        <v>4446943.014331202</v>
      </c>
    </row>
    <row r="50" spans="6:29" ht="16">
      <c r="W50" s="60" t="s">
        <v>197</v>
      </c>
      <c r="X50" s="45">
        <f>X44+X49</f>
        <v>6826774</v>
      </c>
      <c r="Y50" s="45">
        <f t="shared" ref="Y50:AC50" si="63">Y44+Y49</f>
        <v>4817328.0999999996</v>
      </c>
      <c r="Z50" s="45">
        <f t="shared" si="63"/>
        <v>5631308.7599999998</v>
      </c>
      <c r="AA50" s="45">
        <f t="shared" si="63"/>
        <v>6241497.9243999999</v>
      </c>
      <c r="AB50" s="45">
        <f t="shared" si="63"/>
        <v>6922619.0037280023</v>
      </c>
      <c r="AC50" s="61">
        <f t="shared" si="63"/>
        <v>7738596.309505282</v>
      </c>
    </row>
    <row r="51" spans="6:29">
      <c r="W51" s="101" t="s">
        <v>201</v>
      </c>
      <c r="X51" s="45">
        <f>X50-X36</f>
        <v>2621080.5</v>
      </c>
      <c r="Y51" s="45">
        <f t="shared" ref="Y51:AC51" si="64">Y50-Y36</f>
        <v>946847.6099999994</v>
      </c>
      <c r="Z51" s="45">
        <f t="shared" si="64"/>
        <v>2060953.9609999997</v>
      </c>
      <c r="AA51" s="45">
        <f t="shared" si="64"/>
        <v>2928935.4134399998</v>
      </c>
      <c r="AB51" s="45">
        <f t="shared" si="64"/>
        <v>3809244.3387888023</v>
      </c>
      <c r="AC51" s="45">
        <f t="shared" si="64"/>
        <v>4717840.2766254898</v>
      </c>
    </row>
    <row r="53" spans="6:29" ht="26">
      <c r="F53" s="16" t="s">
        <v>224</v>
      </c>
      <c r="N53" s="48" t="s">
        <v>225</v>
      </c>
      <c r="X53" s="36"/>
    </row>
    <row r="55" spans="6:29" ht="16">
      <c r="F55" s="69" t="s">
        <v>100</v>
      </c>
      <c r="G55" s="70" t="s">
        <v>101</v>
      </c>
      <c r="H55" s="70" t="s">
        <v>102</v>
      </c>
      <c r="I55" s="70" t="s">
        <v>103</v>
      </c>
      <c r="J55" s="70" t="s">
        <v>104</v>
      </c>
      <c r="K55" s="70" t="s">
        <v>105</v>
      </c>
      <c r="L55" s="71" t="s">
        <v>106</v>
      </c>
      <c r="N55" s="41" t="s">
        <v>2</v>
      </c>
      <c r="O55" s="42" t="s">
        <v>101</v>
      </c>
      <c r="P55" s="42" t="s">
        <v>102</v>
      </c>
      <c r="Q55" s="42" t="s">
        <v>103</v>
      </c>
      <c r="R55" s="42" t="s">
        <v>104</v>
      </c>
      <c r="S55" s="42" t="s">
        <v>105</v>
      </c>
      <c r="T55" s="43" t="s">
        <v>106</v>
      </c>
      <c r="W55" s="41" t="s">
        <v>2</v>
      </c>
      <c r="X55" s="42" t="s">
        <v>101</v>
      </c>
      <c r="Y55" s="42" t="s">
        <v>102</v>
      </c>
      <c r="Z55" s="42" t="s">
        <v>103</v>
      </c>
      <c r="AA55" s="42" t="s">
        <v>104</v>
      </c>
      <c r="AB55" s="42" t="s">
        <v>105</v>
      </c>
      <c r="AC55" s="43" t="s">
        <v>106</v>
      </c>
    </row>
    <row r="56" spans="6:29" ht="16">
      <c r="F56" s="62" t="s">
        <v>8</v>
      </c>
      <c r="G56" s="12">
        <f>G29</f>
        <v>17100000</v>
      </c>
      <c r="H56" s="12">
        <f t="shared" ref="H56:L56" si="65">H29</f>
        <v>18297000</v>
      </c>
      <c r="I56" s="12">
        <f t="shared" si="65"/>
        <v>19211850</v>
      </c>
      <c r="J56" s="12">
        <f t="shared" si="65"/>
        <v>19980324</v>
      </c>
      <c r="K56" s="12">
        <f t="shared" si="65"/>
        <v>20379930.48</v>
      </c>
      <c r="L56" s="12">
        <f t="shared" si="65"/>
        <v>20583729.7848</v>
      </c>
      <c r="N56" s="37" t="s">
        <v>118</v>
      </c>
      <c r="O56" s="33">
        <f t="shared" ref="O56:T56" si="66">G72</f>
        <v>-685872</v>
      </c>
      <c r="P56" s="33">
        <f t="shared" si="66"/>
        <v>-428256</v>
      </c>
      <c r="Q56" s="33">
        <f t="shared" si="66"/>
        <v>45753.75</v>
      </c>
      <c r="R56" s="33">
        <f t="shared" si="66"/>
        <v>247570.93200000003</v>
      </c>
      <c r="S56" s="33">
        <f t="shared" si="66"/>
        <v>394937.73256000131</v>
      </c>
      <c r="T56" s="33">
        <f t="shared" si="66"/>
        <v>541884.29988559987</v>
      </c>
      <c r="W56" s="37" t="s">
        <v>34</v>
      </c>
      <c r="X56" s="34"/>
      <c r="Y56" s="34"/>
      <c r="Z56" s="34"/>
      <c r="AA56" s="34"/>
      <c r="AB56" s="34"/>
      <c r="AC56" s="40"/>
    </row>
    <row r="57" spans="6:29">
      <c r="F57" s="63" t="s">
        <v>107</v>
      </c>
      <c r="G57" s="2" t="s">
        <v>108</v>
      </c>
      <c r="H57" s="5">
        <f>H30</f>
        <v>7.0000000000000007E-2</v>
      </c>
      <c r="I57" s="5">
        <f t="shared" ref="I57:L57" si="67">I30</f>
        <v>0.05</v>
      </c>
      <c r="J57" s="5">
        <f t="shared" si="67"/>
        <v>0.04</v>
      </c>
      <c r="K57" s="5">
        <f t="shared" si="67"/>
        <v>0.02</v>
      </c>
      <c r="L57" s="5">
        <f t="shared" si="67"/>
        <v>0.01</v>
      </c>
      <c r="N57" s="37" t="s">
        <v>145</v>
      </c>
      <c r="O57" s="34"/>
      <c r="P57" s="34"/>
      <c r="Q57" s="34"/>
      <c r="R57" s="34"/>
      <c r="S57" s="34"/>
      <c r="T57" s="40"/>
      <c r="W57" s="38" t="s">
        <v>204</v>
      </c>
      <c r="X57" s="33">
        <f>X31</f>
        <v>342000</v>
      </c>
      <c r="Y57" s="33">
        <f t="shared" ref="Y57:AC57" si="68">Y31</f>
        <v>365940</v>
      </c>
      <c r="Z57" s="33">
        <f t="shared" si="68"/>
        <v>384237</v>
      </c>
      <c r="AA57" s="33">
        <f t="shared" si="68"/>
        <v>399606.48</v>
      </c>
      <c r="AB57" s="33">
        <f t="shared" si="68"/>
        <v>407598.60960000003</v>
      </c>
      <c r="AC57" s="33">
        <f t="shared" si="68"/>
        <v>411674.59569600003</v>
      </c>
    </row>
    <row r="58" spans="6:29" ht="16">
      <c r="F58" s="64" t="s">
        <v>109</v>
      </c>
      <c r="G58" s="13">
        <v>0.59499999999999997</v>
      </c>
      <c r="H58" s="13">
        <v>0.59</v>
      </c>
      <c r="I58" s="13">
        <v>0.57999999999999996</v>
      </c>
      <c r="J58" s="13">
        <v>0.57999999999999996</v>
      </c>
      <c r="K58" s="13">
        <v>0.57999999999999996</v>
      </c>
      <c r="L58" s="67">
        <v>0.57999999999999996</v>
      </c>
      <c r="N58" s="38" t="s">
        <v>203</v>
      </c>
      <c r="O58" s="33">
        <f t="shared" ref="O58:T58" si="69">G67</f>
        <v>420072</v>
      </c>
      <c r="P58" s="33">
        <f t="shared" si="69"/>
        <v>402711</v>
      </c>
      <c r="Q58" s="33">
        <f t="shared" si="69"/>
        <v>326661</v>
      </c>
      <c r="R58" s="33">
        <f t="shared" si="69"/>
        <v>311583</v>
      </c>
      <c r="S58" s="33">
        <f t="shared" si="69"/>
        <v>262919</v>
      </c>
      <c r="T58" s="33">
        <f t="shared" si="69"/>
        <v>125551</v>
      </c>
      <c r="W58" s="38" t="s">
        <v>40</v>
      </c>
      <c r="X58" s="33">
        <f t="shared" ref="X58:AC59" si="70">X32</f>
        <v>640993.5</v>
      </c>
      <c r="Y58" s="33">
        <f t="shared" si="70"/>
        <v>680099.49</v>
      </c>
      <c r="Z58" s="33">
        <f t="shared" si="70"/>
        <v>702000.99899999995</v>
      </c>
      <c r="AA58" s="33">
        <f t="shared" si="70"/>
        <v>730081.03896000003</v>
      </c>
      <c r="AB58" s="33">
        <f t="shared" si="70"/>
        <v>744682.65973919991</v>
      </c>
      <c r="AC58" s="33">
        <f t="shared" si="70"/>
        <v>752129.486336592</v>
      </c>
    </row>
    <row r="59" spans="6:29" ht="16">
      <c r="F59" s="62" t="s">
        <v>110</v>
      </c>
      <c r="G59" s="12">
        <f t="shared" ref="G59:L59" si="71">G56*G58</f>
        <v>10174500</v>
      </c>
      <c r="H59" s="12">
        <f t="shared" si="71"/>
        <v>10795230</v>
      </c>
      <c r="I59" s="12">
        <f t="shared" si="71"/>
        <v>11142873</v>
      </c>
      <c r="J59" s="12">
        <f t="shared" si="71"/>
        <v>11588587.92</v>
      </c>
      <c r="K59" s="12">
        <f t="shared" si="71"/>
        <v>11820359.678399999</v>
      </c>
      <c r="L59" s="65">
        <f t="shared" si="71"/>
        <v>11938563.275184</v>
      </c>
      <c r="N59" s="37" t="s">
        <v>150</v>
      </c>
      <c r="O59" s="34"/>
      <c r="P59" s="34"/>
      <c r="Q59" s="34"/>
      <c r="R59" s="34"/>
      <c r="S59" s="34"/>
      <c r="T59" s="40"/>
      <c r="W59" s="38" t="s">
        <v>205</v>
      </c>
      <c r="X59" s="33">
        <f t="shared" si="70"/>
        <v>25000</v>
      </c>
      <c r="Y59" s="33">
        <f t="shared" si="70"/>
        <v>25000</v>
      </c>
      <c r="Z59" s="33">
        <f t="shared" si="70"/>
        <v>25000</v>
      </c>
      <c r="AA59" s="33">
        <f t="shared" si="70"/>
        <v>25000</v>
      </c>
      <c r="AB59" s="33">
        <f t="shared" si="70"/>
        <v>25000</v>
      </c>
      <c r="AC59" s="33">
        <f t="shared" si="70"/>
        <v>25000</v>
      </c>
    </row>
    <row r="60" spans="6:29" ht="16">
      <c r="F60" s="62" t="s">
        <v>10</v>
      </c>
      <c r="G60" s="12">
        <f t="shared" ref="G60:L60" si="72">G56-(G56*G58)</f>
        <v>6925500</v>
      </c>
      <c r="H60" s="12">
        <f t="shared" si="72"/>
        <v>7501770</v>
      </c>
      <c r="I60" s="12">
        <f t="shared" si="72"/>
        <v>8068977</v>
      </c>
      <c r="J60" s="12">
        <f t="shared" si="72"/>
        <v>8391736.0800000001</v>
      </c>
      <c r="K60" s="12">
        <f t="shared" si="72"/>
        <v>8559570.8016000018</v>
      </c>
      <c r="L60" s="65">
        <f t="shared" si="72"/>
        <v>8645166.5096160006</v>
      </c>
      <c r="N60" s="38" t="s">
        <v>152</v>
      </c>
      <c r="O60" s="33">
        <f t="shared" ref="O60:T61" si="73">O11</f>
        <v>640993.5</v>
      </c>
      <c r="P60" s="33">
        <f t="shared" si="73"/>
        <v>680099.49</v>
      </c>
      <c r="Q60" s="33">
        <f t="shared" si="73"/>
        <v>702000.99899999995</v>
      </c>
      <c r="R60" s="33">
        <f t="shared" si="73"/>
        <v>730081.03896000003</v>
      </c>
      <c r="S60" s="33">
        <f t="shared" si="73"/>
        <v>744682.65973919991</v>
      </c>
      <c r="T60" s="33">
        <f t="shared" si="73"/>
        <v>752129.486336592</v>
      </c>
      <c r="W60" s="37" t="s">
        <v>43</v>
      </c>
      <c r="X60" s="33">
        <f>SUM(X57:X59)</f>
        <v>1007993.5</v>
      </c>
      <c r="Y60" s="33">
        <f t="shared" ref="Y60:AC60" si="74">SUM(Y57:Y59)</f>
        <v>1071039.49</v>
      </c>
      <c r="Z60" s="33">
        <f t="shared" si="74"/>
        <v>1111237.9989999998</v>
      </c>
      <c r="AA60" s="33">
        <f t="shared" si="74"/>
        <v>1154687.51896</v>
      </c>
      <c r="AB60" s="33">
        <f t="shared" si="74"/>
        <v>1177281.2693391999</v>
      </c>
      <c r="AC60" s="39">
        <f t="shared" si="74"/>
        <v>1188804.082032592</v>
      </c>
    </row>
    <row r="61" spans="6:29" ht="16">
      <c r="F61" s="64" t="s">
        <v>111</v>
      </c>
      <c r="G61" s="13">
        <v>0.253</v>
      </c>
      <c r="H61" s="14">
        <v>0.25</v>
      </c>
      <c r="I61" s="13">
        <v>0.245</v>
      </c>
      <c r="J61" s="13">
        <v>0.24199999999999999</v>
      </c>
      <c r="K61" s="14">
        <v>0.24</v>
      </c>
      <c r="L61" s="68">
        <v>0.24</v>
      </c>
      <c r="N61" s="38" t="s">
        <v>207</v>
      </c>
      <c r="O61" s="33">
        <f t="shared" si="73"/>
        <v>712215.00000000012</v>
      </c>
      <c r="P61" s="33">
        <f t="shared" si="73"/>
        <v>755666.10000000009</v>
      </c>
      <c r="Q61" s="33">
        <f t="shared" si="73"/>
        <v>780001.1100000001</v>
      </c>
      <c r="R61" s="33">
        <f t="shared" si="73"/>
        <v>811201.15440000012</v>
      </c>
      <c r="S61" s="33">
        <f t="shared" si="73"/>
        <v>827425.17748800002</v>
      </c>
      <c r="T61" s="33">
        <f t="shared" si="73"/>
        <v>835699.42926288012</v>
      </c>
      <c r="W61" s="38" t="s">
        <v>210</v>
      </c>
      <c r="X61" s="33">
        <f>X35</f>
        <v>3197700</v>
      </c>
      <c r="Y61" s="33">
        <f t="shared" ref="Y61:AC61" si="75">Y35</f>
        <v>2799441</v>
      </c>
      <c r="Z61" s="33">
        <f t="shared" si="75"/>
        <v>2459116.8000000003</v>
      </c>
      <c r="AA61" s="33">
        <f t="shared" si="75"/>
        <v>2157874.9920000001</v>
      </c>
      <c r="AB61" s="33">
        <f t="shared" si="75"/>
        <v>1936093.3956000002</v>
      </c>
      <c r="AC61" s="33">
        <f t="shared" si="75"/>
        <v>1831951.9508471999</v>
      </c>
    </row>
    <row r="62" spans="6:29" ht="16">
      <c r="F62" s="62" t="s">
        <v>21</v>
      </c>
      <c r="G62" s="12">
        <f t="shared" ref="G62:L62" si="76">G56*G61</f>
        <v>4326300</v>
      </c>
      <c r="H62" s="12">
        <f t="shared" si="76"/>
        <v>4574250</v>
      </c>
      <c r="I62" s="12">
        <f t="shared" si="76"/>
        <v>4706903.25</v>
      </c>
      <c r="J62" s="12">
        <f t="shared" si="76"/>
        <v>4835238.4079999998</v>
      </c>
      <c r="K62" s="12">
        <f t="shared" si="76"/>
        <v>4891183.3152000001</v>
      </c>
      <c r="L62" s="65">
        <f t="shared" si="76"/>
        <v>4940095.1483519999</v>
      </c>
      <c r="N62" s="37" t="s">
        <v>160</v>
      </c>
      <c r="O62" s="33">
        <f t="shared" ref="O62:T62" si="77">O56+O58-O60+O61</f>
        <v>-194578.49999999988</v>
      </c>
      <c r="P62" s="33">
        <f t="shared" si="77"/>
        <v>50021.610000000102</v>
      </c>
      <c r="Q62" s="33">
        <f t="shared" si="77"/>
        <v>450414.86100000015</v>
      </c>
      <c r="R62" s="33">
        <f t="shared" si="77"/>
        <v>640274.04744000011</v>
      </c>
      <c r="S62" s="33">
        <f t="shared" si="77"/>
        <v>740599.25030880142</v>
      </c>
      <c r="T62" s="39">
        <f t="shared" si="77"/>
        <v>751005.24281188799</v>
      </c>
      <c r="W62" s="37" t="s">
        <v>46</v>
      </c>
      <c r="X62" s="33">
        <f>X60+X61</f>
        <v>4205693.5</v>
      </c>
      <c r="Y62" s="33">
        <f>Y60+Y61</f>
        <v>3870480.49</v>
      </c>
      <c r="Z62" s="33">
        <f t="shared" ref="Z62:AC62" si="78">Z60+Z61</f>
        <v>3570354.7990000001</v>
      </c>
      <c r="AA62" s="33">
        <f t="shared" si="78"/>
        <v>3312562.5109600001</v>
      </c>
      <c r="AB62" s="33">
        <f t="shared" si="78"/>
        <v>3113374.6649392</v>
      </c>
      <c r="AC62" s="39">
        <f t="shared" si="78"/>
        <v>3020756.0328797922</v>
      </c>
    </row>
    <row r="63" spans="6:29" ht="16">
      <c r="F63" s="64" t="s">
        <v>112</v>
      </c>
      <c r="G63" s="14">
        <v>0.14000000000000001</v>
      </c>
      <c r="H63" s="13">
        <v>0.13500000000000001</v>
      </c>
      <c r="I63" s="14">
        <v>0.13</v>
      </c>
      <c r="J63" s="13">
        <v>0.125</v>
      </c>
      <c r="K63" s="13">
        <v>0.123</v>
      </c>
      <c r="L63" s="67">
        <v>0.123</v>
      </c>
      <c r="N63" s="37" t="s">
        <v>164</v>
      </c>
      <c r="O63" s="34"/>
      <c r="P63" s="34"/>
      <c r="Q63" s="34"/>
      <c r="R63" s="34"/>
      <c r="S63" s="34"/>
      <c r="T63" s="40"/>
      <c r="W63" s="37" t="s">
        <v>161</v>
      </c>
      <c r="X63" s="34"/>
      <c r="Y63" s="34"/>
      <c r="Z63" s="34"/>
      <c r="AA63" s="34"/>
      <c r="AB63" s="34"/>
      <c r="AC63" s="40"/>
    </row>
    <row r="64" spans="6:29" ht="16">
      <c r="F64" s="62" t="s">
        <v>26</v>
      </c>
      <c r="G64" s="12">
        <f t="shared" ref="G64:L64" si="79">G56*G63</f>
        <v>2394000</v>
      </c>
      <c r="H64" s="12">
        <f t="shared" si="79"/>
        <v>2470095</v>
      </c>
      <c r="I64" s="12">
        <f t="shared" si="79"/>
        <v>2497540.5</v>
      </c>
      <c r="J64" s="12">
        <f t="shared" si="79"/>
        <v>2497540.5</v>
      </c>
      <c r="K64" s="12">
        <f t="shared" si="79"/>
        <v>2506731.4490399999</v>
      </c>
      <c r="L64" s="65">
        <f t="shared" si="79"/>
        <v>2531798.7635304001</v>
      </c>
      <c r="N64" s="38" t="s">
        <v>213</v>
      </c>
      <c r="O64" s="33">
        <f t="shared" ref="O64:T64" si="80">O37</f>
        <v>920000</v>
      </c>
      <c r="P64" s="33">
        <f t="shared" si="80"/>
        <v>0</v>
      </c>
      <c r="Q64" s="33">
        <f t="shared" si="80"/>
        <v>0</v>
      </c>
      <c r="R64" s="33">
        <f t="shared" si="80"/>
        <v>0</v>
      </c>
      <c r="S64" s="33">
        <f t="shared" si="80"/>
        <v>0</v>
      </c>
      <c r="T64" s="33">
        <f t="shared" si="80"/>
        <v>0</v>
      </c>
      <c r="W64" s="38" t="s">
        <v>52</v>
      </c>
      <c r="X64" s="33">
        <f>X38</f>
        <v>712215.00000000012</v>
      </c>
      <c r="Y64" s="33">
        <f t="shared" ref="Y64:AC64" si="81">Y38</f>
        <v>755666.10000000009</v>
      </c>
      <c r="Z64" s="33">
        <f t="shared" si="81"/>
        <v>780001.1100000001</v>
      </c>
      <c r="AA64" s="33">
        <f t="shared" si="81"/>
        <v>811201.15440000012</v>
      </c>
      <c r="AB64" s="33">
        <f t="shared" si="81"/>
        <v>827425.17748800002</v>
      </c>
      <c r="AC64" s="33">
        <f t="shared" si="81"/>
        <v>835699.42926288012</v>
      </c>
    </row>
    <row r="65" spans="6:29" ht="16">
      <c r="F65" s="64" t="s">
        <v>113</v>
      </c>
      <c r="G65" s="12">
        <f t="shared" ref="G65:L65" si="82">1%*G56</f>
        <v>171000</v>
      </c>
      <c r="H65" s="12">
        <f t="shared" si="82"/>
        <v>182970</v>
      </c>
      <c r="I65" s="12">
        <f t="shared" si="82"/>
        <v>192118.5</v>
      </c>
      <c r="J65" s="12">
        <f t="shared" si="82"/>
        <v>199803.24</v>
      </c>
      <c r="K65" s="12">
        <f t="shared" si="82"/>
        <v>203799.30480000001</v>
      </c>
      <c r="L65" s="65">
        <f t="shared" si="82"/>
        <v>205837.29784800002</v>
      </c>
      <c r="N65" s="37" t="s">
        <v>171</v>
      </c>
      <c r="O65" s="34"/>
      <c r="P65" s="34"/>
      <c r="Q65" s="34"/>
      <c r="R65" s="34"/>
      <c r="S65" s="34"/>
      <c r="T65" s="40"/>
      <c r="W65" s="38" t="s">
        <v>54</v>
      </c>
      <c r="X65" s="33">
        <f>X39</f>
        <v>324900</v>
      </c>
      <c r="Y65" s="33">
        <f t="shared" ref="Y65:AC65" si="83">Y39</f>
        <v>347643</v>
      </c>
      <c r="Z65" s="33">
        <f t="shared" si="83"/>
        <v>365025.14999999997</v>
      </c>
      <c r="AA65" s="33">
        <f t="shared" si="83"/>
        <v>379626.15600000002</v>
      </c>
      <c r="AB65" s="33">
        <f t="shared" si="83"/>
        <v>387218.67911999999</v>
      </c>
      <c r="AC65" s="33">
        <f t="shared" si="83"/>
        <v>391090.8659112</v>
      </c>
    </row>
    <row r="66" spans="6:29" ht="16">
      <c r="F66" s="62" t="s">
        <v>15</v>
      </c>
      <c r="G66" s="12">
        <f>G60-(G62+G64+G65)</f>
        <v>34200</v>
      </c>
      <c r="H66" s="12">
        <f t="shared" ref="H66:L66" si="84">H60-(H62+H64+H65)</f>
        <v>274455</v>
      </c>
      <c r="I66" s="12">
        <f t="shared" si="84"/>
        <v>672414.75</v>
      </c>
      <c r="J66" s="12">
        <f t="shared" si="84"/>
        <v>859153.93200000003</v>
      </c>
      <c r="K66" s="12">
        <f t="shared" si="84"/>
        <v>957856.73256000131</v>
      </c>
      <c r="L66" s="12">
        <f t="shared" si="84"/>
        <v>967435.29988559987</v>
      </c>
      <c r="N66" s="46" t="s">
        <v>226</v>
      </c>
      <c r="O66" s="33">
        <v>12000000</v>
      </c>
      <c r="P66" s="33">
        <v>0</v>
      </c>
      <c r="Q66" s="33">
        <v>0</v>
      </c>
      <c r="R66" s="33">
        <v>0</v>
      </c>
      <c r="S66" s="33">
        <v>0</v>
      </c>
      <c r="T66" s="39">
        <v>0</v>
      </c>
      <c r="W66" s="38" t="s">
        <v>55</v>
      </c>
      <c r="X66" s="33">
        <v>45000</v>
      </c>
      <c r="Y66" s="33">
        <v>45000</v>
      </c>
      <c r="Z66" s="33">
        <v>45000</v>
      </c>
      <c r="AA66" s="33">
        <v>45000</v>
      </c>
      <c r="AB66" s="33">
        <v>45000</v>
      </c>
      <c r="AC66" s="39">
        <v>45000</v>
      </c>
    </row>
    <row r="67" spans="6:29" ht="16">
      <c r="F67" s="64" t="s">
        <v>17</v>
      </c>
      <c r="G67" s="12">
        <v>420072</v>
      </c>
      <c r="H67" s="12">
        <v>402711</v>
      </c>
      <c r="I67" s="12">
        <v>326661</v>
      </c>
      <c r="J67" s="12">
        <v>311583</v>
      </c>
      <c r="K67" s="12">
        <v>262919</v>
      </c>
      <c r="L67" s="65">
        <v>125551</v>
      </c>
      <c r="N67" s="38" t="s">
        <v>217</v>
      </c>
      <c r="O67" s="33">
        <v>0</v>
      </c>
      <c r="P67" s="33">
        <v>0</v>
      </c>
      <c r="Q67" s="33">
        <v>0</v>
      </c>
      <c r="R67" s="33">
        <v>0</v>
      </c>
      <c r="S67" s="33">
        <v>0</v>
      </c>
      <c r="T67" s="39">
        <v>0</v>
      </c>
      <c r="W67" s="38" t="s">
        <v>219</v>
      </c>
      <c r="X67" s="33">
        <v>2200000</v>
      </c>
      <c r="Y67" s="33">
        <v>0</v>
      </c>
      <c r="Z67" s="33">
        <v>0</v>
      </c>
      <c r="AA67" s="33">
        <v>0</v>
      </c>
      <c r="AB67" s="33">
        <v>0</v>
      </c>
      <c r="AC67" s="39">
        <v>0</v>
      </c>
    </row>
    <row r="68" spans="6:29" ht="16">
      <c r="F68" s="62" t="s">
        <v>114</v>
      </c>
      <c r="G68" s="12">
        <f t="shared" ref="G68:L68" si="85">G66-G67</f>
        <v>-385872</v>
      </c>
      <c r="H68" s="12">
        <f t="shared" si="85"/>
        <v>-128256</v>
      </c>
      <c r="I68" s="12">
        <f t="shared" si="85"/>
        <v>345753.75</v>
      </c>
      <c r="J68" s="12">
        <f t="shared" si="85"/>
        <v>547570.93200000003</v>
      </c>
      <c r="K68" s="12">
        <f t="shared" si="85"/>
        <v>694937.73256000131</v>
      </c>
      <c r="L68" s="65">
        <f t="shared" si="85"/>
        <v>841884.29988559987</v>
      </c>
      <c r="N68" s="38" t="s">
        <v>218</v>
      </c>
      <c r="O68" s="33">
        <f t="shared" ref="O68:T68" si="86">-G69</f>
        <v>-285000</v>
      </c>
      <c r="P68" s="33">
        <f t="shared" si="86"/>
        <v>-285000</v>
      </c>
      <c r="Q68" s="33">
        <f t="shared" si="86"/>
        <v>-285000</v>
      </c>
      <c r="R68" s="33">
        <f t="shared" si="86"/>
        <v>-285000</v>
      </c>
      <c r="S68" s="33">
        <f t="shared" si="86"/>
        <v>-285000</v>
      </c>
      <c r="T68" s="33">
        <f t="shared" si="86"/>
        <v>-285000</v>
      </c>
      <c r="W68" s="37" t="s">
        <v>56</v>
      </c>
      <c r="X68" s="33">
        <f>SUM(X64:X67)</f>
        <v>3282115</v>
      </c>
      <c r="Y68" s="33">
        <f t="shared" ref="Y68:AC68" si="87">SUM(Y64:Y67)</f>
        <v>1148309.1000000001</v>
      </c>
      <c r="Z68" s="33">
        <f t="shared" si="87"/>
        <v>1190026.26</v>
      </c>
      <c r="AA68" s="33">
        <f t="shared" si="87"/>
        <v>1235827.3104000001</v>
      </c>
      <c r="AB68" s="33">
        <f t="shared" si="87"/>
        <v>1259643.8566080001</v>
      </c>
      <c r="AC68" s="39">
        <f t="shared" si="87"/>
        <v>1271790.2951740802</v>
      </c>
    </row>
    <row r="69" spans="6:29" ht="16">
      <c r="F69" s="64" t="s">
        <v>115</v>
      </c>
      <c r="G69" s="12">
        <f t="shared" ref="G69:L69" si="88">G20+115000</f>
        <v>285000</v>
      </c>
      <c r="H69" s="12">
        <f t="shared" si="88"/>
        <v>285000</v>
      </c>
      <c r="I69" s="12">
        <f t="shared" si="88"/>
        <v>285000</v>
      </c>
      <c r="J69" s="12">
        <f t="shared" si="88"/>
        <v>285000</v>
      </c>
      <c r="K69" s="12">
        <f t="shared" si="88"/>
        <v>285000</v>
      </c>
      <c r="L69" s="65">
        <f t="shared" si="88"/>
        <v>285000</v>
      </c>
      <c r="N69" s="37" t="s">
        <v>180</v>
      </c>
      <c r="O69" s="33">
        <f t="shared" ref="O69:T69" si="89">O62-O64+SUM(O66:O68)</f>
        <v>10600421.5</v>
      </c>
      <c r="P69" s="33">
        <f t="shared" si="89"/>
        <v>-234978.3899999999</v>
      </c>
      <c r="Q69" s="33">
        <f t="shared" si="89"/>
        <v>165414.86100000015</v>
      </c>
      <c r="R69" s="33">
        <f t="shared" si="89"/>
        <v>355274.04744000011</v>
      </c>
      <c r="S69" s="33">
        <f t="shared" si="89"/>
        <v>455599.25030880142</v>
      </c>
      <c r="T69" s="33">
        <f t="shared" si="89"/>
        <v>466005.24281188799</v>
      </c>
      <c r="W69" s="38" t="s">
        <v>222</v>
      </c>
      <c r="X69" s="33">
        <f>X43</f>
        <v>2019863</v>
      </c>
      <c r="Y69" s="33">
        <f t="shared" ref="Y69:AC69" si="90">Y43</f>
        <v>2019863</v>
      </c>
      <c r="Z69" s="33">
        <f t="shared" si="90"/>
        <v>2019863</v>
      </c>
      <c r="AA69" s="33">
        <f t="shared" si="90"/>
        <v>2019863</v>
      </c>
      <c r="AB69" s="33">
        <f t="shared" si="90"/>
        <v>2019863</v>
      </c>
      <c r="AC69" s="33">
        <f t="shared" si="90"/>
        <v>2019863</v>
      </c>
    </row>
    <row r="70" spans="6:29" ht="16">
      <c r="F70" s="62" t="s">
        <v>116</v>
      </c>
      <c r="G70" s="12">
        <f t="shared" ref="G70:L70" si="91">G68-G69</f>
        <v>-670872</v>
      </c>
      <c r="H70" s="12">
        <f t="shared" si="91"/>
        <v>-413256</v>
      </c>
      <c r="I70" s="12">
        <f t="shared" si="91"/>
        <v>60753.75</v>
      </c>
      <c r="J70" s="12">
        <f t="shared" si="91"/>
        <v>262570.93200000003</v>
      </c>
      <c r="K70" s="12">
        <f t="shared" si="91"/>
        <v>409937.73256000131</v>
      </c>
      <c r="L70" s="65">
        <f t="shared" si="91"/>
        <v>556884.29988559987</v>
      </c>
      <c r="N70" s="37" t="s">
        <v>221</v>
      </c>
      <c r="O70" s="33">
        <v>991610</v>
      </c>
      <c r="P70" s="33">
        <f>O71</f>
        <v>11592031.5</v>
      </c>
      <c r="Q70" s="33">
        <f>P71</f>
        <v>11357053.109999999</v>
      </c>
      <c r="R70" s="33">
        <f>Q71</f>
        <v>11522467.970999999</v>
      </c>
      <c r="S70" s="33">
        <f>R71</f>
        <v>11877742.018439999</v>
      </c>
      <c r="T70" s="33">
        <f>S71</f>
        <v>12333341.268748801</v>
      </c>
      <c r="W70" s="37" t="s">
        <v>59</v>
      </c>
      <c r="X70" s="33">
        <f>SUM(X68:X69)</f>
        <v>5301978</v>
      </c>
      <c r="Y70" s="33">
        <f t="shared" ref="Y70:AC70" si="92">SUM(Y68:Y69)</f>
        <v>3168172.1</v>
      </c>
      <c r="Z70" s="33">
        <f t="shared" si="92"/>
        <v>3209889.26</v>
      </c>
      <c r="AA70" s="33">
        <f t="shared" si="92"/>
        <v>3255690.3103999998</v>
      </c>
      <c r="AB70" s="33">
        <f t="shared" si="92"/>
        <v>3279506.8566080001</v>
      </c>
      <c r="AC70" s="39">
        <f t="shared" si="92"/>
        <v>3291653.2951740799</v>
      </c>
    </row>
    <row r="71" spans="6:29" ht="16">
      <c r="F71" s="64" t="s">
        <v>117</v>
      </c>
      <c r="G71" s="12">
        <v>15000</v>
      </c>
      <c r="H71" s="12">
        <f>Table7[[#This Row],[2020]]</f>
        <v>15000</v>
      </c>
      <c r="I71" s="12">
        <f>Table7[[#This Row],[2021]]</f>
        <v>15000</v>
      </c>
      <c r="J71" s="12">
        <f>Table7[[#This Row],[2022]]</f>
        <v>15000</v>
      </c>
      <c r="K71" s="12">
        <f>Table7[[#This Row],[2023]]</f>
        <v>15000</v>
      </c>
      <c r="L71" s="12">
        <f>Table7[[#This Row],[2024]]</f>
        <v>15000</v>
      </c>
      <c r="N71" s="44" t="s">
        <v>188</v>
      </c>
      <c r="O71" s="45">
        <f t="shared" ref="O71:T71" si="93">O69+O70</f>
        <v>11592031.5</v>
      </c>
      <c r="P71" s="45">
        <f t="shared" si="93"/>
        <v>11357053.109999999</v>
      </c>
      <c r="Q71" s="45">
        <f t="shared" si="93"/>
        <v>11522467.970999999</v>
      </c>
      <c r="R71" s="45">
        <f t="shared" si="93"/>
        <v>11877742.018439999</v>
      </c>
      <c r="S71" s="45">
        <f t="shared" si="93"/>
        <v>12333341.268748801</v>
      </c>
      <c r="T71" s="45">
        <f t="shared" si="93"/>
        <v>12799346.51156069</v>
      </c>
      <c r="W71" s="37" t="s">
        <v>185</v>
      </c>
      <c r="X71" s="34"/>
      <c r="Y71" s="34"/>
      <c r="Z71" s="34"/>
      <c r="AA71" s="34"/>
      <c r="AB71" s="34"/>
      <c r="AC71" s="40"/>
    </row>
    <row r="72" spans="6:29" ht="16">
      <c r="F72" s="72" t="s">
        <v>118</v>
      </c>
      <c r="G72" s="73">
        <f t="shared" ref="G72:L72" si="94">G70-G71</f>
        <v>-685872</v>
      </c>
      <c r="H72" s="73">
        <f t="shared" si="94"/>
        <v>-428256</v>
      </c>
      <c r="I72" s="73">
        <f t="shared" si="94"/>
        <v>45753.75</v>
      </c>
      <c r="J72" s="73">
        <f t="shared" si="94"/>
        <v>247570.93200000003</v>
      </c>
      <c r="K72" s="73">
        <f t="shared" si="94"/>
        <v>394937.73256000131</v>
      </c>
      <c r="L72" s="74">
        <f t="shared" si="94"/>
        <v>541884.29988559987</v>
      </c>
      <c r="W72" s="38" t="s">
        <v>223</v>
      </c>
      <c r="X72" s="33">
        <f>9173230+5000000</f>
        <v>14173230</v>
      </c>
      <c r="Y72" s="33">
        <f t="shared" ref="Y72:AC72" si="95">9173230+5000000</f>
        <v>14173230</v>
      </c>
      <c r="Z72" s="33">
        <f t="shared" si="95"/>
        <v>14173230</v>
      </c>
      <c r="AA72" s="33">
        <f t="shared" si="95"/>
        <v>14173230</v>
      </c>
      <c r="AB72" s="33">
        <f t="shared" si="95"/>
        <v>14173230</v>
      </c>
      <c r="AC72" s="33">
        <f t="shared" si="95"/>
        <v>14173230</v>
      </c>
    </row>
    <row r="73" spans="6:29">
      <c r="W73" s="38" t="s">
        <v>61</v>
      </c>
      <c r="X73" s="33">
        <f>X47</f>
        <v>-11622562</v>
      </c>
      <c r="Y73" s="33">
        <f xml:space="preserve"> X73 + H72</f>
        <v>-12050818</v>
      </c>
      <c r="Z73" s="33">
        <f xml:space="preserve"> Y73 + '1-Store Portland Expansion'!I71</f>
        <v>-12035818</v>
      </c>
      <c r="AA73" s="33">
        <f xml:space="preserve"> Z73 + '1-Store Portland Expansion'!J71</f>
        <v>-12020818</v>
      </c>
      <c r="AB73" s="33">
        <f xml:space="preserve"> AA73 + '1-Store Portland Expansion'!K71</f>
        <v>-12005818</v>
      </c>
      <c r="AC73" s="39">
        <f xml:space="preserve"> AB73 + '1-Store Portland Expansion'!L71</f>
        <v>-11990818</v>
      </c>
    </row>
    <row r="74" spans="6:29">
      <c r="W74" s="38" t="s">
        <v>63</v>
      </c>
      <c r="X74" s="33">
        <f>G72</f>
        <v>-685872</v>
      </c>
      <c r="Y74" s="33">
        <f t="shared" ref="Y74" si="96">H72</f>
        <v>-428256</v>
      </c>
      <c r="Z74" s="33">
        <f t="shared" ref="Z74" si="97">I72</f>
        <v>45753.75</v>
      </c>
      <c r="AA74" s="33">
        <f t="shared" ref="AA74" si="98">J72</f>
        <v>247570.93200000003</v>
      </c>
      <c r="AB74" s="33">
        <f t="shared" ref="AB74" si="99">K72</f>
        <v>394937.73256000131</v>
      </c>
      <c r="AC74" s="33">
        <f t="shared" ref="AC74" si="100">L72</f>
        <v>541884.29988559987</v>
      </c>
    </row>
    <row r="75" spans="6:29" ht="16">
      <c r="W75" s="59" t="s">
        <v>196</v>
      </c>
      <c r="X75" s="33">
        <f>X72+X73+X74</f>
        <v>1864796</v>
      </c>
      <c r="Y75" s="33">
        <f t="shared" ref="Y75:AC75" si="101">Y72+Y73+Y74</f>
        <v>1694156</v>
      </c>
      <c r="Z75" s="33">
        <f t="shared" si="101"/>
        <v>2183165.75</v>
      </c>
      <c r="AA75" s="33">
        <f t="shared" si="101"/>
        <v>2399982.932</v>
      </c>
      <c r="AB75" s="33">
        <f t="shared" si="101"/>
        <v>2562349.7325600013</v>
      </c>
      <c r="AC75" s="39">
        <f t="shared" si="101"/>
        <v>2724296.2998855999</v>
      </c>
    </row>
    <row r="76" spans="6:29" ht="16">
      <c r="W76" s="60" t="s">
        <v>197</v>
      </c>
      <c r="X76" s="45">
        <f>X70+X75</f>
        <v>7166774</v>
      </c>
      <c r="Y76" s="45">
        <f t="shared" ref="Y76:AC76" si="102">Y70+Y75</f>
        <v>4862328.0999999996</v>
      </c>
      <c r="Z76" s="45">
        <f t="shared" si="102"/>
        <v>5393055.0099999998</v>
      </c>
      <c r="AA76" s="45">
        <f t="shared" si="102"/>
        <v>5655673.2423999999</v>
      </c>
      <c r="AB76" s="45">
        <f t="shared" si="102"/>
        <v>5841856.589168001</v>
      </c>
      <c r="AC76" s="61">
        <f t="shared" si="102"/>
        <v>6015949.5950596798</v>
      </c>
    </row>
    <row r="77" spans="6:29">
      <c r="W77" s="101" t="s">
        <v>201</v>
      </c>
      <c r="X77" s="45">
        <f>X76-X62</f>
        <v>2961080.5</v>
      </c>
      <c r="Y77" s="45">
        <f t="shared" ref="Y77:AC77" si="103">Y76-Y62</f>
        <v>991847.6099999994</v>
      </c>
      <c r="Z77" s="45">
        <f t="shared" si="103"/>
        <v>1822700.2109999997</v>
      </c>
      <c r="AA77" s="45">
        <f t="shared" si="103"/>
        <v>2343110.7314399998</v>
      </c>
      <c r="AB77" s="45">
        <f t="shared" si="103"/>
        <v>2728481.9242288009</v>
      </c>
      <c r="AC77" s="45">
        <f t="shared" si="103"/>
        <v>2995193.5621798877</v>
      </c>
    </row>
    <row r="82" spans="6:13">
      <c r="F82" s="29"/>
      <c r="G82" s="30"/>
      <c r="H82" s="30"/>
      <c r="I82" s="30"/>
      <c r="J82" s="30"/>
      <c r="K82" s="30"/>
      <c r="L82" s="30"/>
      <c r="M82" s="30"/>
    </row>
    <row r="83" spans="6:13">
      <c r="F83" s="29"/>
      <c r="G83" s="31"/>
      <c r="H83" s="30"/>
      <c r="I83" s="30"/>
      <c r="J83" s="30"/>
      <c r="K83" s="30"/>
      <c r="L83" s="30"/>
      <c r="M83" s="30"/>
    </row>
    <row r="84" spans="6:13">
      <c r="F84" s="29"/>
      <c r="G84" s="30"/>
      <c r="H84" s="31"/>
      <c r="I84" s="31"/>
      <c r="J84" s="31"/>
      <c r="K84" s="31"/>
      <c r="L84" s="31"/>
      <c r="M84" s="31"/>
    </row>
    <row r="85" spans="6:13">
      <c r="F85" s="29"/>
      <c r="G85" s="30"/>
      <c r="H85" s="31"/>
      <c r="I85" s="31"/>
      <c r="J85" s="31"/>
      <c r="K85" s="31"/>
      <c r="L85" s="31"/>
      <c r="M85" s="31"/>
    </row>
    <row r="86" spans="6:13">
      <c r="F86" s="29"/>
      <c r="G86" s="30"/>
      <c r="H86" s="31"/>
      <c r="I86" s="31"/>
      <c r="J86" s="31"/>
      <c r="K86" s="31"/>
      <c r="L86" s="31"/>
      <c r="M86" s="31"/>
    </row>
    <row r="87" spans="6:13">
      <c r="F87" s="29"/>
      <c r="G87" s="30"/>
      <c r="H87" s="31"/>
      <c r="I87" s="31"/>
      <c r="J87" s="31"/>
      <c r="K87" s="31"/>
      <c r="L87" s="31"/>
      <c r="M87" s="31"/>
    </row>
    <row r="88" spans="6:13">
      <c r="F88" s="29"/>
      <c r="G88" s="30"/>
      <c r="H88" s="31"/>
      <c r="I88" s="31"/>
      <c r="J88" s="31"/>
      <c r="K88" s="31"/>
      <c r="L88" s="31"/>
      <c r="M88" s="31"/>
    </row>
    <row r="89" spans="6:13">
      <c r="F89" s="29"/>
      <c r="G89" s="30"/>
      <c r="H89" s="31"/>
      <c r="I89" s="31"/>
      <c r="J89" s="31"/>
      <c r="K89" s="31"/>
      <c r="L89" s="31"/>
      <c r="M89" s="31"/>
    </row>
    <row r="90" spans="6:13">
      <c r="F90" s="29"/>
      <c r="G90" s="30"/>
      <c r="H90" s="30"/>
      <c r="I90" s="30"/>
      <c r="J90" s="30"/>
      <c r="K90" s="30"/>
      <c r="L90" s="30"/>
      <c r="M90" s="30"/>
    </row>
    <row r="91" spans="6:13">
      <c r="F91" s="29"/>
      <c r="G91" s="30"/>
      <c r="H91" s="30"/>
      <c r="I91" s="30"/>
      <c r="J91" s="30"/>
      <c r="K91" s="30"/>
      <c r="L91" s="30"/>
      <c r="M91" s="30"/>
    </row>
    <row r="92" spans="6:13">
      <c r="F92" s="29"/>
      <c r="G92" s="31"/>
      <c r="H92" s="31"/>
      <c r="I92" s="31"/>
      <c r="J92" s="31"/>
      <c r="K92" s="31"/>
      <c r="L92" s="31"/>
      <c r="M92" s="30"/>
    </row>
    <row r="93" spans="6:13">
      <c r="F93" s="29"/>
      <c r="G93" s="30"/>
      <c r="H93" s="30"/>
      <c r="I93" s="30"/>
      <c r="J93" s="30"/>
      <c r="K93" s="30"/>
      <c r="L93" s="30"/>
      <c r="M93" s="30"/>
    </row>
    <row r="94" spans="6:13">
      <c r="F94" s="29"/>
      <c r="G94" s="31"/>
      <c r="H94" s="31"/>
      <c r="I94" s="31"/>
      <c r="J94" s="31"/>
      <c r="K94" s="31"/>
      <c r="L94" s="31"/>
      <c r="M94" s="31"/>
    </row>
  </sheetData>
  <pageMargins left="0.7" right="0.7" top="0.75" bottom="0.75" header="0.3" footer="0.3"/>
  <pageSetup paperSize="9" orientation="portrait" horizontalDpi="1200" verticalDpi="1200" r:id="rId1"/>
  <tableParts count="9">
    <tablePart r:id="rId2"/>
    <tablePart r:id="rId3"/>
    <tablePart r:id="rId4"/>
    <tablePart r:id="rId5"/>
    <tablePart r:id="rId6"/>
    <tablePart r:id="rId7"/>
    <tablePart r:id="rId8"/>
    <tablePart r:id="rId9"/>
    <tablePart r:id="rId10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A42EE-DE88-44CD-AA64-2609514CE6CB}">
  <dimension ref="A1:Q108"/>
  <sheetViews>
    <sheetView zoomScale="70" zoomScaleNormal="70" workbookViewId="0">
      <selection activeCell="AH89" sqref="AH89"/>
    </sheetView>
  </sheetViews>
  <sheetFormatPr baseColWidth="10" defaultColWidth="8.83203125" defaultRowHeight="15"/>
  <cols>
    <col min="1" max="1" width="28.5" customWidth="1"/>
    <col min="2" max="2" width="13.6640625" customWidth="1"/>
    <col min="3" max="3" width="19.5" customWidth="1"/>
    <col min="4" max="4" width="14.33203125" customWidth="1"/>
    <col min="5" max="5" width="31.5" customWidth="1"/>
    <col min="6" max="6" width="12.1640625" customWidth="1"/>
    <col min="7" max="7" width="9.6640625" customWidth="1"/>
    <col min="8" max="8" width="16.83203125" customWidth="1"/>
    <col min="9" max="9" width="17.6640625" customWidth="1"/>
    <col min="10" max="10" width="13.83203125" customWidth="1"/>
    <col min="11" max="11" width="43.5" bestFit="1" customWidth="1"/>
    <col min="12" max="12" width="19.1640625" bestFit="1" customWidth="1"/>
    <col min="13" max="13" width="20.5" customWidth="1"/>
    <col min="14" max="14" width="19.33203125" bestFit="1" customWidth="1"/>
    <col min="15" max="15" width="28.5" bestFit="1" customWidth="1"/>
    <col min="16" max="16" width="19.83203125" customWidth="1"/>
    <col min="17" max="17" width="13.33203125" bestFit="1" customWidth="1"/>
  </cols>
  <sheetData>
    <row r="1" spans="1:17" ht="29.25" customHeight="1">
      <c r="F1" s="178" t="s">
        <v>227</v>
      </c>
      <c r="G1" s="178"/>
      <c r="H1" s="178"/>
      <c r="M1" t="str" cm="1">
        <f t="array" ref="M1:O2">F2:H3</f>
        <v>CASY</v>
      </c>
      <c r="N1" t="str">
        <v>ANCUF</v>
      </c>
      <c r="O1" t="str">
        <v>ANCADRNY</v>
      </c>
    </row>
    <row r="2" spans="1:17">
      <c r="A2" s="79" t="s">
        <v>47</v>
      </c>
      <c r="B2" s="79" t="s">
        <v>228</v>
      </c>
      <c r="C2" s="79" t="s">
        <v>229</v>
      </c>
      <c r="D2" s="79" t="s">
        <v>230</v>
      </c>
      <c r="E2" s="79" t="s">
        <v>231</v>
      </c>
      <c r="F2" s="79" t="s">
        <v>232</v>
      </c>
      <c r="G2" s="79" t="s">
        <v>233</v>
      </c>
      <c r="H2" s="79" t="s">
        <v>234</v>
      </c>
      <c r="I2" s="79" t="s">
        <v>235</v>
      </c>
      <c r="M2" t="str">
        <v>C-Store</v>
      </c>
      <c r="N2" t="str">
        <v>C-Store</v>
      </c>
      <c r="O2" t="str">
        <v>C-Store</v>
      </c>
    </row>
    <row r="3" spans="1:17">
      <c r="A3" s="79" t="s">
        <v>236</v>
      </c>
      <c r="B3" s="79" t="s">
        <v>237</v>
      </c>
      <c r="C3" s="80" t="s">
        <v>238</v>
      </c>
      <c r="D3" s="81" t="s">
        <v>239</v>
      </c>
      <c r="E3" s="82" t="s">
        <v>239</v>
      </c>
      <c r="F3" s="81" t="s">
        <v>240</v>
      </c>
      <c r="G3" s="81" t="s">
        <v>240</v>
      </c>
      <c r="H3" s="82" t="s">
        <v>240</v>
      </c>
      <c r="I3" s="82" t="s">
        <v>241</v>
      </c>
      <c r="L3" t="str">
        <f>A5</f>
        <v>TTM Revenues ($ Bil)</v>
      </c>
      <c r="M3">
        <f>F5*1000000000</f>
        <v>9400000000</v>
      </c>
      <c r="N3">
        <f t="shared" ref="N3:O3" si="0">G5*1000000000</f>
        <v>58500000000</v>
      </c>
      <c r="O3">
        <f t="shared" si="0"/>
        <v>64500000000</v>
      </c>
    </row>
    <row r="4" spans="1:17">
      <c r="A4" s="79"/>
      <c r="B4" s="79"/>
      <c r="C4" s="83" t="s">
        <v>80</v>
      </c>
      <c r="D4" s="84" t="s">
        <v>80</v>
      </c>
      <c r="E4" s="85" t="s">
        <v>80</v>
      </c>
      <c r="F4" s="84" t="s">
        <v>80</v>
      </c>
      <c r="G4" s="84" t="s">
        <v>80</v>
      </c>
      <c r="H4" s="85" t="s">
        <v>80</v>
      </c>
      <c r="I4" s="85" t="s">
        <v>80</v>
      </c>
      <c r="L4" t="str">
        <f>A6</f>
        <v>EBITDA ($ Mil)</v>
      </c>
      <c r="M4" s="6">
        <f>F6*1000000000</f>
        <v>586900000000</v>
      </c>
      <c r="N4" s="6">
        <f t="shared" ref="N4:O4" si="1">G6*1000000000</f>
        <v>3700000000000</v>
      </c>
      <c r="O4" s="6">
        <f t="shared" si="1"/>
        <v>4300000000000</v>
      </c>
    </row>
    <row r="5" spans="1:17">
      <c r="A5" s="80" t="s">
        <v>242</v>
      </c>
      <c r="B5" s="82">
        <v>5.2</v>
      </c>
      <c r="C5" s="79">
        <v>5.4</v>
      </c>
      <c r="D5" s="79">
        <v>1.6</v>
      </c>
      <c r="E5" s="86">
        <v>120.9</v>
      </c>
      <c r="F5" s="79">
        <v>9.4</v>
      </c>
      <c r="G5" s="79">
        <v>58.5</v>
      </c>
      <c r="H5" s="86">
        <v>64.5</v>
      </c>
      <c r="I5" s="79">
        <v>518</v>
      </c>
      <c r="L5" t="str">
        <f>A23</f>
        <v>Ent. Value to EBITDA</v>
      </c>
      <c r="M5">
        <f>F23*1000000000</f>
        <v>12500000000</v>
      </c>
      <c r="N5">
        <f t="shared" ref="N5:O5" si="2">G23*1000000000</f>
        <v>11700000000</v>
      </c>
      <c r="O5">
        <f t="shared" si="2"/>
        <v>5900000000</v>
      </c>
    </row>
    <row r="6" spans="1:17">
      <c r="A6" s="87" t="s">
        <v>243</v>
      </c>
      <c r="B6" s="86">
        <v>644.4</v>
      </c>
      <c r="C6" s="79">
        <v>369.5</v>
      </c>
      <c r="D6" s="79">
        <v>67.3</v>
      </c>
      <c r="E6" s="88">
        <v>5700</v>
      </c>
      <c r="F6" s="79">
        <v>586.9</v>
      </c>
      <c r="G6" s="89">
        <v>3700</v>
      </c>
      <c r="H6" s="88">
        <v>4300</v>
      </c>
      <c r="I6" s="79">
        <v>31.7</v>
      </c>
      <c r="K6" t="s">
        <v>244</v>
      </c>
      <c r="L6">
        <f>M5/M3</f>
        <v>1.3297872340425532</v>
      </c>
      <c r="M6">
        <f>N5/N3</f>
        <v>0.2</v>
      </c>
      <c r="N6">
        <f>O5/O3</f>
        <v>9.1472868217054262E-2</v>
      </c>
      <c r="O6" t="s">
        <v>245</v>
      </c>
      <c r="P6" s="102">
        <f>AVERAGE(L6:N6)</f>
        <v>0.54042003408653583</v>
      </c>
    </row>
    <row r="7" spans="1:17">
      <c r="A7" s="87" t="s">
        <v>246</v>
      </c>
      <c r="B7" s="90">
        <v>2.5999999999999999E-2</v>
      </c>
      <c r="C7" s="91">
        <v>0.13200000000000001</v>
      </c>
      <c r="D7" s="91">
        <v>6.0000000000000001E-3</v>
      </c>
      <c r="E7" s="90">
        <v>3.3000000000000002E-2</v>
      </c>
      <c r="F7" s="91">
        <v>9.5000000000000001E-2</v>
      </c>
      <c r="G7" s="91">
        <v>0.20100000000000001</v>
      </c>
      <c r="H7" s="92">
        <v>0.18</v>
      </c>
      <c r="I7" s="91">
        <v>2.1999999999999999E-2</v>
      </c>
      <c r="K7" t="s">
        <v>247</v>
      </c>
      <c r="L7">
        <f>M5/M4</f>
        <v>2.1298347248253535E-2</v>
      </c>
      <c r="M7">
        <f>N5/N4</f>
        <v>3.1621621621621622E-3</v>
      </c>
      <c r="N7">
        <f>O5/O4</f>
        <v>1.372093023255814E-3</v>
      </c>
      <c r="O7" t="s">
        <v>245</v>
      </c>
      <c r="P7" s="139">
        <f>AVERAGE(L7:N7)</f>
        <v>8.6108674778905044E-3</v>
      </c>
    </row>
    <row r="8" spans="1:17">
      <c r="A8" s="87" t="s">
        <v>248</v>
      </c>
      <c r="B8" s="92">
        <v>0.17</v>
      </c>
      <c r="C8" s="91">
        <v>0.251</v>
      </c>
      <c r="D8" s="91">
        <v>7.9000000000000001E-2</v>
      </c>
      <c r="E8" s="90">
        <v>0.23400000000000001</v>
      </c>
      <c r="F8" s="91">
        <v>0.157</v>
      </c>
      <c r="G8" s="91">
        <v>0.222</v>
      </c>
      <c r="H8" s="90">
        <v>0.124</v>
      </c>
      <c r="I8" s="91">
        <v>0.182</v>
      </c>
    </row>
    <row r="9" spans="1:17">
      <c r="A9" s="87" t="s">
        <v>249</v>
      </c>
      <c r="B9" s="92">
        <v>0.06</v>
      </c>
      <c r="C9" s="91">
        <v>9.4E-2</v>
      </c>
      <c r="D9" s="91">
        <v>6.7000000000000004E-2</v>
      </c>
      <c r="E9" s="92">
        <v>0.09</v>
      </c>
      <c r="F9" s="93">
        <v>0.08</v>
      </c>
      <c r="G9" s="91">
        <v>0.123</v>
      </c>
      <c r="H9" s="90">
        <v>0.108</v>
      </c>
      <c r="I9" s="91">
        <v>0.108</v>
      </c>
    </row>
    <row r="10" spans="1:17">
      <c r="A10" s="87" t="s">
        <v>250</v>
      </c>
      <c r="B10" s="90">
        <v>0.124</v>
      </c>
      <c r="C10" s="91">
        <v>6.8000000000000005E-2</v>
      </c>
      <c r="D10" s="91">
        <v>4.1000000000000002E-2</v>
      </c>
      <c r="E10" s="90">
        <v>4.7E-2</v>
      </c>
      <c r="F10" s="91">
        <v>6.3E-2</v>
      </c>
      <c r="G10" s="91">
        <v>6.3E-2</v>
      </c>
      <c r="H10" s="90">
        <v>6.7000000000000004E-2</v>
      </c>
      <c r="I10" s="91">
        <v>6.0999999999999999E-2</v>
      </c>
    </row>
    <row r="11" spans="1:17">
      <c r="A11" s="87" t="s">
        <v>251</v>
      </c>
      <c r="B11" s="90">
        <v>4.8000000000000001E-2</v>
      </c>
      <c r="C11" s="91">
        <v>2.5999999999999999E-2</v>
      </c>
      <c r="D11" s="91">
        <v>1.4999999999999999E-2</v>
      </c>
      <c r="E11" s="90">
        <v>1.4999999999999999E-2</v>
      </c>
      <c r="F11" s="91">
        <v>2.3E-2</v>
      </c>
      <c r="G11" s="91">
        <v>3.3000000000000002E-2</v>
      </c>
      <c r="H11" s="90">
        <v>2.7E-2</v>
      </c>
      <c r="I11" s="91">
        <v>2.5000000000000001E-2</v>
      </c>
      <c r="K11" t="s">
        <v>252</v>
      </c>
      <c r="L11">
        <v>2020</v>
      </c>
      <c r="M11">
        <v>2021</v>
      </c>
      <c r="N11">
        <v>2022</v>
      </c>
      <c r="O11">
        <v>2023</v>
      </c>
      <c r="P11">
        <v>2024</v>
      </c>
      <c r="Q11">
        <v>2025</v>
      </c>
    </row>
    <row r="12" spans="1:17">
      <c r="A12" s="87" t="s">
        <v>80</v>
      </c>
      <c r="B12" s="86" t="s">
        <v>80</v>
      </c>
      <c r="C12" s="79" t="s">
        <v>80</v>
      </c>
      <c r="D12" s="79"/>
      <c r="E12" s="86" t="s">
        <v>80</v>
      </c>
      <c r="F12" s="79" t="s">
        <v>80</v>
      </c>
      <c r="G12" s="79"/>
      <c r="H12" s="86" t="s">
        <v>80</v>
      </c>
      <c r="I12" s="79"/>
    </row>
    <row r="13" spans="1:17">
      <c r="A13" s="87" t="s">
        <v>253</v>
      </c>
      <c r="B13" s="86">
        <v>23.4</v>
      </c>
      <c r="C13" s="79">
        <v>2.2999999999999998</v>
      </c>
      <c r="D13" s="79">
        <v>0.37269999999999998</v>
      </c>
      <c r="E13" s="86">
        <v>20.6</v>
      </c>
      <c r="F13" s="79">
        <v>6.2</v>
      </c>
      <c r="G13" s="79">
        <v>35.200000000000003</v>
      </c>
      <c r="H13" s="86">
        <v>27.2</v>
      </c>
      <c r="I13" s="79">
        <v>334.5</v>
      </c>
      <c r="K13" t="s">
        <v>254</v>
      </c>
      <c r="L13" s="98">
        <f>'1-Store Portland Expansion'!G7</f>
        <v>17100000</v>
      </c>
      <c r="M13" s="98">
        <f>'1-Store Portland Expansion'!H7</f>
        <v>18297000</v>
      </c>
      <c r="N13" s="98">
        <f>'1-Store Portland Expansion'!I7</f>
        <v>19211850</v>
      </c>
      <c r="O13" s="98">
        <f>'1-Store Portland Expansion'!J7</f>
        <v>19980324</v>
      </c>
      <c r="P13" s="98">
        <f>'1-Store Portland Expansion'!K7</f>
        <v>20379930.48</v>
      </c>
      <c r="Q13" s="98">
        <f>'1-Store Portland Expansion'!L7</f>
        <v>20583729.7848</v>
      </c>
    </row>
    <row r="14" spans="1:17">
      <c r="A14" s="87" t="s">
        <v>255</v>
      </c>
      <c r="B14" s="86">
        <v>14.5</v>
      </c>
      <c r="C14" s="79">
        <v>3.9</v>
      </c>
      <c r="D14" s="79">
        <v>0.31690000000000002</v>
      </c>
      <c r="E14" s="86">
        <v>40.5</v>
      </c>
      <c r="F14" s="79">
        <v>7.3</v>
      </c>
      <c r="G14" s="79">
        <v>43.5</v>
      </c>
      <c r="H14" s="86">
        <v>28.4</v>
      </c>
      <c r="I14" s="79">
        <v>398.2</v>
      </c>
      <c r="K14" t="s">
        <v>256</v>
      </c>
      <c r="L14">
        <f t="shared" ref="L14:Q14" si="3">L13*$P$6</f>
        <v>9241182.5828797631</v>
      </c>
      <c r="M14">
        <f t="shared" si="3"/>
        <v>9888065.3636813462</v>
      </c>
      <c r="N14">
        <f t="shared" si="3"/>
        <v>10382468.631865414</v>
      </c>
      <c r="O14">
        <f t="shared" si="3"/>
        <v>10797767.37714003</v>
      </c>
      <c r="P14">
        <f t="shared" si="3"/>
        <v>11013722.72468283</v>
      </c>
      <c r="Q14">
        <f t="shared" si="3"/>
        <v>11123859.951929659</v>
      </c>
    </row>
    <row r="15" spans="1:17">
      <c r="A15" s="87" t="s">
        <v>257</v>
      </c>
      <c r="B15" s="86" t="s">
        <v>80</v>
      </c>
      <c r="C15" s="79" t="s">
        <v>80</v>
      </c>
      <c r="D15" s="79"/>
      <c r="E15" s="86" t="s">
        <v>80</v>
      </c>
      <c r="F15" s="79" t="s">
        <v>80</v>
      </c>
      <c r="G15" s="79"/>
      <c r="H15" s="86" t="s">
        <v>80</v>
      </c>
      <c r="I15" s="79"/>
      <c r="K15" t="s">
        <v>258</v>
      </c>
      <c r="L15" s="36">
        <f>'1-Store Portland Expansion'!X19</f>
        <v>8101978</v>
      </c>
      <c r="M15" s="36">
        <f>'1-Store Portland Expansion'!Y19</f>
        <v>8168172.0999999996</v>
      </c>
      <c r="N15" s="36">
        <f>'1-Store Portland Expansion'!Z19</f>
        <v>8209889.2599999998</v>
      </c>
      <c r="O15" s="36">
        <f>'1-Store Portland Expansion'!AA19</f>
        <v>8255690.3103999998</v>
      </c>
      <c r="P15" s="36">
        <f>'1-Store Portland Expansion'!AB19</f>
        <v>8279506.8566079997</v>
      </c>
      <c r="Q15" s="36">
        <f>'1-Store Portland Expansion'!AC19</f>
        <v>8291653.2951740799</v>
      </c>
    </row>
    <row r="16" spans="1:17">
      <c r="A16" s="87" t="s">
        <v>80</v>
      </c>
      <c r="B16" s="86" t="s">
        <v>80</v>
      </c>
      <c r="C16" s="79" t="s">
        <v>80</v>
      </c>
      <c r="D16" s="79"/>
      <c r="E16" s="86" t="s">
        <v>80</v>
      </c>
      <c r="F16" s="79" t="s">
        <v>80</v>
      </c>
      <c r="G16" s="79"/>
      <c r="H16" s="86" t="s">
        <v>80</v>
      </c>
      <c r="I16" s="79"/>
      <c r="K16" t="s">
        <v>259</v>
      </c>
      <c r="L16" s="36">
        <f>L14-L15</f>
        <v>1139204.5828797631</v>
      </c>
      <c r="M16" s="36">
        <f t="shared" ref="M16:Q16" si="4">M14-M15</f>
        <v>1719893.2636813466</v>
      </c>
      <c r="N16" s="36">
        <f t="shared" si="4"/>
        <v>2172579.3718654141</v>
      </c>
      <c r="O16" s="36">
        <f t="shared" si="4"/>
        <v>2542077.0667400304</v>
      </c>
      <c r="P16" s="36">
        <f t="shared" si="4"/>
        <v>2734215.8680748306</v>
      </c>
      <c r="Q16" s="36">
        <f t="shared" si="4"/>
        <v>2832206.6567555787</v>
      </c>
    </row>
    <row r="17" spans="1:17">
      <c r="A17" s="87" t="s">
        <v>260</v>
      </c>
      <c r="B17" s="86">
        <v>1.8</v>
      </c>
      <c r="C17" s="79">
        <v>3.2</v>
      </c>
      <c r="D17" s="79">
        <v>0.2</v>
      </c>
      <c r="E17" s="86">
        <v>2.4</v>
      </c>
      <c r="F17" s="79">
        <v>0.9</v>
      </c>
      <c r="G17" s="79">
        <v>1</v>
      </c>
      <c r="H17" s="86">
        <v>0.3</v>
      </c>
      <c r="I17" s="79">
        <v>1.1000000000000001</v>
      </c>
    </row>
    <row r="18" spans="1:17">
      <c r="A18" s="87" t="s">
        <v>261</v>
      </c>
      <c r="B18" s="86">
        <v>2.7</v>
      </c>
      <c r="C18" s="79">
        <v>1.7</v>
      </c>
      <c r="D18" s="79">
        <v>0.1</v>
      </c>
      <c r="E18" s="86">
        <v>20.6</v>
      </c>
      <c r="F18" s="79">
        <v>1.4</v>
      </c>
      <c r="G18" s="79">
        <v>9.4</v>
      </c>
      <c r="H18" s="86">
        <v>3.9</v>
      </c>
      <c r="I18" s="79">
        <v>74.7</v>
      </c>
      <c r="K18" t="s">
        <v>262</v>
      </c>
    </row>
    <row r="19" spans="1:17">
      <c r="A19" s="87" t="s">
        <v>263</v>
      </c>
      <c r="B19" s="86">
        <v>1.5</v>
      </c>
      <c r="C19" s="79">
        <v>0.5</v>
      </c>
      <c r="D19" s="79">
        <v>0.3</v>
      </c>
      <c r="E19" s="86">
        <v>8.5</v>
      </c>
      <c r="F19" s="79">
        <v>1.5</v>
      </c>
      <c r="G19" s="79">
        <v>9.6999999999999993</v>
      </c>
      <c r="H19" s="86">
        <v>13.6</v>
      </c>
      <c r="I19" s="79">
        <v>77.099999999999994</v>
      </c>
      <c r="K19" t="s">
        <v>254</v>
      </c>
      <c r="L19" s="36">
        <f>'3 and 3‐Store Seattle Expansion'!G30</f>
        <v>25855557</v>
      </c>
      <c r="M19" s="36">
        <f>'3 and 3‐Store Seattle Expansion'!H30</f>
        <v>41483056.700000003</v>
      </c>
      <c r="N19" s="36">
        <f>'3 and 3‐Store Seattle Expansion'!I30</f>
        <v>59273395.370000005</v>
      </c>
      <c r="O19" s="36">
        <f>'3 and 3‐Store Seattle Expansion'!J30</f>
        <v>76321037.138500005</v>
      </c>
      <c r="P19" s="36">
        <f>'3 and 3‐Store Seattle Expansion'!K30</f>
        <v>94233060.995425001</v>
      </c>
      <c r="Q19" s="36">
        <f>'3 and 3‐Store Seattle Expansion'!L30</f>
        <v>109271363.60537925</v>
      </c>
    </row>
    <row r="20" spans="1:17">
      <c r="A20" s="83" t="s">
        <v>264</v>
      </c>
      <c r="B20" s="85" t="s">
        <v>265</v>
      </c>
      <c r="C20" s="84" t="s">
        <v>265</v>
      </c>
      <c r="D20" s="84" t="s">
        <v>265</v>
      </c>
      <c r="E20" s="85" t="s">
        <v>266</v>
      </c>
      <c r="F20" s="84" t="s">
        <v>265</v>
      </c>
      <c r="G20" s="84" t="s">
        <v>265</v>
      </c>
      <c r="H20" s="85" t="s">
        <v>265</v>
      </c>
      <c r="I20" s="79" t="s">
        <v>267</v>
      </c>
      <c r="K20" t="s">
        <v>256</v>
      </c>
      <c r="L20">
        <f t="shared" ref="L20:Q20" si="5">L19*$P$6</f>
        <v>13972860.99526637</v>
      </c>
      <c r="M20">
        <f t="shared" si="5"/>
        <v>22418274.915827699</v>
      </c>
      <c r="N20">
        <f t="shared" si="5"/>
        <v>32032530.346280117</v>
      </c>
      <c r="O20">
        <f t="shared" si="5"/>
        <v>41245417.491907939</v>
      </c>
      <c r="P20">
        <f t="shared" si="5"/>
        <v>50925434.035226189</v>
      </c>
      <c r="Q20">
        <f t="shared" si="5"/>
        <v>59052434.044301309</v>
      </c>
    </row>
    <row r="21" spans="1:17">
      <c r="A21" s="79"/>
      <c r="B21" s="79"/>
      <c r="C21" s="87" t="s">
        <v>80</v>
      </c>
      <c r="D21" s="79" t="s">
        <v>80</v>
      </c>
      <c r="E21" s="86" t="s">
        <v>80</v>
      </c>
      <c r="F21" s="79" t="s">
        <v>80</v>
      </c>
      <c r="G21" s="79" t="s">
        <v>80</v>
      </c>
      <c r="H21" s="86" t="s">
        <v>80</v>
      </c>
      <c r="I21" s="79"/>
      <c r="K21" t="s">
        <v>258</v>
      </c>
      <c r="L21" s="36">
        <f>'3 and 3‐Store Seattle Expansion'!G75</f>
        <v>3592727.53205</v>
      </c>
      <c r="M21" s="36">
        <f>'3 and 3‐Store Seattle Expansion'!H75</f>
        <v>8970373.3645000011</v>
      </c>
      <c r="N21" s="36">
        <f>'3 and 3‐Store Seattle Expansion'!I75</f>
        <v>9374559.5518300012</v>
      </c>
      <c r="O21" s="36">
        <f>'3 and 3‐Store Seattle Expansion'!J75</f>
        <v>9750139.2438315004</v>
      </c>
      <c r="P21" s="36">
        <f>'3 and 3‐Store Seattle Expansion'!K75</f>
        <v>10120070.013213076</v>
      </c>
      <c r="Q21" s="36">
        <f>'3 and 3‐Store Seattle Expansion'!L75</f>
        <v>10406806.270302206</v>
      </c>
    </row>
    <row r="22" spans="1:17">
      <c r="A22" s="79" t="s">
        <v>268</v>
      </c>
      <c r="B22" s="79">
        <v>1.1000000000000001</v>
      </c>
      <c r="C22" s="87">
        <v>0.3</v>
      </c>
      <c r="D22" s="79">
        <v>0.6</v>
      </c>
      <c r="E22" s="86">
        <v>0.8</v>
      </c>
      <c r="F22" s="79">
        <v>0.8</v>
      </c>
      <c r="G22" s="79">
        <v>0.5</v>
      </c>
      <c r="H22" s="86">
        <v>0.2</v>
      </c>
      <c r="I22" s="79">
        <v>0.7</v>
      </c>
      <c r="K22" t="s">
        <v>259</v>
      </c>
      <c r="L22" s="36">
        <f>L20-L21</f>
        <v>10380133.46321637</v>
      </c>
      <c r="M22" s="36">
        <f t="shared" ref="M22:Q22" si="6">M20-M21</f>
        <v>13447901.551327698</v>
      </c>
      <c r="N22" s="36">
        <f t="shared" si="6"/>
        <v>22657970.794450115</v>
      </c>
      <c r="O22" s="36">
        <f t="shared" si="6"/>
        <v>31495278.248076439</v>
      </c>
      <c r="P22" s="36">
        <f t="shared" si="6"/>
        <v>40805364.022013113</v>
      </c>
      <c r="Q22" s="36">
        <f t="shared" si="6"/>
        <v>48645627.773999102</v>
      </c>
    </row>
    <row r="23" spans="1:17">
      <c r="A23" s="79" t="s">
        <v>269</v>
      </c>
      <c r="B23" s="79">
        <v>39</v>
      </c>
      <c r="C23" s="87">
        <v>10.5</v>
      </c>
      <c r="D23" s="79">
        <v>4.7</v>
      </c>
      <c r="E23" s="86">
        <v>7.3</v>
      </c>
      <c r="F23" s="79">
        <v>12.5</v>
      </c>
      <c r="G23" s="79">
        <v>11.7</v>
      </c>
      <c r="H23" s="86">
        <v>5.9</v>
      </c>
      <c r="I23" s="79">
        <v>12.6</v>
      </c>
    </row>
    <row r="24" spans="1:17">
      <c r="A24" s="79" t="s">
        <v>270</v>
      </c>
      <c r="B24" s="79">
        <v>4.5</v>
      </c>
      <c r="C24" s="87">
        <v>0.4</v>
      </c>
      <c r="D24" s="79">
        <v>0.2</v>
      </c>
      <c r="E24" s="86">
        <v>0.2</v>
      </c>
      <c r="F24" s="79">
        <v>0.7</v>
      </c>
      <c r="G24" s="79">
        <v>0.6</v>
      </c>
      <c r="H24" s="86">
        <v>0.4</v>
      </c>
      <c r="I24" s="79">
        <v>0.7</v>
      </c>
      <c r="K24" t="s">
        <v>271</v>
      </c>
    </row>
    <row r="25" spans="1:17">
      <c r="A25" s="79" t="s">
        <v>272</v>
      </c>
      <c r="B25" s="91">
        <v>8.5999999999999993E-2</v>
      </c>
      <c r="C25" s="94">
        <v>3.6999999999999998E-2</v>
      </c>
      <c r="D25" s="95">
        <v>5.2999999999999999E-2</v>
      </c>
      <c r="E25" s="90">
        <v>5.3999999999999999E-2</v>
      </c>
      <c r="F25" s="144">
        <v>6.2E-2</v>
      </c>
      <c r="G25" s="144">
        <v>4.2999999999999997E-2</v>
      </c>
      <c r="H25" s="153">
        <v>1.6E-2</v>
      </c>
      <c r="I25" s="91">
        <v>5.2999999999999999E-2</v>
      </c>
      <c r="K25" t="s">
        <v>273</v>
      </c>
      <c r="L25">
        <v>12000000</v>
      </c>
    </row>
    <row r="26" spans="1:17">
      <c r="A26" s="79"/>
      <c r="B26" s="91"/>
      <c r="C26" s="91"/>
      <c r="D26" s="91"/>
      <c r="E26" s="91"/>
      <c r="F26" s="144"/>
      <c r="G26" s="144"/>
      <c r="H26" s="144"/>
      <c r="I26" s="91"/>
      <c r="K26" t="s">
        <v>274</v>
      </c>
      <c r="L26">
        <v>11146367</v>
      </c>
    </row>
    <row r="27" spans="1:17">
      <c r="A27" s="79"/>
      <c r="B27" s="91"/>
      <c r="C27" s="91"/>
      <c r="D27" s="91"/>
      <c r="E27" s="91"/>
      <c r="F27" s="144"/>
      <c r="G27" s="144"/>
      <c r="H27" s="144"/>
      <c r="I27" s="91"/>
      <c r="K27" t="s">
        <v>275</v>
      </c>
      <c r="L27">
        <f>L25/L26</f>
        <v>1.076583966775901</v>
      </c>
    </row>
    <row r="28" spans="1:17">
      <c r="A28" s="79"/>
      <c r="B28" s="91"/>
      <c r="C28" s="91"/>
      <c r="D28" s="91"/>
      <c r="E28" s="154" t="s">
        <v>276</v>
      </c>
      <c r="F28" s="155"/>
      <c r="G28" s="155"/>
      <c r="H28" s="156"/>
      <c r="I28" s="91"/>
      <c r="K28" t="s">
        <v>277</v>
      </c>
      <c r="L28">
        <v>42859839</v>
      </c>
    </row>
    <row r="29" spans="1:17">
      <c r="A29" s="79"/>
      <c r="B29" s="91"/>
      <c r="C29" s="91"/>
      <c r="D29" s="91"/>
      <c r="E29" s="179" t="s">
        <v>278</v>
      </c>
      <c r="F29" s="149" t="s">
        <v>232</v>
      </c>
      <c r="G29" s="149" t="s">
        <v>233</v>
      </c>
      <c r="H29" s="157" t="s">
        <v>234</v>
      </c>
      <c r="I29" s="91"/>
      <c r="K29" t="s">
        <v>279</v>
      </c>
      <c r="L29">
        <f>L28*L27</f>
        <v>46142215.485996462</v>
      </c>
    </row>
    <row r="30" spans="1:17">
      <c r="E30" s="179"/>
      <c r="F30" s="150" t="s">
        <v>240</v>
      </c>
      <c r="G30" s="150" t="s">
        <v>240</v>
      </c>
      <c r="H30" s="158" t="s">
        <v>240</v>
      </c>
      <c r="M30" s="36"/>
    </row>
    <row r="31" spans="1:17">
      <c r="A31" s="180" t="s">
        <v>280</v>
      </c>
      <c r="B31" s="180"/>
      <c r="D31" s="141"/>
      <c r="E31" s="159" t="s">
        <v>268</v>
      </c>
      <c r="F31" s="30">
        <f>F22</f>
        <v>0.8</v>
      </c>
      <c r="G31" s="30">
        <f>G22</f>
        <v>0.5</v>
      </c>
      <c r="H31" s="160">
        <f>H22</f>
        <v>0.2</v>
      </c>
    </row>
    <row r="32" spans="1:17">
      <c r="A32" s="169" t="s">
        <v>281</v>
      </c>
      <c r="B32" s="170">
        <v>1.7999999999999999E-2</v>
      </c>
      <c r="C32" s="6"/>
      <c r="D32" s="142"/>
      <c r="E32" s="161" t="s">
        <v>260</v>
      </c>
      <c r="F32" s="30">
        <f>F17</f>
        <v>0.9</v>
      </c>
      <c r="G32" s="30">
        <f>G17</f>
        <v>1</v>
      </c>
      <c r="H32" s="160">
        <f>H17</f>
        <v>0.3</v>
      </c>
      <c r="I32" s="4"/>
      <c r="L32" t="s">
        <v>282</v>
      </c>
      <c r="M32" t="s">
        <v>283</v>
      </c>
    </row>
    <row r="33" spans="1:13">
      <c r="A33" s="146" t="s">
        <v>284</v>
      </c>
      <c r="B33" s="147">
        <v>5.8999999999999997E-2</v>
      </c>
      <c r="C33" s="6"/>
      <c r="D33" s="142" t="s">
        <v>285</v>
      </c>
      <c r="E33" s="161" t="s">
        <v>286</v>
      </c>
      <c r="F33" s="30">
        <f>F31/(1+(1-B35)*F32)</f>
        <v>0.48703275295263615</v>
      </c>
      <c r="G33" s="30">
        <f>G31/(1+(1-E48)*G32)</f>
        <v>0.25</v>
      </c>
      <c r="H33" s="160">
        <f>H31/(1+(1-F48)*H32)</f>
        <v>0.15384615384615385</v>
      </c>
      <c r="K33" t="s">
        <v>287</v>
      </c>
      <c r="L33">
        <v>5323542</v>
      </c>
      <c r="M33">
        <v>5323542</v>
      </c>
    </row>
    <row r="34" spans="1:13">
      <c r="A34" s="146" t="s">
        <v>288</v>
      </c>
      <c r="B34" s="145">
        <v>0.59</v>
      </c>
      <c r="C34" s="140"/>
      <c r="D34" s="143"/>
      <c r="E34" s="161" t="s">
        <v>289</v>
      </c>
      <c r="F34" s="30">
        <f>AVERAGE(F32:H32)</f>
        <v>0.73333333333333328</v>
      </c>
      <c r="G34" s="30"/>
      <c r="H34" s="160"/>
      <c r="K34" t="s">
        <v>290</v>
      </c>
      <c r="L34" s="4">
        <f>L33/16719551</f>
        <v>0.31840221068137536</v>
      </c>
      <c r="M34" s="4">
        <f>M33/L28</f>
        <v>0.1242081660642729</v>
      </c>
    </row>
    <row r="35" spans="1:13">
      <c r="A35" s="146" t="s">
        <v>291</v>
      </c>
      <c r="B35" s="147">
        <f>21%+7.6%</f>
        <v>0.28599999999999998</v>
      </c>
      <c r="C35" s="168" t="s">
        <v>292</v>
      </c>
      <c r="D35" s="141"/>
      <c r="E35" s="161" t="s">
        <v>293</v>
      </c>
      <c r="F35" s="30">
        <f>AVERAGE(F33:H33)</f>
        <v>0.29695963559959665</v>
      </c>
      <c r="G35" s="30"/>
      <c r="H35" s="160"/>
      <c r="K35" t="s">
        <v>294</v>
      </c>
      <c r="L35" s="36">
        <f>Q16*L34</f>
        <v>901780.8606174835</v>
      </c>
      <c r="M35" s="138">
        <f>Q22*M34</f>
        <v>6042184.2128536869</v>
      </c>
    </row>
    <row r="36" spans="1:13">
      <c r="A36" s="146" t="s">
        <v>295</v>
      </c>
      <c r="B36" s="171">
        <f>' Green Zebra Historic Data'!E37</f>
        <v>9173230</v>
      </c>
      <c r="D36" s="141" t="s">
        <v>296</v>
      </c>
      <c r="E36" s="161" t="s">
        <v>297</v>
      </c>
      <c r="F36" s="30">
        <f>F35/(1+(1-B35)*F34)</f>
        <v>0.19490656051430602</v>
      </c>
      <c r="G36" s="30"/>
      <c r="H36" s="160"/>
    </row>
    <row r="37" spans="1:13">
      <c r="A37" s="148" t="s">
        <v>298</v>
      </c>
      <c r="B37" s="172">
        <f>' Green Zebra Historic Data'!E36</f>
        <v>8543497</v>
      </c>
      <c r="E37" s="161"/>
      <c r="F37" s="30"/>
      <c r="G37" s="30"/>
      <c r="H37" s="160"/>
      <c r="I37" s="4"/>
    </row>
    <row r="38" spans="1:13">
      <c r="E38" s="161" t="s">
        <v>299</v>
      </c>
      <c r="F38" s="151">
        <f>B32+F36*B33</f>
        <v>2.9499487070344055E-2</v>
      </c>
      <c r="G38" s="30"/>
      <c r="H38" s="160"/>
    </row>
    <row r="39" spans="1:13">
      <c r="E39" s="159" t="s">
        <v>272</v>
      </c>
      <c r="F39" s="151">
        <f>F25</f>
        <v>6.2E-2</v>
      </c>
      <c r="G39" s="151">
        <f>G25</f>
        <v>4.2999999999999997E-2</v>
      </c>
      <c r="H39" s="162">
        <f>H25</f>
        <v>1.6E-2</v>
      </c>
    </row>
    <row r="40" spans="1:13">
      <c r="A40" s="180" t="s">
        <v>300</v>
      </c>
      <c r="B40" s="180"/>
      <c r="E40" s="161" t="s">
        <v>301</v>
      </c>
      <c r="F40" s="152">
        <f>1/(1+F32)</f>
        <v>0.52631578947368418</v>
      </c>
      <c r="G40" s="152">
        <f>1/(1+G32)</f>
        <v>0.5</v>
      </c>
      <c r="H40" s="163">
        <f>1/(1+H32)</f>
        <v>0.76923076923076916</v>
      </c>
      <c r="I40" s="102"/>
    </row>
    <row r="41" spans="1:13">
      <c r="A41" t="s">
        <v>302</v>
      </c>
      <c r="B41" s="6">
        <f>B36+B37</f>
        <v>17716727</v>
      </c>
      <c r="E41" s="161" t="s">
        <v>303</v>
      </c>
      <c r="F41" s="152">
        <f>F32/(1+F32)</f>
        <v>0.47368421052631582</v>
      </c>
      <c r="G41" s="152">
        <f>G32/(1+G32)</f>
        <v>0.5</v>
      </c>
      <c r="H41" s="163">
        <f>H32/(1+H32)</f>
        <v>0.23076923076923075</v>
      </c>
      <c r="I41" s="102"/>
    </row>
    <row r="42" spans="1:13">
      <c r="A42" t="s">
        <v>304</v>
      </c>
      <c r="B42">
        <f>B36/B41</f>
        <v>0.51777227249705882</v>
      </c>
      <c r="E42" s="161" t="s">
        <v>305</v>
      </c>
      <c r="F42" s="151">
        <f>(F39-F40*$F$38)/(F41*(1-B35))</f>
        <v>0.13741131797332079</v>
      </c>
      <c r="G42" s="151">
        <f>(G39-G40*$F$38)/(G41*(1-B35))</f>
        <v>7.9132371049938297E-2</v>
      </c>
      <c r="H42" s="162">
        <f>(H39-H40*$F$38)/(H41*(1-B35))</f>
        <v>-4.0613851869019856E-2</v>
      </c>
    </row>
    <row r="43" spans="1:13">
      <c r="A43" t="s">
        <v>306</v>
      </c>
      <c r="B43">
        <f>B37/B41</f>
        <v>0.48222772750294113</v>
      </c>
      <c r="C43" s="4"/>
      <c r="D43" s="4"/>
      <c r="E43" s="161" t="s">
        <v>307</v>
      </c>
      <c r="F43" s="151">
        <f>AVERAGE(F42:H42)</f>
        <v>5.8643279051413082E-2</v>
      </c>
      <c r="G43" s="30"/>
      <c r="H43" s="160"/>
    </row>
    <row r="44" spans="1:13">
      <c r="A44" t="s">
        <v>308</v>
      </c>
      <c r="B44">
        <f>B34/(1+(1-B35)*(B37/B36))</f>
        <v>0.35435762781900082</v>
      </c>
      <c r="C44" s="4"/>
      <c r="D44" s="4"/>
      <c r="E44" s="161" t="s">
        <v>309</v>
      </c>
      <c r="F44" s="152">
        <f>AVERAGE(F40:H40)</f>
        <v>0.59851551956815108</v>
      </c>
      <c r="G44" s="30"/>
      <c r="H44" s="160"/>
    </row>
    <row r="45" spans="1:13">
      <c r="A45" t="s">
        <v>310</v>
      </c>
      <c r="B45" s="4">
        <f>B32+B44*B33</f>
        <v>3.8907100041321044E-2</v>
      </c>
      <c r="E45" s="161" t="s">
        <v>311</v>
      </c>
      <c r="F45" s="152">
        <f>AVERAGE(F41:H41)</f>
        <v>0.40148448043184887</v>
      </c>
      <c r="G45" s="30"/>
      <c r="H45" s="160"/>
    </row>
    <row r="46" spans="1:13">
      <c r="A46" t="s">
        <v>312</v>
      </c>
      <c r="B46" s="4">
        <f>F43</f>
        <v>5.8643279051413082E-2</v>
      </c>
      <c r="C46" s="4"/>
      <c r="D46" s="4"/>
      <c r="E46" s="164" t="s">
        <v>313</v>
      </c>
      <c r="F46" s="165">
        <f>F44*F38+F45*(1-28.6%)*F43</f>
        <v>3.446657845533535E-2</v>
      </c>
      <c r="G46" s="166"/>
      <c r="H46" s="167"/>
    </row>
    <row r="47" spans="1:13">
      <c r="A47" t="s">
        <v>314</v>
      </c>
      <c r="B47" s="4">
        <f>(B42*B45)+(B43*B46)</f>
        <v>4.8424432794948971E-2</v>
      </c>
      <c r="C47" s="53"/>
      <c r="D47" s="53"/>
    </row>
    <row r="48" spans="1:13">
      <c r="B48" s="4"/>
      <c r="C48" s="4"/>
      <c r="D48" s="4"/>
      <c r="I48" t="s">
        <v>315</v>
      </c>
    </row>
    <row r="49" spans="2:15">
      <c r="B49" s="4"/>
      <c r="C49" s="4"/>
      <c r="D49" s="4"/>
    </row>
    <row r="50" spans="2:15">
      <c r="B50" s="7"/>
      <c r="C50" s="7"/>
      <c r="D50" s="7"/>
    </row>
    <row r="51" spans="2:15">
      <c r="B51" s="7"/>
      <c r="C51" s="7"/>
      <c r="D51" s="7"/>
    </row>
    <row r="52" spans="2:15">
      <c r="B52" s="6"/>
      <c r="C52" s="6"/>
      <c r="D52" s="6"/>
    </row>
    <row r="55" spans="2:15">
      <c r="B55" s="4"/>
      <c r="C55" s="4"/>
      <c r="D55" s="4"/>
    </row>
    <row r="60" spans="2:15">
      <c r="B60" s="7"/>
      <c r="C60" s="7"/>
      <c r="D60" s="7"/>
      <c r="E60" s="7"/>
      <c r="F60" s="7"/>
      <c r="G60" s="7"/>
      <c r="J60" s="7"/>
      <c r="K60" s="7"/>
      <c r="L60" s="7"/>
      <c r="M60" s="7"/>
      <c r="N60" s="7"/>
      <c r="O60" s="7"/>
    </row>
    <row r="61" spans="2:15">
      <c r="B61" s="8"/>
      <c r="C61" s="8"/>
      <c r="D61" s="8"/>
      <c r="E61" s="8"/>
      <c r="F61" s="8"/>
      <c r="G61" s="8"/>
      <c r="J61" s="8"/>
      <c r="K61" s="8"/>
      <c r="L61" s="8"/>
      <c r="M61" s="8"/>
      <c r="N61" s="8"/>
      <c r="O61" s="8"/>
    </row>
    <row r="62" spans="2:15">
      <c r="B62" s="53"/>
      <c r="C62" s="53"/>
      <c r="D62" s="53"/>
      <c r="E62" s="53"/>
      <c r="F62" s="53"/>
      <c r="G62" s="53"/>
      <c r="J62" s="53"/>
      <c r="K62" s="53"/>
      <c r="L62" s="53"/>
      <c r="M62" s="53"/>
      <c r="N62" s="53"/>
      <c r="O62" s="53"/>
    </row>
    <row r="66" spans="2:15">
      <c r="B66" s="4"/>
      <c r="C66" s="4"/>
      <c r="D66" s="4"/>
      <c r="E66" s="4"/>
      <c r="F66" s="4"/>
      <c r="G66" s="4"/>
      <c r="J66" s="4"/>
      <c r="K66" s="4"/>
      <c r="L66" s="4"/>
      <c r="M66" s="4"/>
      <c r="N66" s="4"/>
      <c r="O66" s="4"/>
    </row>
    <row r="67" spans="2:15">
      <c r="B67" s="4"/>
      <c r="C67" s="4"/>
      <c r="D67" s="4"/>
      <c r="E67" s="4"/>
      <c r="F67" s="4"/>
      <c r="G67" s="4"/>
      <c r="J67" s="4"/>
      <c r="K67" s="4"/>
      <c r="L67" s="4"/>
      <c r="M67" s="4"/>
      <c r="N67" s="4"/>
      <c r="O67" s="4"/>
    </row>
    <row r="69" spans="2:15">
      <c r="B69" s="4"/>
      <c r="C69" s="4"/>
      <c r="D69" s="4"/>
      <c r="E69" s="4"/>
      <c r="F69" s="4"/>
      <c r="G69" s="4"/>
      <c r="J69" s="4"/>
      <c r="K69" s="4"/>
      <c r="L69" s="4"/>
      <c r="M69" s="4"/>
      <c r="N69" s="4"/>
      <c r="O69" s="4"/>
    </row>
    <row r="70" spans="2:15">
      <c r="B70" s="53"/>
      <c r="C70" s="53"/>
      <c r="D70" s="53"/>
      <c r="E70" s="53"/>
      <c r="F70" s="53"/>
      <c r="G70" s="53"/>
      <c r="J70" s="53"/>
      <c r="K70" s="53"/>
      <c r="L70" s="53"/>
      <c r="M70" s="53"/>
      <c r="N70" s="53"/>
      <c r="O70" s="53"/>
    </row>
    <row r="71" spans="2:15">
      <c r="B71" s="54"/>
      <c r="C71" s="54"/>
      <c r="D71" s="96"/>
      <c r="E71" s="96"/>
      <c r="F71" s="96"/>
      <c r="G71" s="96"/>
      <c r="J71" s="54"/>
      <c r="K71" s="54"/>
      <c r="L71" s="96"/>
      <c r="M71" s="96"/>
      <c r="N71" s="96"/>
      <c r="O71" s="96"/>
    </row>
    <row r="72" spans="2:15">
      <c r="B72" s="4"/>
      <c r="C72" s="4"/>
      <c r="D72" s="4"/>
      <c r="E72" s="4"/>
      <c r="F72" s="4"/>
      <c r="G72" s="4"/>
      <c r="J72" s="4"/>
      <c r="K72" s="4"/>
      <c r="L72" s="4"/>
      <c r="M72" s="4"/>
      <c r="N72" s="4"/>
      <c r="O72" s="4"/>
    </row>
    <row r="73" spans="2:15">
      <c r="B73" s="7"/>
      <c r="C73" s="7"/>
      <c r="D73" s="7"/>
      <c r="E73" s="7"/>
      <c r="F73" s="7"/>
      <c r="G73" s="7"/>
      <c r="J73" s="7"/>
      <c r="K73" s="7"/>
      <c r="L73" s="7"/>
      <c r="M73" s="7"/>
      <c r="N73" s="7"/>
      <c r="O73" s="7"/>
    </row>
    <row r="74" spans="2:15">
      <c r="B74" s="7"/>
      <c r="C74" s="7"/>
      <c r="D74" s="7"/>
      <c r="E74" s="7"/>
      <c r="F74" s="7"/>
      <c r="G74" s="7"/>
      <c r="J74" s="7"/>
      <c r="K74" s="7"/>
      <c r="L74" s="7"/>
      <c r="M74" s="7"/>
      <c r="N74" s="7"/>
      <c r="O74" s="7"/>
    </row>
    <row r="75" spans="2:15">
      <c r="B75" s="6"/>
      <c r="C75" s="6"/>
      <c r="D75" s="6"/>
      <c r="E75" s="6"/>
      <c r="F75" s="6"/>
      <c r="G75" s="6"/>
      <c r="J75" s="6"/>
      <c r="K75" s="6"/>
      <c r="L75" s="6"/>
      <c r="M75" s="6"/>
      <c r="N75" s="6"/>
      <c r="O75" s="6"/>
    </row>
    <row r="78" spans="2:15">
      <c r="B78" s="4"/>
      <c r="C78" s="4"/>
      <c r="D78" s="4"/>
      <c r="E78" s="4"/>
      <c r="F78" s="4"/>
      <c r="G78" s="4"/>
      <c r="J78" s="4"/>
      <c r="K78" s="4"/>
      <c r="L78" s="4"/>
      <c r="M78" s="4"/>
      <c r="N78" s="4"/>
      <c r="O78" s="4"/>
    </row>
    <row r="106" spans="3:4">
      <c r="C106" t="s">
        <v>316</v>
      </c>
    </row>
    <row r="107" spans="3:4">
      <c r="C107" t="s">
        <v>317</v>
      </c>
      <c r="D107">
        <f>12000000/11146367</f>
        <v>1.076583966775901</v>
      </c>
    </row>
    <row r="108" spans="3:4">
      <c r="C108" t="s">
        <v>318</v>
      </c>
      <c r="D108">
        <f>D107*16719551</f>
        <v>18000000.538291983</v>
      </c>
    </row>
  </sheetData>
  <mergeCells count="4">
    <mergeCell ref="F1:H1"/>
    <mergeCell ref="E29:E30"/>
    <mergeCell ref="A31:B31"/>
    <mergeCell ref="A40:B40"/>
  </mergeCells>
  <hyperlinks>
    <hyperlink ref="C35" r:id="rId1" location=":~:text=Oregon%20has%20a%20graduated%20state,6.6%20percent%20to%207.6%20percent." xr:uid="{AD967B25-6B88-4667-B794-306A151C1582}"/>
  </hyperlinks>
  <pageMargins left="0.7" right="0.7" top="0.75" bottom="0.75" header="0.3" footer="0.3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3A281-C403-47EA-85BA-A99B36CC0EA3}">
  <dimension ref="A2:Q86"/>
  <sheetViews>
    <sheetView zoomScale="64" zoomScaleNormal="77" workbookViewId="0">
      <selection activeCell="L39" sqref="L39"/>
    </sheetView>
  </sheetViews>
  <sheetFormatPr baseColWidth="10" defaultColWidth="8.83203125" defaultRowHeight="15"/>
  <cols>
    <col min="1" max="1" width="15.83203125" bestFit="1" customWidth="1"/>
    <col min="2" max="2" width="36.5" bestFit="1" customWidth="1"/>
    <col min="3" max="3" width="54.5" customWidth="1"/>
    <col min="4" max="4" width="22.1640625" customWidth="1"/>
    <col min="6" max="6" width="25.83203125" customWidth="1"/>
    <col min="7" max="7" width="18.83203125" customWidth="1"/>
    <col min="8" max="8" width="17.83203125" customWidth="1"/>
    <col min="9" max="12" width="13.6640625" bestFit="1" customWidth="1"/>
    <col min="13" max="13" width="50.5" customWidth="1"/>
    <col min="14" max="14" width="17.5" customWidth="1"/>
    <col min="15" max="15" width="14" customWidth="1"/>
    <col min="16" max="16" width="16.83203125" customWidth="1"/>
  </cols>
  <sheetData>
    <row r="2" spans="1:17" ht="16">
      <c r="F2" s="137" t="s">
        <v>17</v>
      </c>
    </row>
    <row r="3" spans="1:17">
      <c r="B3" t="s">
        <v>319</v>
      </c>
      <c r="C3" s="6">
        <v>1250000</v>
      </c>
      <c r="D3">
        <f>C3*3</f>
        <v>3750000</v>
      </c>
      <c r="F3">
        <f>D3/5</f>
        <v>750000</v>
      </c>
    </row>
    <row r="4" spans="1:17">
      <c r="B4" t="s">
        <v>320</v>
      </c>
      <c r="C4" s="6">
        <v>94100</v>
      </c>
    </row>
    <row r="5" spans="1:17">
      <c r="B5" t="s">
        <v>321</v>
      </c>
      <c r="C5" s="6">
        <v>7700</v>
      </c>
    </row>
    <row r="6" spans="1:17">
      <c r="B6" t="s">
        <v>322</v>
      </c>
      <c r="C6" s="6">
        <f>C14*1%</f>
        <v>45000</v>
      </c>
    </row>
    <row r="7" spans="1:17">
      <c r="B7" t="s">
        <v>323</v>
      </c>
      <c r="C7">
        <f>100000/3</f>
        <v>33333.333333333336</v>
      </c>
    </row>
    <row r="8" spans="1:17">
      <c r="B8" t="s">
        <v>324</v>
      </c>
      <c r="C8" s="18">
        <f>SUM(C3:C7)</f>
        <v>1430133.3333333333</v>
      </c>
    </row>
    <row r="9" spans="1:17" ht="46">
      <c r="B9" t="s">
        <v>325</v>
      </c>
      <c r="C9">
        <f>C8*3</f>
        <v>4290400</v>
      </c>
      <c r="D9" t="s">
        <v>142</v>
      </c>
      <c r="G9" s="25" t="s">
        <v>326</v>
      </c>
      <c r="H9" s="25" t="s">
        <v>21</v>
      </c>
      <c r="I9" s="25" t="s">
        <v>26</v>
      </c>
      <c r="J9" s="25" t="s">
        <v>24</v>
      </c>
      <c r="K9" s="25" t="s">
        <v>327</v>
      </c>
    </row>
    <row r="10" spans="1:17">
      <c r="D10" t="s">
        <v>144</v>
      </c>
      <c r="E10" s="20">
        <v>0.125</v>
      </c>
      <c r="G10" s="26">
        <v>1</v>
      </c>
      <c r="H10" s="28">
        <v>0.189</v>
      </c>
      <c r="I10" s="28">
        <v>0.115</v>
      </c>
      <c r="J10" s="28">
        <v>0.01</v>
      </c>
      <c r="K10" s="28">
        <v>0.314</v>
      </c>
    </row>
    <row r="11" spans="1:17">
      <c r="G11" s="26">
        <v>2</v>
      </c>
      <c r="H11" s="28">
        <v>0.187</v>
      </c>
      <c r="I11" s="28">
        <v>0.115</v>
      </c>
      <c r="J11" s="28">
        <v>0.01</v>
      </c>
      <c r="K11" s="28">
        <v>0.312</v>
      </c>
    </row>
    <row r="12" spans="1:17">
      <c r="A12" t="s">
        <v>151</v>
      </c>
      <c r="G12" s="26">
        <v>3</v>
      </c>
      <c r="H12" s="28">
        <v>0.185</v>
      </c>
      <c r="I12" s="28">
        <v>0.115</v>
      </c>
      <c r="J12" s="28">
        <v>0.01</v>
      </c>
      <c r="K12" s="28">
        <v>0.31</v>
      </c>
    </row>
    <row r="13" spans="1:17">
      <c r="B13" s="1" t="s">
        <v>2</v>
      </c>
      <c r="C13" s="1" t="s">
        <v>156</v>
      </c>
      <c r="G13" s="26">
        <v>4</v>
      </c>
      <c r="H13" s="28">
        <v>0.183</v>
      </c>
      <c r="I13" s="28">
        <v>0.115</v>
      </c>
      <c r="J13" s="28">
        <v>0.01</v>
      </c>
      <c r="K13" s="28">
        <v>0.308</v>
      </c>
    </row>
    <row r="14" spans="1:17">
      <c r="B14" s="1" t="s">
        <v>159</v>
      </c>
      <c r="C14" s="7">
        <v>4500000</v>
      </c>
      <c r="G14" s="26">
        <v>5</v>
      </c>
      <c r="H14" s="28">
        <v>0.18099999999999999</v>
      </c>
      <c r="I14" s="28">
        <v>0.115</v>
      </c>
      <c r="J14" s="28">
        <v>0.01</v>
      </c>
      <c r="K14" s="28">
        <v>0.30599999999999999</v>
      </c>
    </row>
    <row r="15" spans="1:17">
      <c r="B15" s="1" t="s">
        <v>162</v>
      </c>
      <c r="C15" t="s">
        <v>328</v>
      </c>
      <c r="G15" s="26">
        <v>6</v>
      </c>
      <c r="H15" s="28">
        <v>0.18</v>
      </c>
      <c r="I15" s="28">
        <v>0.115</v>
      </c>
      <c r="J15" s="28">
        <v>0.01</v>
      </c>
      <c r="K15" s="28">
        <v>0.30499999999999999</v>
      </c>
    </row>
    <row r="16" spans="1:17">
      <c r="B16" s="1" t="s">
        <v>166</v>
      </c>
      <c r="C16" s="1" t="s">
        <v>329</v>
      </c>
      <c r="L16" s="4" cm="1">
        <f t="array" ref="L16:Q16">TRANSPOSE(K10:K15)</f>
        <v>0.314</v>
      </c>
      <c r="M16" s="4">
        <v>0.312</v>
      </c>
      <c r="N16" s="4">
        <v>0.31</v>
      </c>
      <c r="O16" s="4">
        <v>0.308</v>
      </c>
      <c r="P16" s="4">
        <v>0.30599999999999999</v>
      </c>
      <c r="Q16" s="4">
        <v>0.30499999999999999</v>
      </c>
    </row>
    <row r="17" spans="2:15" ht="16">
      <c r="B17" s="1" t="s">
        <v>330</v>
      </c>
      <c r="C17" s="27" t="s">
        <v>331</v>
      </c>
    </row>
    <row r="18" spans="2:15">
      <c r="B18" s="1"/>
      <c r="C18" s="1"/>
    </row>
    <row r="19" spans="2:15">
      <c r="B19" s="1"/>
      <c r="C19" s="1"/>
    </row>
    <row r="20" spans="2:15">
      <c r="B20" s="1" t="s">
        <v>178</v>
      </c>
      <c r="C20" s="1"/>
    </row>
    <row r="21" spans="2:15">
      <c r="B21" s="1" t="s">
        <v>182</v>
      </c>
      <c r="C21" s="19"/>
      <c r="D21" s="11"/>
    </row>
    <row r="22" spans="2:15" ht="32">
      <c r="B22" s="1" t="s">
        <v>186</v>
      </c>
      <c r="C22" s="27" t="s">
        <v>332</v>
      </c>
      <c r="G22" s="138">
        <f>G25*G27+' Green Zebra Historic Data'!M100+' Green Zebra Historic Data'!M102+' Green Zebra Historic Data'!M103</f>
        <v>9218289.4710000008</v>
      </c>
    </row>
    <row r="23" spans="2:15">
      <c r="B23" s="1" t="s">
        <v>190</v>
      </c>
      <c r="C23" s="1" t="s">
        <v>191</v>
      </c>
    </row>
    <row r="25" spans="2:15">
      <c r="C25" s="4"/>
      <c r="F25" t="s">
        <v>333</v>
      </c>
      <c r="G25" s="36">
        <v>13500000</v>
      </c>
      <c r="H25" s="36">
        <v>14850000</v>
      </c>
      <c r="I25" s="36">
        <v>16335000</v>
      </c>
      <c r="J25" s="36">
        <v>17151750</v>
      </c>
      <c r="K25" s="36">
        <v>18009338</v>
      </c>
      <c r="L25" s="36">
        <v>18189431</v>
      </c>
    </row>
    <row r="26" spans="2:15">
      <c r="F26" t="s">
        <v>334</v>
      </c>
      <c r="H26" s="4">
        <v>0.6</v>
      </c>
      <c r="I26" s="4">
        <v>0.59</v>
      </c>
      <c r="J26" s="4">
        <v>0.59</v>
      </c>
      <c r="K26" s="4">
        <v>0.58499999999999996</v>
      </c>
      <c r="L26" s="4">
        <v>0.57999999999999996</v>
      </c>
    </row>
    <row r="27" spans="2:15" ht="31">
      <c r="F27" s="25" t="s">
        <v>327</v>
      </c>
      <c r="G27" s="4">
        <f>L16</f>
        <v>0.314</v>
      </c>
      <c r="H27" s="4">
        <f t="shared" ref="H27:L27" si="0">M16</f>
        <v>0.312</v>
      </c>
      <c r="I27" s="4">
        <f t="shared" si="0"/>
        <v>0.31</v>
      </c>
      <c r="J27" s="4">
        <f t="shared" si="0"/>
        <v>0.308</v>
      </c>
      <c r="K27" s="4">
        <f t="shared" si="0"/>
        <v>0.30599999999999999</v>
      </c>
      <c r="L27" s="4">
        <f t="shared" si="0"/>
        <v>0.30499999999999999</v>
      </c>
    </row>
    <row r="28" spans="2:15" ht="32">
      <c r="B28" s="49" t="s">
        <v>335</v>
      </c>
      <c r="F28" s="32" t="s">
        <v>336</v>
      </c>
      <c r="M28" s="50"/>
      <c r="N28" s="50"/>
      <c r="O28" s="50"/>
    </row>
    <row r="29" spans="2:15" ht="16">
      <c r="F29" s="75" t="s">
        <v>2</v>
      </c>
      <c r="G29" s="76" t="s">
        <v>101</v>
      </c>
      <c r="H29" s="76" t="s">
        <v>102</v>
      </c>
      <c r="I29" s="76" t="s">
        <v>103</v>
      </c>
      <c r="J29" s="76" t="s">
        <v>104</v>
      </c>
      <c r="K29" s="76" t="s">
        <v>105</v>
      </c>
      <c r="L29" s="77" t="s">
        <v>106</v>
      </c>
      <c r="M29" s="97"/>
      <c r="N29" s="51"/>
      <c r="O29" s="51"/>
    </row>
    <row r="30" spans="2:15" ht="16">
      <c r="B30" t="s">
        <v>337</v>
      </c>
      <c r="F30" s="59" t="s">
        <v>8</v>
      </c>
      <c r="G30" s="33">
        <f>C14*3</f>
        <v>13500000</v>
      </c>
      <c r="H30" s="33">
        <f>Table819[[#This Row],[2020]]+Table819[[#This Row],[2020]]*10%</f>
        <v>14850000</v>
      </c>
      <c r="I30" s="33">
        <f>Table819[[#This Row],[2021]]+Table819[[#This Row],[2021]]*10%</f>
        <v>16335000</v>
      </c>
      <c r="J30" s="33">
        <f>Table819[[#This Row],[2022]]+Table819[[#This Row],[2022]]*5%</f>
        <v>17151750</v>
      </c>
      <c r="K30" s="33">
        <f>Table819[[#This Row],[2023]]+Table819[[#This Row],[2023]]*5%</f>
        <v>18009337.5</v>
      </c>
      <c r="L30" s="33">
        <f>Table819[[#This Row],[2024]]+Table819[[#This Row],[2024]]*1%</f>
        <v>18189430.875</v>
      </c>
      <c r="M30" s="51"/>
      <c r="N30" s="51"/>
      <c r="O30" s="51"/>
    </row>
    <row r="31" spans="2:15" ht="16">
      <c r="B31" t="s">
        <v>338</v>
      </c>
      <c r="F31" s="59" t="s">
        <v>110</v>
      </c>
      <c r="G31" s="33">
        <f>G25*60%</f>
        <v>8100000</v>
      </c>
      <c r="H31" s="33">
        <f>H25*60%</f>
        <v>8910000</v>
      </c>
      <c r="I31" s="33">
        <f>I25*59%</f>
        <v>9637650</v>
      </c>
      <c r="J31" s="33">
        <f>J25*59%</f>
        <v>10119532.5</v>
      </c>
      <c r="K31" s="33">
        <f>K25*58.5%</f>
        <v>10535462.729999999</v>
      </c>
      <c r="L31" s="33">
        <f>L25*58%</f>
        <v>10549869.979999999</v>
      </c>
      <c r="M31" s="51" t="s">
        <v>339</v>
      </c>
      <c r="N31" s="51"/>
      <c r="O31" s="51"/>
    </row>
    <row r="32" spans="2:15" ht="16">
      <c r="B32" t="s">
        <v>340</v>
      </c>
      <c r="F32" s="59" t="s">
        <v>10</v>
      </c>
      <c r="G32" s="33">
        <f>G30-G31</f>
        <v>5400000</v>
      </c>
      <c r="H32" s="33">
        <f t="shared" ref="H32:L32" si="1">H30-H31</f>
        <v>5940000</v>
      </c>
      <c r="I32" s="33">
        <f t="shared" si="1"/>
        <v>6697350</v>
      </c>
      <c r="J32" s="33">
        <f t="shared" si="1"/>
        <v>7032217.5</v>
      </c>
      <c r="K32" s="33">
        <f t="shared" si="1"/>
        <v>7473874.7700000014</v>
      </c>
      <c r="L32" s="39">
        <f t="shared" si="1"/>
        <v>7639560.8950000014</v>
      </c>
      <c r="M32" s="51"/>
      <c r="N32" s="51"/>
      <c r="O32" s="51"/>
    </row>
    <row r="33" spans="2:16" ht="16">
      <c r="B33" t="s">
        <v>341</v>
      </c>
      <c r="F33" s="59" t="s">
        <v>330</v>
      </c>
      <c r="G33" s="33">
        <f>G25*G27</f>
        <v>4239000</v>
      </c>
      <c r="H33" s="33">
        <f t="shared" ref="H33:L33" si="2">H25*H27</f>
        <v>4633200</v>
      </c>
      <c r="I33" s="33">
        <f t="shared" si="2"/>
        <v>5063850</v>
      </c>
      <c r="J33" s="33">
        <f t="shared" si="2"/>
        <v>5282739</v>
      </c>
      <c r="K33" s="33">
        <f t="shared" si="2"/>
        <v>5510857.4280000003</v>
      </c>
      <c r="L33" s="33">
        <f t="shared" si="2"/>
        <v>5547776.4550000001</v>
      </c>
      <c r="M33" s="51"/>
      <c r="N33" s="51"/>
      <c r="O33" s="51"/>
    </row>
    <row r="34" spans="2:16" ht="16">
      <c r="F34" s="59" t="s">
        <v>15</v>
      </c>
      <c r="G34" s="33">
        <f>G32-G33</f>
        <v>1161000</v>
      </c>
      <c r="H34" s="33">
        <f t="shared" ref="H34:L34" si="3">H32-H33</f>
        <v>1306800</v>
      </c>
      <c r="I34" s="33">
        <f t="shared" si="3"/>
        <v>1633500</v>
      </c>
      <c r="J34" s="33">
        <f t="shared" si="3"/>
        <v>1749478.5</v>
      </c>
      <c r="K34" s="33">
        <f t="shared" si="3"/>
        <v>1963017.3420000011</v>
      </c>
      <c r="L34" s="39">
        <f t="shared" si="3"/>
        <v>2091784.4400000013</v>
      </c>
      <c r="M34" s="51"/>
      <c r="N34" s="51"/>
      <c r="O34" s="51"/>
    </row>
    <row r="35" spans="2:16" ht="16">
      <c r="F35" s="59" t="s">
        <v>17</v>
      </c>
      <c r="G35" s="78">
        <f>$F$3+' Green Zebra Historic Data'!M105</f>
        <v>1170072</v>
      </c>
      <c r="H35" s="78">
        <f>$F$3+' Green Zebra Historic Data'!N105</f>
        <v>1152711</v>
      </c>
      <c r="I35" s="78">
        <f>$F$3+' Green Zebra Historic Data'!O105</f>
        <v>1076661</v>
      </c>
      <c r="J35" s="78">
        <f>$F$3+' Green Zebra Historic Data'!P105</f>
        <v>1061583</v>
      </c>
      <c r="K35" s="78">
        <f>$F$3+' Green Zebra Historic Data'!Q105</f>
        <v>1012919</v>
      </c>
      <c r="L35" s="78">
        <f>$F$3+' Green Zebra Historic Data'!R105</f>
        <v>875551</v>
      </c>
      <c r="M35" s="51"/>
      <c r="N35" s="51"/>
      <c r="O35" s="51"/>
    </row>
    <row r="36" spans="2:16" ht="16">
      <c r="F36" s="59" t="s">
        <v>114</v>
      </c>
      <c r="G36" s="33">
        <f>G34-G35</f>
        <v>-9072</v>
      </c>
      <c r="H36" s="33">
        <f t="shared" ref="H36:L36" si="4">H34-H35</f>
        <v>154089</v>
      </c>
      <c r="I36" s="33">
        <f t="shared" si="4"/>
        <v>556839</v>
      </c>
      <c r="J36" s="33">
        <f t="shared" si="4"/>
        <v>687895.5</v>
      </c>
      <c r="K36" s="33">
        <f t="shared" si="4"/>
        <v>950098.34200000111</v>
      </c>
      <c r="L36" s="39">
        <f t="shared" si="4"/>
        <v>1216233.4400000013</v>
      </c>
    </row>
    <row r="37" spans="2:16" ht="16">
      <c r="F37" s="59" t="s">
        <v>19</v>
      </c>
      <c r="G37" s="33">
        <f>' Green Zebra Historic Data'!$P$19</f>
        <v>433114</v>
      </c>
      <c r="H37" s="33">
        <f>' Green Zebra Historic Data'!$P$19</f>
        <v>433114</v>
      </c>
      <c r="I37" s="33">
        <f>' Green Zebra Historic Data'!$P$19</f>
        <v>433114</v>
      </c>
      <c r="J37" s="33">
        <f>' Green Zebra Historic Data'!$P$19</f>
        <v>433114</v>
      </c>
      <c r="K37" s="33">
        <f>' Green Zebra Historic Data'!$P$19</f>
        <v>433114</v>
      </c>
      <c r="L37" s="33">
        <f>' Green Zebra Historic Data'!$P$19</f>
        <v>433114</v>
      </c>
      <c r="M37" t="s">
        <v>342</v>
      </c>
    </row>
    <row r="38" spans="2:16" ht="16">
      <c r="F38" s="59" t="s">
        <v>343</v>
      </c>
      <c r="G38" s="33">
        <f>G36-G37</f>
        <v>-442186</v>
      </c>
      <c r="H38" s="33">
        <f t="shared" ref="H38:L38" si="5">H36-H37</f>
        <v>-279025</v>
      </c>
      <c r="I38" s="33">
        <f t="shared" si="5"/>
        <v>123725</v>
      </c>
      <c r="J38" s="33">
        <f t="shared" si="5"/>
        <v>254781.5</v>
      </c>
      <c r="K38" s="33">
        <f t="shared" si="5"/>
        <v>516984.34200000111</v>
      </c>
      <c r="L38" s="39">
        <f t="shared" si="5"/>
        <v>783119.44000000134</v>
      </c>
    </row>
    <row r="39" spans="2:16" ht="33.75" customHeight="1">
      <c r="F39" s="59" t="s">
        <v>344</v>
      </c>
      <c r="G39" s="33">
        <v>15000</v>
      </c>
      <c r="H39" s="33">
        <v>15000</v>
      </c>
      <c r="I39" s="33">
        <v>15000</v>
      </c>
      <c r="J39" s="33">
        <v>15000</v>
      </c>
      <c r="K39" s="33">
        <v>15000</v>
      </c>
      <c r="L39" s="33">
        <v>15000</v>
      </c>
      <c r="M39" s="49" t="s">
        <v>345</v>
      </c>
      <c r="O39" t="s">
        <v>346</v>
      </c>
      <c r="P39" s="49" t="s">
        <v>347</v>
      </c>
    </row>
    <row r="40" spans="2:16" ht="16">
      <c r="F40" s="60" t="s">
        <v>118</v>
      </c>
      <c r="G40" s="45">
        <f>G38-G39</f>
        <v>-457186</v>
      </c>
      <c r="H40" s="173">
        <f t="shared" ref="H40:L40" si="6">H38-H39</f>
        <v>-294025</v>
      </c>
      <c r="I40" s="173">
        <f t="shared" si="6"/>
        <v>108725</v>
      </c>
      <c r="J40" s="173">
        <f t="shared" si="6"/>
        <v>239781.5</v>
      </c>
      <c r="K40" s="173">
        <f t="shared" si="6"/>
        <v>501984.34200000111</v>
      </c>
      <c r="L40" s="174">
        <f t="shared" si="6"/>
        <v>768119.44000000134</v>
      </c>
      <c r="O40" s="98">
        <f>SUM(Table819[[#This Row],[2020]:[2021]])</f>
        <v>-751211</v>
      </c>
      <c r="P40" s="98">
        <f>H38+I38+J38</f>
        <v>99481.5</v>
      </c>
    </row>
    <row r="41" spans="2:16">
      <c r="F41" s="24"/>
      <c r="G41" s="23"/>
      <c r="H41" s="23"/>
      <c r="I41" s="23"/>
      <c r="J41" s="23"/>
      <c r="K41" s="23"/>
      <c r="L41" s="23"/>
    </row>
    <row r="42" spans="2:16">
      <c r="F42" s="22"/>
      <c r="G42" s="23"/>
      <c r="H42" s="23"/>
      <c r="I42" s="23"/>
      <c r="J42" s="23"/>
      <c r="K42" s="23"/>
      <c r="L42" s="23"/>
    </row>
    <row r="43" spans="2:16">
      <c r="F43" s="32" t="s">
        <v>348</v>
      </c>
    </row>
    <row r="44" spans="2:16" ht="16">
      <c r="F44" s="75" t="s">
        <v>2</v>
      </c>
      <c r="G44" s="76" t="s">
        <v>101</v>
      </c>
      <c r="H44" s="76" t="s">
        <v>102</v>
      </c>
      <c r="I44" s="76" t="s">
        <v>103</v>
      </c>
      <c r="J44" s="76" t="s">
        <v>104</v>
      </c>
      <c r="K44" s="76" t="s">
        <v>105</v>
      </c>
      <c r="L44" s="77" t="s">
        <v>106</v>
      </c>
    </row>
    <row r="45" spans="2:16" ht="16">
      <c r="F45" s="59" t="s">
        <v>118</v>
      </c>
      <c r="G45" s="33">
        <f>G40</f>
        <v>-457186</v>
      </c>
      <c r="H45" s="33">
        <f t="shared" ref="H45:L45" si="7">H40</f>
        <v>-294025</v>
      </c>
      <c r="I45" s="33">
        <f t="shared" si="7"/>
        <v>108725</v>
      </c>
      <c r="J45" s="33">
        <f t="shared" si="7"/>
        <v>239781.5</v>
      </c>
      <c r="K45" s="33">
        <f t="shared" si="7"/>
        <v>501984.34200000111</v>
      </c>
      <c r="L45" s="33">
        <f t="shared" si="7"/>
        <v>768119.44000000134</v>
      </c>
    </row>
    <row r="46" spans="2:16" ht="16">
      <c r="F46" s="59" t="s">
        <v>145</v>
      </c>
      <c r="G46" s="34"/>
      <c r="H46" s="34"/>
      <c r="I46" s="34"/>
      <c r="J46" s="34"/>
      <c r="K46" s="34"/>
      <c r="L46" s="40"/>
    </row>
    <row r="47" spans="2:16" ht="16">
      <c r="F47" s="46" t="s">
        <v>147</v>
      </c>
      <c r="G47" s="33">
        <f>G35</f>
        <v>1170072</v>
      </c>
      <c r="H47" s="33">
        <f t="shared" ref="H47:L47" si="8">H35</f>
        <v>1152711</v>
      </c>
      <c r="I47" s="33">
        <f t="shared" si="8"/>
        <v>1076661</v>
      </c>
      <c r="J47" s="33">
        <f t="shared" si="8"/>
        <v>1061583</v>
      </c>
      <c r="K47" s="33">
        <f t="shared" si="8"/>
        <v>1012919</v>
      </c>
      <c r="L47" s="39">
        <f t="shared" si="8"/>
        <v>875551</v>
      </c>
    </row>
    <row r="48" spans="2:16" ht="32">
      <c r="F48" s="59" t="s">
        <v>150</v>
      </c>
      <c r="G48" s="34"/>
      <c r="H48" s="34"/>
      <c r="I48" s="34"/>
      <c r="J48" s="34"/>
      <c r="K48" s="34"/>
      <c r="L48" s="40"/>
    </row>
    <row r="49" spans="3:12" ht="16">
      <c r="F49" s="46" t="s">
        <v>349</v>
      </c>
      <c r="G49" s="33">
        <f>G66</f>
        <v>510300</v>
      </c>
      <c r="H49" s="33">
        <f t="shared" ref="H49:L49" si="9">H66</f>
        <v>561330</v>
      </c>
      <c r="I49" s="33">
        <f t="shared" si="9"/>
        <v>607171.94999999995</v>
      </c>
      <c r="J49" s="33">
        <f t="shared" si="9"/>
        <v>637530.54749999999</v>
      </c>
      <c r="K49" s="33">
        <f t="shared" si="9"/>
        <v>663734.15198999993</v>
      </c>
      <c r="L49" s="33">
        <f t="shared" si="9"/>
        <v>664641.80873999989</v>
      </c>
    </row>
    <row r="50" spans="3:12" ht="16">
      <c r="F50" s="46" t="s">
        <v>207</v>
      </c>
      <c r="G50" s="33">
        <f>G71</f>
        <v>567000</v>
      </c>
      <c r="H50" s="33">
        <f t="shared" ref="H50:L50" si="10">H71</f>
        <v>623700.00000000012</v>
      </c>
      <c r="I50" s="33">
        <f t="shared" si="10"/>
        <v>674635.50000000012</v>
      </c>
      <c r="J50" s="33">
        <f t="shared" si="10"/>
        <v>708367.27500000002</v>
      </c>
      <c r="K50" s="33">
        <f t="shared" si="10"/>
        <v>737482.39110000001</v>
      </c>
      <c r="L50" s="33">
        <f t="shared" si="10"/>
        <v>738490.89859999996</v>
      </c>
    </row>
    <row r="51" spans="3:12" ht="16">
      <c r="F51" s="59" t="s">
        <v>160</v>
      </c>
      <c r="G51" s="33">
        <f t="shared" ref="G51:L51" si="11">G45+G47-G49+G50</f>
        <v>769586</v>
      </c>
      <c r="H51" s="33">
        <f t="shared" si="11"/>
        <v>921056.00000000012</v>
      </c>
      <c r="I51" s="33">
        <f t="shared" si="11"/>
        <v>1252849.5500000003</v>
      </c>
      <c r="J51" s="33">
        <f t="shared" si="11"/>
        <v>1372201.2275</v>
      </c>
      <c r="K51" s="33">
        <f t="shared" si="11"/>
        <v>1588651.5811100011</v>
      </c>
      <c r="L51" s="33">
        <f t="shared" si="11"/>
        <v>1717519.5298600015</v>
      </c>
    </row>
    <row r="52" spans="3:12" ht="16">
      <c r="F52" s="59" t="s">
        <v>164</v>
      </c>
      <c r="G52" s="34"/>
      <c r="H52" s="34"/>
      <c r="I52" s="34"/>
      <c r="J52" s="34"/>
      <c r="K52" s="34"/>
      <c r="L52" s="40"/>
    </row>
    <row r="53" spans="3:12" ht="16">
      <c r="F53" s="46" t="s">
        <v>213</v>
      </c>
      <c r="G53" s="33">
        <f>-C9</f>
        <v>-4290400</v>
      </c>
      <c r="H53" s="33">
        <v>0</v>
      </c>
      <c r="I53" s="33">
        <v>0</v>
      </c>
      <c r="J53" s="33">
        <v>0</v>
      </c>
      <c r="K53" s="33">
        <v>0</v>
      </c>
      <c r="L53" s="39">
        <v>0</v>
      </c>
    </row>
    <row r="54" spans="3:12" ht="16">
      <c r="F54" s="59" t="s">
        <v>171</v>
      </c>
      <c r="G54" s="34"/>
      <c r="H54" s="34"/>
      <c r="I54" s="34"/>
      <c r="J54" s="34"/>
      <c r="K54" s="34"/>
      <c r="L54" s="40"/>
    </row>
    <row r="55" spans="3:12" ht="16">
      <c r="F55" s="46" t="s">
        <v>226</v>
      </c>
      <c r="G55" s="136">
        <v>12000000</v>
      </c>
      <c r="H55" s="33">
        <v>0</v>
      </c>
      <c r="I55" s="33">
        <v>0</v>
      </c>
      <c r="J55" s="33">
        <v>0</v>
      </c>
      <c r="K55" s="33">
        <v>0</v>
      </c>
      <c r="L55" s="39">
        <v>0</v>
      </c>
    </row>
    <row r="56" spans="3:12" ht="16">
      <c r="F56" s="59" t="s">
        <v>180</v>
      </c>
      <c r="G56" s="33">
        <f>G51+G53+G55</f>
        <v>8479186</v>
      </c>
      <c r="H56" s="33">
        <f t="shared" ref="H56:L56" si="12">H51+H53+H55</f>
        <v>921056.00000000012</v>
      </c>
      <c r="I56" s="33">
        <f t="shared" si="12"/>
        <v>1252849.5500000003</v>
      </c>
      <c r="J56" s="33">
        <f t="shared" si="12"/>
        <v>1372201.2275</v>
      </c>
      <c r="K56" s="33">
        <f t="shared" si="12"/>
        <v>1588651.5811100011</v>
      </c>
      <c r="L56" s="39">
        <f t="shared" si="12"/>
        <v>1717519.5298600015</v>
      </c>
    </row>
    <row r="57" spans="3:12">
      <c r="F57" s="37" t="s">
        <v>184</v>
      </c>
      <c r="G57" s="33">
        <v>991610</v>
      </c>
      <c r="H57" s="33">
        <f>G58</f>
        <v>9470796</v>
      </c>
      <c r="I57" s="33">
        <f t="shared" ref="I57:L57" si="13">H58</f>
        <v>10391852</v>
      </c>
      <c r="J57" s="33">
        <f t="shared" si="13"/>
        <v>11644701.550000001</v>
      </c>
      <c r="K57" s="33">
        <f t="shared" si="13"/>
        <v>13016902.7775</v>
      </c>
      <c r="L57" s="39">
        <f t="shared" si="13"/>
        <v>14605554.35861</v>
      </c>
    </row>
    <row r="58" spans="3:12" ht="16">
      <c r="F58" s="60" t="s">
        <v>188</v>
      </c>
      <c r="G58" s="45">
        <f>G56+G57</f>
        <v>9470796</v>
      </c>
      <c r="H58" s="45">
        <f>H56+H57</f>
        <v>10391852</v>
      </c>
      <c r="I58" s="45">
        <f t="shared" ref="I58:L58" si="14">I56+I57</f>
        <v>11644701.550000001</v>
      </c>
      <c r="J58" s="45">
        <f t="shared" si="14"/>
        <v>13016902.7775</v>
      </c>
      <c r="K58" s="45">
        <f t="shared" si="14"/>
        <v>14605554.35861</v>
      </c>
      <c r="L58" s="61">
        <f t="shared" si="14"/>
        <v>16323073.888470002</v>
      </c>
    </row>
    <row r="59" spans="3:12">
      <c r="C59" t="s">
        <v>201</v>
      </c>
    </row>
    <row r="62" spans="3:12">
      <c r="F62" s="32" t="s">
        <v>350</v>
      </c>
    </row>
    <row r="63" spans="3:12" ht="16">
      <c r="F63" s="75" t="s">
        <v>2</v>
      </c>
      <c r="G63" s="76" t="s">
        <v>101</v>
      </c>
      <c r="H63" s="76" t="s">
        <v>102</v>
      </c>
      <c r="I63" s="76" t="s">
        <v>103</v>
      </c>
      <c r="J63" s="76" t="s">
        <v>104</v>
      </c>
      <c r="K63" s="76" t="s">
        <v>105</v>
      </c>
      <c r="L63" s="77" t="s">
        <v>106</v>
      </c>
    </row>
    <row r="64" spans="3:12" ht="16">
      <c r="F64" s="59" t="s">
        <v>34</v>
      </c>
      <c r="G64" s="34"/>
      <c r="H64" s="34"/>
      <c r="I64" s="34"/>
      <c r="J64" s="34"/>
      <c r="K64" s="34"/>
      <c r="L64" s="40"/>
    </row>
    <row r="65" spans="6:12" ht="16">
      <c r="F65" s="46" t="s">
        <v>143</v>
      </c>
      <c r="G65" s="33">
        <f>G30*2%</f>
        <v>270000</v>
      </c>
      <c r="H65" s="33">
        <f t="shared" ref="H65:L65" si="15">H30*2%</f>
        <v>297000</v>
      </c>
      <c r="I65" s="33">
        <f t="shared" si="15"/>
        <v>326700</v>
      </c>
      <c r="J65" s="33">
        <f t="shared" si="15"/>
        <v>343035</v>
      </c>
      <c r="K65" s="33">
        <f t="shared" si="15"/>
        <v>360186.75</v>
      </c>
      <c r="L65" s="33">
        <f t="shared" si="15"/>
        <v>363788.61749999999</v>
      </c>
    </row>
    <row r="66" spans="6:12" ht="16">
      <c r="F66" s="46" t="s">
        <v>146</v>
      </c>
      <c r="G66" s="33">
        <f>G31*6.3%</f>
        <v>510300</v>
      </c>
      <c r="H66" s="33">
        <f t="shared" ref="H66:L66" si="16">H31*6.3%</f>
        <v>561330</v>
      </c>
      <c r="I66" s="33">
        <f t="shared" si="16"/>
        <v>607171.94999999995</v>
      </c>
      <c r="J66" s="33">
        <f t="shared" si="16"/>
        <v>637530.54749999999</v>
      </c>
      <c r="K66" s="33">
        <f t="shared" si="16"/>
        <v>663734.15198999993</v>
      </c>
      <c r="L66" s="33">
        <f t="shared" si="16"/>
        <v>664641.80873999989</v>
      </c>
    </row>
    <row r="67" spans="6:12" ht="16">
      <c r="F67" s="59" t="s">
        <v>43</v>
      </c>
      <c r="G67" s="33">
        <f>G65+G66</f>
        <v>780300</v>
      </c>
      <c r="H67" s="33">
        <f t="shared" ref="H67:L67" si="17">H65+H66</f>
        <v>858330</v>
      </c>
      <c r="I67" s="33">
        <f t="shared" si="17"/>
        <v>933871.95</v>
      </c>
      <c r="J67" s="33">
        <f t="shared" si="17"/>
        <v>980565.54749999999</v>
      </c>
      <c r="K67" s="33">
        <f t="shared" si="17"/>
        <v>1023920.9019899999</v>
      </c>
      <c r="L67" s="39">
        <f t="shared" si="17"/>
        <v>1028430.4262399999</v>
      </c>
    </row>
    <row r="68" spans="6:12" ht="16">
      <c r="F68" s="46" t="s">
        <v>154</v>
      </c>
      <c r="G68" s="33">
        <f>G30*'1-Store Portland Expansion'!S2</f>
        <v>2524500</v>
      </c>
      <c r="H68" s="33">
        <f>G68-$F$3</f>
        <v>1774500</v>
      </c>
      <c r="I68" s="33">
        <f t="shared" ref="I68:L68" si="18">H68-$F$3</f>
        <v>1024500</v>
      </c>
      <c r="J68" s="33">
        <f t="shared" si="18"/>
        <v>274500</v>
      </c>
      <c r="K68" s="33">
        <f t="shared" si="18"/>
        <v>-475500</v>
      </c>
      <c r="L68" s="39">
        <f t="shared" si="18"/>
        <v>-1225500</v>
      </c>
    </row>
    <row r="69" spans="6:12" ht="16">
      <c r="F69" s="59" t="s">
        <v>46</v>
      </c>
      <c r="G69" s="33">
        <f>G67+G68</f>
        <v>3304800</v>
      </c>
      <c r="H69" s="33">
        <f t="shared" ref="H69:L69" si="19">H67+H68</f>
        <v>2632830</v>
      </c>
      <c r="I69" s="33">
        <f t="shared" si="19"/>
        <v>1958371.95</v>
      </c>
      <c r="J69" s="33">
        <f t="shared" si="19"/>
        <v>1255065.5474999999</v>
      </c>
      <c r="K69" s="33">
        <f t="shared" si="19"/>
        <v>548420.90198999993</v>
      </c>
      <c r="L69" s="33">
        <f t="shared" si="19"/>
        <v>-197069.57376000006</v>
      </c>
    </row>
    <row r="70" spans="6:12" ht="16">
      <c r="F70" s="59" t="s">
        <v>161</v>
      </c>
      <c r="G70" s="34"/>
      <c r="H70" s="34"/>
      <c r="I70" s="34"/>
      <c r="J70" s="34"/>
      <c r="K70" s="34"/>
      <c r="L70" s="40"/>
    </row>
    <row r="71" spans="6:12" ht="16">
      <c r="F71" s="46" t="s">
        <v>165</v>
      </c>
      <c r="G71" s="33">
        <f>G31*7%</f>
        <v>567000</v>
      </c>
      <c r="H71" s="33">
        <f t="shared" ref="H71:L71" si="20">H31*7%</f>
        <v>623700.00000000012</v>
      </c>
      <c r="I71" s="33">
        <f t="shared" si="20"/>
        <v>674635.50000000012</v>
      </c>
      <c r="J71" s="33">
        <f t="shared" si="20"/>
        <v>708367.27500000002</v>
      </c>
      <c r="K71" s="33">
        <f t="shared" si="20"/>
        <v>737482.39110000001</v>
      </c>
      <c r="L71" s="33">
        <f t="shared" si="20"/>
        <v>738490.89859999996</v>
      </c>
    </row>
    <row r="72" spans="6:12" ht="16">
      <c r="F72" s="46" t="s">
        <v>169</v>
      </c>
      <c r="G72" s="33">
        <f t="shared" ref="G72:L72" si="21">G30*1.9%</f>
        <v>256500</v>
      </c>
      <c r="H72" s="33">
        <f t="shared" si="21"/>
        <v>282150</v>
      </c>
      <c r="I72" s="33">
        <f t="shared" si="21"/>
        <v>310365</v>
      </c>
      <c r="J72" s="33">
        <f t="shared" si="21"/>
        <v>325883.25</v>
      </c>
      <c r="K72" s="33">
        <f t="shared" si="21"/>
        <v>342177.41249999998</v>
      </c>
      <c r="L72" s="39">
        <f t="shared" si="21"/>
        <v>345599.18662499997</v>
      </c>
    </row>
    <row r="73" spans="6:12" ht="16">
      <c r="F73" s="59" t="s">
        <v>56</v>
      </c>
      <c r="G73" s="33">
        <f>G71+G72</f>
        <v>823500</v>
      </c>
      <c r="H73" s="33">
        <f t="shared" ref="H73:L73" si="22">H71+H72</f>
        <v>905850.00000000012</v>
      </c>
      <c r="I73" s="33">
        <f t="shared" si="22"/>
        <v>985000.50000000012</v>
      </c>
      <c r="J73" s="33">
        <f t="shared" si="22"/>
        <v>1034250.525</v>
      </c>
      <c r="K73" s="33">
        <f t="shared" si="22"/>
        <v>1079659.8036</v>
      </c>
      <c r="L73" s="39">
        <f t="shared" si="22"/>
        <v>1084090.085225</v>
      </c>
    </row>
    <row r="74" spans="6:12" ht="16">
      <c r="F74" s="46" t="s">
        <v>177</v>
      </c>
      <c r="G74" s="33">
        <f>' Green Zebra Historic Data'!$E$35 - 5000000</f>
        <v>2019863</v>
      </c>
      <c r="H74" s="33">
        <f>' Green Zebra Historic Data'!$E$35</f>
        <v>7019863</v>
      </c>
      <c r="I74" s="33">
        <f>' Green Zebra Historic Data'!$E$35</f>
        <v>7019863</v>
      </c>
      <c r="J74" s="33">
        <f>' Green Zebra Historic Data'!$E$35</f>
        <v>7019863</v>
      </c>
      <c r="K74" s="33">
        <f>' Green Zebra Historic Data'!$E$35</f>
        <v>7019863</v>
      </c>
      <c r="L74" s="39">
        <f>' Green Zebra Historic Data'!$E$35</f>
        <v>7019863</v>
      </c>
    </row>
    <row r="75" spans="6:12" ht="16">
      <c r="F75" s="59" t="s">
        <v>59</v>
      </c>
      <c r="G75" s="33">
        <f>G74+G73</f>
        <v>2843363</v>
      </c>
      <c r="H75" s="33">
        <f t="shared" ref="H75:L75" si="23">H74+H73</f>
        <v>7925713</v>
      </c>
      <c r="I75" s="33">
        <f t="shared" si="23"/>
        <v>8004863.5</v>
      </c>
      <c r="J75" s="33">
        <f t="shared" si="23"/>
        <v>8054113.5250000004</v>
      </c>
      <c r="K75" s="33">
        <f t="shared" si="23"/>
        <v>8099522.8036000002</v>
      </c>
      <c r="L75" s="39">
        <f t="shared" si="23"/>
        <v>8103953.085225</v>
      </c>
    </row>
    <row r="76" spans="6:12" ht="16">
      <c r="F76" s="59" t="s">
        <v>185</v>
      </c>
      <c r="G76" s="34"/>
      <c r="H76" s="34"/>
      <c r="I76" s="34"/>
      <c r="J76" s="34"/>
      <c r="K76" s="34"/>
      <c r="L76" s="40"/>
    </row>
    <row r="77" spans="6:12" ht="16">
      <c r="F77" s="46" t="s">
        <v>189</v>
      </c>
      <c r="G77" s="33">
        <f>' Green Zebra Historic Data'!$P$48 + G55 + 5000000</f>
        <v>26173230</v>
      </c>
      <c r="H77" s="33">
        <f>' Green Zebra Historic Data'!$P$48 + '3‐Store Seattle Expan '!$G$55 + 5000000</f>
        <v>26173230</v>
      </c>
      <c r="I77" s="33">
        <f>' Green Zebra Historic Data'!$P$48 + '3‐Store Seattle Expan '!$G$55 + 5000000</f>
        <v>26173230</v>
      </c>
      <c r="J77" s="33">
        <f>' Green Zebra Historic Data'!$P$48 + '3‐Store Seattle Expan '!$G$55 + 5000000</f>
        <v>26173230</v>
      </c>
      <c r="K77" s="33">
        <f>' Green Zebra Historic Data'!$P$48 + '3‐Store Seattle Expan '!$G$55 + 5000000</f>
        <v>26173230</v>
      </c>
      <c r="L77" s="33">
        <f>' Green Zebra Historic Data'!$P$48 + '3‐Store Seattle Expan '!$G$55 + 5000000</f>
        <v>26173230</v>
      </c>
    </row>
    <row r="78" spans="6:12" ht="16">
      <c r="F78" s="46" t="s">
        <v>192</v>
      </c>
      <c r="G78" s="33">
        <f>' Green Zebra Historic Data'!P49 + G79</f>
        <v>-11053876</v>
      </c>
      <c r="H78" s="33">
        <f>G78+H40</f>
        <v>-11347901</v>
      </c>
      <c r="I78" s="33">
        <f t="shared" ref="I78:L78" si="24">H78+I40</f>
        <v>-11239176</v>
      </c>
      <c r="J78" s="33">
        <f t="shared" si="24"/>
        <v>-10999394.5</v>
      </c>
      <c r="K78" s="33">
        <f t="shared" si="24"/>
        <v>-10497410.158</v>
      </c>
      <c r="L78" s="39">
        <f t="shared" si="24"/>
        <v>-9729290.7179999985</v>
      </c>
    </row>
    <row r="79" spans="6:12" ht="16">
      <c r="F79" s="46" t="s">
        <v>195</v>
      </c>
      <c r="G79" s="33">
        <f>G40</f>
        <v>-457186</v>
      </c>
      <c r="H79" s="33">
        <f t="shared" ref="H79:L79" si="25">H40</f>
        <v>-294025</v>
      </c>
      <c r="I79" s="33">
        <f t="shared" si="25"/>
        <v>108725</v>
      </c>
      <c r="J79" s="33">
        <f t="shared" si="25"/>
        <v>239781.5</v>
      </c>
      <c r="K79" s="33">
        <f t="shared" si="25"/>
        <v>501984.34200000111</v>
      </c>
      <c r="L79" s="39">
        <f t="shared" si="25"/>
        <v>768119.44000000134</v>
      </c>
    </row>
    <row r="80" spans="6:12" ht="16">
      <c r="F80" s="59" t="s">
        <v>196</v>
      </c>
      <c r="G80" s="33">
        <f>SUM(G77:G79)</f>
        <v>14662168</v>
      </c>
      <c r="H80" s="33">
        <f t="shared" ref="H80:L80" si="26">SUM(H77:H79)</f>
        <v>14531304</v>
      </c>
      <c r="I80" s="33">
        <f t="shared" si="26"/>
        <v>15042779</v>
      </c>
      <c r="J80" s="33">
        <f t="shared" si="26"/>
        <v>15413617</v>
      </c>
      <c r="K80" s="33">
        <f t="shared" si="26"/>
        <v>16177804.184</v>
      </c>
      <c r="L80" s="39">
        <f t="shared" si="26"/>
        <v>17212058.722000003</v>
      </c>
    </row>
    <row r="81" spans="6:12" ht="16">
      <c r="F81" s="60" t="s">
        <v>197</v>
      </c>
      <c r="G81" s="45">
        <f>SUM(G75+G80)</f>
        <v>17505531</v>
      </c>
      <c r="H81" s="45">
        <f t="shared" ref="H81:L81" si="27">SUM(H75+H80)</f>
        <v>22457017</v>
      </c>
      <c r="I81" s="45">
        <f t="shared" si="27"/>
        <v>23047642.5</v>
      </c>
      <c r="J81" s="45">
        <f t="shared" si="27"/>
        <v>23467730.524999999</v>
      </c>
      <c r="K81" s="45">
        <f t="shared" si="27"/>
        <v>24277326.987599999</v>
      </c>
      <c r="L81" s="61">
        <f t="shared" si="27"/>
        <v>25316011.807225004</v>
      </c>
    </row>
    <row r="82" spans="6:12" ht="16">
      <c r="F82" s="100" t="s">
        <v>351</v>
      </c>
      <c r="G82" s="45"/>
      <c r="H82" s="45"/>
      <c r="I82" s="45"/>
      <c r="J82" s="45"/>
      <c r="K82" s="45"/>
      <c r="L82" s="61"/>
    </row>
    <row r="83" spans="6:12" ht="16">
      <c r="F83" s="100" t="s">
        <v>201</v>
      </c>
      <c r="G83" s="45">
        <f>G81-G69</f>
        <v>14200731</v>
      </c>
      <c r="H83" s="45">
        <f t="shared" ref="H83:L83" si="28">H81-H69</f>
        <v>19824187</v>
      </c>
      <c r="I83" s="45">
        <f t="shared" si="28"/>
        <v>21089270.550000001</v>
      </c>
      <c r="J83" s="45">
        <f t="shared" si="28"/>
        <v>22212664.977499999</v>
      </c>
      <c r="K83" s="45">
        <f t="shared" si="28"/>
        <v>23728906.085609999</v>
      </c>
      <c r="L83" s="45">
        <f t="shared" si="28"/>
        <v>25513081.380985003</v>
      </c>
    </row>
    <row r="86" spans="6:12" ht="80">
      <c r="F86" s="49" t="s">
        <v>352</v>
      </c>
    </row>
  </sheetData>
  <pageMargins left="0.7" right="0.7" top="0.75" bottom="0.75" header="0.3" footer="0.3"/>
  <pageSetup paperSize="9" orientation="portrait" horizontalDpi="1200" verticalDpi="1200"/>
  <drawing r:id="rId1"/>
  <tableParts count="3">
    <tablePart r:id="rId2"/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0BADB-7373-47A9-94A6-1D8617D98785}">
  <dimension ref="A2:Q86"/>
  <sheetViews>
    <sheetView tabSelected="1" topLeftCell="A31" zoomScale="84" zoomScaleNormal="77" workbookViewId="0">
      <selection activeCell="G83" sqref="G83"/>
    </sheetView>
  </sheetViews>
  <sheetFormatPr baseColWidth="10" defaultColWidth="8.83203125" defaultRowHeight="15"/>
  <cols>
    <col min="1" max="1" width="15.83203125" bestFit="1" customWidth="1"/>
    <col min="2" max="2" width="36.5" bestFit="1" customWidth="1"/>
    <col min="3" max="3" width="54.5" customWidth="1"/>
    <col min="4" max="4" width="22.1640625" customWidth="1"/>
    <col min="6" max="6" width="25.83203125" customWidth="1"/>
    <col min="7" max="7" width="18.83203125" customWidth="1"/>
    <col min="8" max="8" width="17.83203125" customWidth="1"/>
    <col min="9" max="12" width="13.6640625" bestFit="1" customWidth="1"/>
    <col min="13" max="13" width="50.5" customWidth="1"/>
    <col min="14" max="14" width="17.5" customWidth="1"/>
    <col min="15" max="15" width="14" customWidth="1"/>
    <col min="16" max="16" width="16.83203125" customWidth="1"/>
  </cols>
  <sheetData>
    <row r="2" spans="1:17" ht="16">
      <c r="F2" s="137" t="s">
        <v>17</v>
      </c>
    </row>
    <row r="3" spans="1:17">
      <c r="B3" t="s">
        <v>319</v>
      </c>
      <c r="C3" s="6">
        <v>1250000</v>
      </c>
      <c r="D3">
        <f>C3*3</f>
        <v>3750000</v>
      </c>
      <c r="F3">
        <f>D3/5</f>
        <v>750000</v>
      </c>
    </row>
    <row r="4" spans="1:17">
      <c r="B4" t="s">
        <v>320</v>
      </c>
      <c r="C4" s="6">
        <v>94100</v>
      </c>
    </row>
    <row r="5" spans="1:17">
      <c r="B5" t="s">
        <v>321</v>
      </c>
      <c r="C5" s="6">
        <v>7700</v>
      </c>
    </row>
    <row r="6" spans="1:17">
      <c r="B6" t="s">
        <v>322</v>
      </c>
      <c r="C6" s="6">
        <f>C14*1%</f>
        <v>45000</v>
      </c>
    </row>
    <row r="7" spans="1:17">
      <c r="B7" t="s">
        <v>323</v>
      </c>
      <c r="C7">
        <f>100000/3</f>
        <v>33333.333333333336</v>
      </c>
    </row>
    <row r="8" spans="1:17">
      <c r="B8" t="s">
        <v>324</v>
      </c>
      <c r="C8" s="18">
        <f>SUM(C3:C7)</f>
        <v>1430133.3333333333</v>
      </c>
    </row>
    <row r="9" spans="1:17" ht="46">
      <c r="B9" t="s">
        <v>325</v>
      </c>
      <c r="C9">
        <f>C8*3</f>
        <v>4290400</v>
      </c>
      <c r="D9" t="s">
        <v>142</v>
      </c>
      <c r="G9" s="25" t="s">
        <v>326</v>
      </c>
      <c r="H9" s="25" t="s">
        <v>21</v>
      </c>
      <c r="I9" s="25" t="s">
        <v>26</v>
      </c>
      <c r="J9" s="25" t="s">
        <v>24</v>
      </c>
      <c r="K9" s="25" t="s">
        <v>327</v>
      </c>
    </row>
    <row r="10" spans="1:17">
      <c r="D10" t="s">
        <v>144</v>
      </c>
      <c r="E10" s="20">
        <v>0.125</v>
      </c>
      <c r="G10" s="26">
        <v>1</v>
      </c>
      <c r="H10" s="28">
        <v>0.189</v>
      </c>
      <c r="I10" s="28">
        <v>0.115</v>
      </c>
      <c r="J10" s="28">
        <v>0.01</v>
      </c>
      <c r="K10" s="28">
        <v>0.314</v>
      </c>
    </row>
    <row r="11" spans="1:17">
      <c r="G11" s="26">
        <v>2</v>
      </c>
      <c r="H11" s="28">
        <v>0.187</v>
      </c>
      <c r="I11" s="28">
        <v>0.115</v>
      </c>
      <c r="J11" s="28">
        <v>0.01</v>
      </c>
      <c r="K11" s="28">
        <v>0.312</v>
      </c>
    </row>
    <row r="12" spans="1:17">
      <c r="A12" t="s">
        <v>151</v>
      </c>
      <c r="G12" s="26">
        <v>3</v>
      </c>
      <c r="H12" s="28">
        <v>0.185</v>
      </c>
      <c r="I12" s="28">
        <v>0.115</v>
      </c>
      <c r="J12" s="28">
        <v>0.01</v>
      </c>
      <c r="K12" s="28">
        <v>0.31</v>
      </c>
    </row>
    <row r="13" spans="1:17">
      <c r="B13" s="1" t="s">
        <v>2</v>
      </c>
      <c r="C13" s="1" t="s">
        <v>156</v>
      </c>
      <c r="G13" s="26">
        <v>4</v>
      </c>
      <c r="H13" s="28">
        <v>0.183</v>
      </c>
      <c r="I13" s="28">
        <v>0.115</v>
      </c>
      <c r="J13" s="28">
        <v>0.01</v>
      </c>
      <c r="K13" s="28">
        <v>0.308</v>
      </c>
    </row>
    <row r="14" spans="1:17">
      <c r="B14" s="1" t="s">
        <v>159</v>
      </c>
      <c r="C14" s="7">
        <v>4500000</v>
      </c>
      <c r="G14" s="26">
        <v>5</v>
      </c>
      <c r="H14" s="28">
        <v>0.18099999999999999</v>
      </c>
      <c r="I14" s="28">
        <v>0.115</v>
      </c>
      <c r="J14" s="28">
        <v>0.01</v>
      </c>
      <c r="K14" s="28">
        <v>0.30599999999999999</v>
      </c>
    </row>
    <row r="15" spans="1:17">
      <c r="B15" s="1" t="s">
        <v>162</v>
      </c>
      <c r="C15" t="s">
        <v>328</v>
      </c>
      <c r="G15" s="26">
        <v>6</v>
      </c>
      <c r="H15" s="28">
        <v>0.18</v>
      </c>
      <c r="I15" s="28">
        <v>0.115</v>
      </c>
      <c r="J15" s="28">
        <v>0.01</v>
      </c>
      <c r="K15" s="28">
        <v>0.30499999999999999</v>
      </c>
    </row>
    <row r="16" spans="1:17">
      <c r="B16" s="1" t="s">
        <v>166</v>
      </c>
      <c r="C16" s="1" t="s">
        <v>329</v>
      </c>
      <c r="L16" s="4" cm="1">
        <f t="array" ref="L16:Q16">TRANSPOSE(K10:K15)</f>
        <v>0.314</v>
      </c>
      <c r="M16" s="4">
        <v>0.312</v>
      </c>
      <c r="N16" s="4">
        <v>0.31</v>
      </c>
      <c r="O16" s="4">
        <v>0.308</v>
      </c>
      <c r="P16" s="4">
        <v>0.30599999999999999</v>
      </c>
      <c r="Q16" s="4">
        <v>0.30499999999999999</v>
      </c>
    </row>
    <row r="17" spans="2:15" ht="16">
      <c r="B17" s="1" t="s">
        <v>330</v>
      </c>
      <c r="C17" s="27" t="s">
        <v>331</v>
      </c>
    </row>
    <row r="18" spans="2:15">
      <c r="B18" s="1"/>
      <c r="C18" s="1"/>
    </row>
    <row r="19" spans="2:15">
      <c r="B19" s="1"/>
      <c r="C19" s="1"/>
    </row>
    <row r="20" spans="2:15">
      <c r="B20" s="1" t="s">
        <v>178</v>
      </c>
      <c r="C20" s="1"/>
    </row>
    <row r="21" spans="2:15">
      <c r="B21" s="1" t="s">
        <v>182</v>
      </c>
      <c r="C21" s="19"/>
      <c r="D21" s="11"/>
    </row>
    <row r="22" spans="2:15" ht="32">
      <c r="B22" s="1" t="s">
        <v>186</v>
      </c>
      <c r="C22" s="27" t="s">
        <v>332</v>
      </c>
      <c r="G22" s="138">
        <f>G25*G27+' Green Zebra Historic Data'!M100+' Green Zebra Historic Data'!M102+' Green Zebra Historic Data'!M103</f>
        <v>9218289.4710000008</v>
      </c>
    </row>
    <row r="23" spans="2:15">
      <c r="B23" s="1" t="s">
        <v>190</v>
      </c>
      <c r="C23" s="1" t="s">
        <v>191</v>
      </c>
    </row>
    <row r="25" spans="2:15">
      <c r="C25" s="4"/>
      <c r="F25" t="s">
        <v>333</v>
      </c>
      <c r="G25" s="36">
        <v>13500000</v>
      </c>
      <c r="H25" s="36">
        <v>14850000</v>
      </c>
      <c r="I25" s="36">
        <v>16335000</v>
      </c>
      <c r="J25" s="36">
        <v>17151750</v>
      </c>
      <c r="K25" s="36">
        <v>18009338</v>
      </c>
      <c r="L25" s="36">
        <v>18189431</v>
      </c>
    </row>
    <row r="26" spans="2:15">
      <c r="F26" t="s">
        <v>334</v>
      </c>
      <c r="H26" s="4">
        <v>0.6</v>
      </c>
      <c r="I26" s="4">
        <v>0.59</v>
      </c>
      <c r="J26" s="4">
        <v>0.59</v>
      </c>
      <c r="K26" s="4">
        <v>0.58499999999999996</v>
      </c>
      <c r="L26" s="4">
        <v>0.57999999999999996</v>
      </c>
    </row>
    <row r="27" spans="2:15" ht="31">
      <c r="F27" s="25" t="s">
        <v>327</v>
      </c>
      <c r="G27" s="4">
        <f>L16</f>
        <v>0.314</v>
      </c>
      <c r="H27" s="4">
        <f t="shared" ref="H27:L27" si="0">M16</f>
        <v>0.312</v>
      </c>
      <c r="I27" s="4">
        <f t="shared" si="0"/>
        <v>0.31</v>
      </c>
      <c r="J27" s="4">
        <f t="shared" si="0"/>
        <v>0.308</v>
      </c>
      <c r="K27" s="4">
        <f t="shared" si="0"/>
        <v>0.30599999999999999</v>
      </c>
      <c r="L27" s="4">
        <f t="shared" si="0"/>
        <v>0.30499999999999999</v>
      </c>
    </row>
    <row r="28" spans="2:15" ht="32">
      <c r="B28" s="49" t="s">
        <v>335</v>
      </c>
      <c r="F28" s="32" t="s">
        <v>336</v>
      </c>
      <c r="M28" s="50"/>
      <c r="N28" s="50"/>
      <c r="O28" s="50"/>
    </row>
    <row r="29" spans="2:15" ht="16">
      <c r="F29" s="75" t="s">
        <v>2</v>
      </c>
      <c r="G29" s="76" t="s">
        <v>101</v>
      </c>
      <c r="H29" s="76" t="s">
        <v>102</v>
      </c>
      <c r="I29" s="76" t="s">
        <v>103</v>
      </c>
      <c r="J29" s="76" t="s">
        <v>104</v>
      </c>
      <c r="K29" s="76" t="s">
        <v>105</v>
      </c>
      <c r="L29" s="77" t="s">
        <v>106</v>
      </c>
      <c r="M29" s="97"/>
      <c r="N29" s="51"/>
      <c r="O29" s="51"/>
    </row>
    <row r="30" spans="2:15" ht="16">
      <c r="B30" t="s">
        <v>337</v>
      </c>
      <c r="F30" s="59" t="s">
        <v>8</v>
      </c>
      <c r="G30" s="33">
        <f>C14*3 + ' Green Zebra Historic Data'!N66</f>
        <v>25855557</v>
      </c>
      <c r="H30" s="33">
        <f>Table8[[#This Row],[2020]]+Table8[[#This Row],[2020]]*10%+' Green Zebra Historic Data'!O66</f>
        <v>41483056.700000003</v>
      </c>
      <c r="I30" s="33">
        <f>Table8[[#This Row],[2021]]+Table8[[#This Row],[2021]]*10%+' Green Zebra Historic Data'!P66</f>
        <v>59273395.370000005</v>
      </c>
      <c r="J30" s="33">
        <f>Table8[[#This Row],[2022]]+Table8[[#This Row],[2022]]*5%+' Green Zebra Historic Data'!Q66</f>
        <v>76321037.138500005</v>
      </c>
      <c r="K30" s="33">
        <f>Table8[[#This Row],[2023]]+Table8[[#This Row],[2023]]*5%+' Green Zebra Historic Data'!R66</f>
        <v>94233060.995425001</v>
      </c>
      <c r="L30" s="33">
        <f>Table8[[#This Row],[2024]]+Table8[[#This Row],[2024]]*1%+' Green Zebra Historic Data'!S66</f>
        <v>109271363.60537925</v>
      </c>
      <c r="M30" s="51"/>
      <c r="N30" s="51"/>
      <c r="O30" s="51"/>
    </row>
    <row r="31" spans="2:15" ht="16">
      <c r="B31" t="s">
        <v>338</v>
      </c>
      <c r="F31" s="59" t="s">
        <v>110</v>
      </c>
      <c r="G31" s="33">
        <f>G25*60% + ' Green Zebra Historic Data'!N66*'1-Store Portland Expansion'!G9</f>
        <v>15451556.414999999</v>
      </c>
      <c r="H31" s="33">
        <f>H25*60% + ' Green Zebra Historic Data'!O66*'1-Store Portland Expansion'!H9</f>
        <v>16604746.960000001</v>
      </c>
      <c r="I31" s="33">
        <f>I25*59% + ' Green Zebra Historic Data'!P66*'1-Store Portland Expansion'!I9</f>
        <v>17550029.140000001</v>
      </c>
      <c r="J31" s="33">
        <f>J25*59% + ' Green Zebra Historic Data'!Q66*'1-Store Portland Expansion'!J9</f>
        <v>18288236.259999998</v>
      </c>
      <c r="K31" s="33">
        <f>K25*58.5% + ' Green Zebra Historic Data'!R66*'1-Store Portland Expansion'!K9</f>
        <v>18711126.489999998</v>
      </c>
      <c r="L31" s="33">
        <f>L25*58% + ' Green Zebra Historic Data'!S66*'1-Store Portland Expansion'!L9</f>
        <v>18725533.739999998</v>
      </c>
      <c r="M31" s="51" t="s">
        <v>339</v>
      </c>
      <c r="N31" s="51"/>
      <c r="O31" s="51"/>
    </row>
    <row r="32" spans="2:15" ht="16">
      <c r="B32" t="s">
        <v>340</v>
      </c>
      <c r="F32" s="59" t="s">
        <v>10</v>
      </c>
      <c r="G32" s="33">
        <f>G30-G31</f>
        <v>10404000.585000001</v>
      </c>
      <c r="H32" s="33">
        <f t="shared" ref="H32:L32" si="1">H30-H31</f>
        <v>24878309.740000002</v>
      </c>
      <c r="I32" s="33">
        <f t="shared" si="1"/>
        <v>41723366.230000004</v>
      </c>
      <c r="J32" s="33">
        <f t="shared" si="1"/>
        <v>58032800.878500007</v>
      </c>
      <c r="K32" s="33">
        <f t="shared" si="1"/>
        <v>75521934.505425006</v>
      </c>
      <c r="L32" s="39">
        <f t="shared" si="1"/>
        <v>90545829.865379259</v>
      </c>
      <c r="M32" s="51"/>
      <c r="N32" s="51"/>
      <c r="O32" s="51"/>
    </row>
    <row r="33" spans="2:16" ht="16">
      <c r="B33" t="s">
        <v>341</v>
      </c>
      <c r="F33" s="59" t="s">
        <v>330</v>
      </c>
      <c r="G33" s="33">
        <f>G25*G27+' Green Zebra Historic Data'!M100+' Green Zebra Historic Data'!M102+' Green Zebra Historic Data'!M103</f>
        <v>9218289.4710000008</v>
      </c>
      <c r="H33" s="33">
        <f>H25*H27+' Green Zebra Historic Data'!N100+' Green Zebra Historic Data'!N102+' Green Zebra Historic Data'!N103</f>
        <v>9784767.879999999</v>
      </c>
      <c r="I33" s="33">
        <f>I25*I27+' Green Zebra Historic Data'!O100+' Green Zebra Historic Data'!O102+' Green Zebra Historic Data'!O103</f>
        <v>10316032.705</v>
      </c>
      <c r="J33" s="33">
        <f>J25*J27+' Green Zebra Historic Data'!P100+' Green Zebra Historic Data'!P102+' Green Zebra Historic Data'!P103</f>
        <v>10592396.444</v>
      </c>
      <c r="K33" s="33">
        <f>K25*K27+' Green Zebra Historic Data'!Q100+' Green Zebra Historic Data'!Q102+' Green Zebra Historic Data'!Q103</f>
        <v>10768654.984000001</v>
      </c>
      <c r="L33" s="33">
        <f>L25*L27+' Green Zebra Historic Data'!R100+' Green Zebra Historic Data'!R102+' Green Zebra Historic Data'!R103</f>
        <v>10805574.011</v>
      </c>
      <c r="M33" s="51"/>
      <c r="N33" s="51"/>
      <c r="O33" s="51"/>
    </row>
    <row r="34" spans="2:16" ht="16">
      <c r="F34" s="59" t="s">
        <v>15</v>
      </c>
      <c r="G34" s="33">
        <f>G32-G33</f>
        <v>1185711.1140000001</v>
      </c>
      <c r="H34" s="33">
        <f t="shared" ref="H34:L34" si="2">H32-H33</f>
        <v>15093541.860000003</v>
      </c>
      <c r="I34" s="33">
        <f t="shared" si="2"/>
        <v>31407333.525000006</v>
      </c>
      <c r="J34" s="33">
        <f t="shared" si="2"/>
        <v>47440404.434500009</v>
      </c>
      <c r="K34" s="33">
        <f t="shared" si="2"/>
        <v>64753279.521425009</v>
      </c>
      <c r="L34" s="39">
        <f t="shared" si="2"/>
        <v>79740255.854379267</v>
      </c>
      <c r="M34" s="51"/>
      <c r="N34" s="51"/>
      <c r="O34" s="51"/>
    </row>
    <row r="35" spans="2:16" ht="16">
      <c r="F35" s="59" t="s">
        <v>17</v>
      </c>
      <c r="G35" s="78">
        <f>$F$3+' Green Zebra Historic Data'!M105</f>
        <v>1170072</v>
      </c>
      <c r="H35" s="78">
        <f>$F$3+' Green Zebra Historic Data'!N105</f>
        <v>1152711</v>
      </c>
      <c r="I35" s="78">
        <f>$F$3+' Green Zebra Historic Data'!O105</f>
        <v>1076661</v>
      </c>
      <c r="J35" s="78">
        <f>$F$3+' Green Zebra Historic Data'!P105</f>
        <v>1061583</v>
      </c>
      <c r="K35" s="78">
        <f>$F$3+' Green Zebra Historic Data'!Q105</f>
        <v>1012919</v>
      </c>
      <c r="L35" s="78">
        <f>$F$3+' Green Zebra Historic Data'!R105</f>
        <v>875551</v>
      </c>
      <c r="M35" s="51"/>
      <c r="N35" s="51"/>
      <c r="O35" s="51"/>
    </row>
    <row r="36" spans="2:16" ht="16">
      <c r="F36" s="59" t="s">
        <v>114</v>
      </c>
      <c r="G36" s="33">
        <f>G34-G35</f>
        <v>15639.11400000006</v>
      </c>
      <c r="H36" s="33">
        <f t="shared" ref="H36:L36" si="3">H34-H35</f>
        <v>13940830.860000003</v>
      </c>
      <c r="I36" s="33">
        <f t="shared" si="3"/>
        <v>30330672.525000006</v>
      </c>
      <c r="J36" s="33">
        <f t="shared" si="3"/>
        <v>46378821.434500009</v>
      </c>
      <c r="K36" s="33">
        <f t="shared" si="3"/>
        <v>63740360.521425009</v>
      </c>
      <c r="L36" s="39">
        <f t="shared" si="3"/>
        <v>78864704.854379267</v>
      </c>
    </row>
    <row r="37" spans="2:16" ht="16">
      <c r="F37" s="59" t="s">
        <v>19</v>
      </c>
      <c r="G37" s="33">
        <f>' Green Zebra Historic Data'!$P$19</f>
        <v>433114</v>
      </c>
      <c r="H37" s="33">
        <f>' Green Zebra Historic Data'!$P$19</f>
        <v>433114</v>
      </c>
      <c r="I37" s="33">
        <f>' Green Zebra Historic Data'!$P$19</f>
        <v>433114</v>
      </c>
      <c r="J37" s="33">
        <f>' Green Zebra Historic Data'!$P$19</f>
        <v>433114</v>
      </c>
      <c r="K37" s="33">
        <f>' Green Zebra Historic Data'!$P$19</f>
        <v>433114</v>
      </c>
      <c r="L37" s="33">
        <f>' Green Zebra Historic Data'!$P$19</f>
        <v>433114</v>
      </c>
      <c r="M37" t="s">
        <v>342</v>
      </c>
    </row>
    <row r="38" spans="2:16" ht="16">
      <c r="F38" s="59" t="s">
        <v>343</v>
      </c>
      <c r="G38" s="33">
        <f>G36-G37</f>
        <v>-417474.88599999994</v>
      </c>
      <c r="H38" s="33">
        <f t="shared" ref="H38:L38" si="4">H36-H37</f>
        <v>13507716.860000003</v>
      </c>
      <c r="I38" s="33">
        <f t="shared" si="4"/>
        <v>29897558.525000006</v>
      </c>
      <c r="J38" s="33">
        <f t="shared" si="4"/>
        <v>45945707.434500009</v>
      </c>
      <c r="K38" s="33">
        <f t="shared" si="4"/>
        <v>63307246.521425009</v>
      </c>
      <c r="L38" s="39">
        <f t="shared" si="4"/>
        <v>78431590.854379267</v>
      </c>
    </row>
    <row r="39" spans="2:16" ht="33.75" customHeight="1">
      <c r="F39" s="59" t="s">
        <v>344</v>
      </c>
      <c r="G39" s="33">
        <v>15000</v>
      </c>
      <c r="H39" s="33">
        <f>P40*28.6%</f>
        <v>2319560.8853560011</v>
      </c>
      <c r="I39" s="33">
        <f>I38*28.6%</f>
        <v>8550701.7381500024</v>
      </c>
      <c r="J39" s="33">
        <f t="shared" ref="J39:L39" si="5">J38*28.6%</f>
        <v>13140472.326267004</v>
      </c>
      <c r="K39" s="33">
        <f t="shared" si="5"/>
        <v>18105872.505127553</v>
      </c>
      <c r="L39" s="33">
        <f t="shared" si="5"/>
        <v>22431434.984352473</v>
      </c>
      <c r="M39" s="49" t="s">
        <v>345</v>
      </c>
      <c r="O39" t="s">
        <v>346</v>
      </c>
      <c r="P39" s="49" t="s">
        <v>347</v>
      </c>
    </row>
    <row r="40" spans="2:16" ht="16">
      <c r="F40" s="60" t="s">
        <v>118</v>
      </c>
      <c r="G40" s="45">
        <f>G38-G39</f>
        <v>-432474.88599999994</v>
      </c>
      <c r="H40" s="135">
        <f t="shared" ref="H40:L40" si="6">H38-H39</f>
        <v>11188155.974644002</v>
      </c>
      <c r="I40" s="45">
        <f t="shared" si="6"/>
        <v>21346856.786850005</v>
      </c>
      <c r="J40" s="45">
        <f t="shared" si="6"/>
        <v>32805235.108233005</v>
      </c>
      <c r="K40" s="45">
        <f t="shared" si="6"/>
        <v>45201374.01629746</v>
      </c>
      <c r="L40" s="61">
        <f t="shared" si="6"/>
        <v>56000155.870026797</v>
      </c>
      <c r="O40" s="98">
        <f>SUM(' Green Zebra Historic Data'!N25:P25)-Table8[[#This Row],[2020]]</f>
        <v>-5397364.1140000001</v>
      </c>
      <c r="P40" s="98">
        <f>H38+O40</f>
        <v>8110352.7460000031</v>
      </c>
    </row>
    <row r="41" spans="2:16">
      <c r="F41" s="24"/>
      <c r="G41" s="23"/>
      <c r="H41" s="23"/>
      <c r="I41" s="23"/>
      <c r="J41" s="23"/>
      <c r="K41" s="23"/>
      <c r="L41" s="23"/>
    </row>
    <row r="42" spans="2:16">
      <c r="F42" s="22"/>
      <c r="G42" s="23"/>
      <c r="H42" s="23"/>
      <c r="I42" s="23"/>
      <c r="J42" s="23"/>
      <c r="K42" s="23"/>
      <c r="L42" s="23"/>
    </row>
    <row r="43" spans="2:16">
      <c r="F43" s="32" t="s">
        <v>348</v>
      </c>
    </row>
    <row r="44" spans="2:16" ht="16">
      <c r="F44" s="75" t="s">
        <v>2</v>
      </c>
      <c r="G44" s="76" t="s">
        <v>101</v>
      </c>
      <c r="H44" s="76" t="s">
        <v>102</v>
      </c>
      <c r="I44" s="76" t="s">
        <v>103</v>
      </c>
      <c r="J44" s="76" t="s">
        <v>104</v>
      </c>
      <c r="K44" s="76" t="s">
        <v>105</v>
      </c>
      <c r="L44" s="77" t="s">
        <v>106</v>
      </c>
    </row>
    <row r="45" spans="2:16" ht="16">
      <c r="F45" s="59" t="s">
        <v>118</v>
      </c>
      <c r="G45" s="33">
        <f>G40</f>
        <v>-432474.88599999994</v>
      </c>
      <c r="H45" s="33">
        <f t="shared" ref="H45:L45" si="7">H40</f>
        <v>11188155.974644002</v>
      </c>
      <c r="I45" s="33">
        <f t="shared" si="7"/>
        <v>21346856.786850005</v>
      </c>
      <c r="J45" s="33">
        <f t="shared" si="7"/>
        <v>32805235.108233005</v>
      </c>
      <c r="K45" s="33">
        <f t="shared" si="7"/>
        <v>45201374.01629746</v>
      </c>
      <c r="L45" s="33">
        <f t="shared" si="7"/>
        <v>56000155.870026797</v>
      </c>
    </row>
    <row r="46" spans="2:16" ht="16">
      <c r="F46" s="59" t="s">
        <v>145</v>
      </c>
      <c r="G46" s="34"/>
      <c r="H46" s="34"/>
      <c r="I46" s="34"/>
      <c r="J46" s="34"/>
      <c r="K46" s="34"/>
      <c r="L46" s="40"/>
    </row>
    <row r="47" spans="2:16" ht="16">
      <c r="F47" s="46" t="s">
        <v>147</v>
      </c>
      <c r="G47" s="33">
        <f>G35</f>
        <v>1170072</v>
      </c>
      <c r="H47" s="33">
        <f t="shared" ref="H47:L47" si="8">H35</f>
        <v>1152711</v>
      </c>
      <c r="I47" s="33">
        <f t="shared" si="8"/>
        <v>1076661</v>
      </c>
      <c r="J47" s="33">
        <f t="shared" si="8"/>
        <v>1061583</v>
      </c>
      <c r="K47" s="33">
        <f t="shared" si="8"/>
        <v>1012919</v>
      </c>
      <c r="L47" s="39">
        <f t="shared" si="8"/>
        <v>875551</v>
      </c>
    </row>
    <row r="48" spans="2:16" ht="32">
      <c r="F48" s="59" t="s">
        <v>150</v>
      </c>
      <c r="G48" s="34"/>
      <c r="H48" s="34"/>
      <c r="I48" s="34"/>
      <c r="J48" s="34"/>
      <c r="K48" s="34"/>
      <c r="L48" s="40"/>
    </row>
    <row r="49" spans="3:12" ht="16">
      <c r="F49" s="46" t="s">
        <v>349</v>
      </c>
      <c r="G49" s="33">
        <f>G66</f>
        <v>973448.05414499994</v>
      </c>
      <c r="H49" s="33">
        <f t="shared" ref="H49:L49" si="9">H66</f>
        <v>1046099.05848</v>
      </c>
      <c r="I49" s="33">
        <f t="shared" si="9"/>
        <v>1105651.8358200002</v>
      </c>
      <c r="J49" s="33">
        <f t="shared" si="9"/>
        <v>1152158.8843799999</v>
      </c>
      <c r="K49" s="33">
        <f t="shared" si="9"/>
        <v>1178800.96887</v>
      </c>
      <c r="L49" s="33">
        <f t="shared" si="9"/>
        <v>1179708.6256199998</v>
      </c>
    </row>
    <row r="50" spans="3:12" ht="16">
      <c r="F50" s="46" t="s">
        <v>207</v>
      </c>
      <c r="G50" s="33">
        <f>G71</f>
        <v>1081608.9490499999</v>
      </c>
      <c r="H50" s="33">
        <f t="shared" ref="H50:L50" si="10">H71</f>
        <v>1162332.2872000001</v>
      </c>
      <c r="I50" s="33">
        <f t="shared" si="10"/>
        <v>1228502.0398000001</v>
      </c>
      <c r="J50" s="33">
        <f t="shared" si="10"/>
        <v>1280176.5382000001</v>
      </c>
      <c r="K50" s="33">
        <f t="shared" si="10"/>
        <v>1309778.8543</v>
      </c>
      <c r="L50" s="33">
        <f t="shared" si="10"/>
        <v>1310787.3618000001</v>
      </c>
    </row>
    <row r="51" spans="3:12" ht="16">
      <c r="F51" s="59" t="s">
        <v>160</v>
      </c>
      <c r="G51" s="33">
        <f t="shared" ref="G51:L51" si="11">G45+G47-G49+G50</f>
        <v>845758.00890500005</v>
      </c>
      <c r="H51" s="33">
        <f t="shared" si="11"/>
        <v>12457100.203364002</v>
      </c>
      <c r="I51" s="33">
        <f t="shared" si="11"/>
        <v>22546367.990830004</v>
      </c>
      <c r="J51" s="33">
        <f t="shared" si="11"/>
        <v>33994835.762053005</v>
      </c>
      <c r="K51" s="33">
        <f t="shared" si="11"/>
        <v>46345270.90172746</v>
      </c>
      <c r="L51" s="33">
        <f t="shared" si="11"/>
        <v>57006785.606206797</v>
      </c>
    </row>
    <row r="52" spans="3:12" ht="16">
      <c r="F52" s="59" t="s">
        <v>164</v>
      </c>
      <c r="G52" s="34"/>
      <c r="H52" s="34"/>
      <c r="I52" s="34"/>
      <c r="J52" s="34"/>
      <c r="K52" s="34"/>
      <c r="L52" s="40"/>
    </row>
    <row r="53" spans="3:12" ht="16">
      <c r="F53" s="46" t="s">
        <v>213</v>
      </c>
      <c r="G53" s="33">
        <f>-C9</f>
        <v>-4290400</v>
      </c>
      <c r="H53" s="33">
        <v>0</v>
      </c>
      <c r="I53" s="33">
        <v>0</v>
      </c>
      <c r="J53" s="33">
        <v>0</v>
      </c>
      <c r="K53" s="33">
        <v>0</v>
      </c>
      <c r="L53" s="39">
        <v>0</v>
      </c>
    </row>
    <row r="54" spans="3:12" ht="16">
      <c r="F54" s="59" t="s">
        <v>171</v>
      </c>
      <c r="G54" s="34"/>
      <c r="H54" s="34"/>
      <c r="I54" s="34"/>
      <c r="J54" s="34"/>
      <c r="K54" s="34"/>
      <c r="L54" s="40"/>
    </row>
    <row r="55" spans="3:12" ht="16">
      <c r="F55" s="46" t="s">
        <v>226</v>
      </c>
      <c r="G55" s="136">
        <v>12000000</v>
      </c>
      <c r="H55" s="33">
        <v>0</v>
      </c>
      <c r="I55" s="33">
        <v>0</v>
      </c>
      <c r="J55" s="33">
        <v>0</v>
      </c>
      <c r="K55" s="33">
        <v>0</v>
      </c>
      <c r="L55" s="39">
        <v>0</v>
      </c>
    </row>
    <row r="56" spans="3:12" ht="16">
      <c r="F56" s="59" t="s">
        <v>180</v>
      </c>
      <c r="G56" s="33">
        <f>G51+G53+G55</f>
        <v>8555358.008905001</v>
      </c>
      <c r="H56" s="33">
        <f t="shared" ref="H56:L56" si="12">H51+H53+H55</f>
        <v>12457100.203364002</v>
      </c>
      <c r="I56" s="33">
        <f t="shared" si="12"/>
        <v>22546367.990830004</v>
      </c>
      <c r="J56" s="33">
        <f t="shared" si="12"/>
        <v>33994835.762053005</v>
      </c>
      <c r="K56" s="33">
        <f t="shared" si="12"/>
        <v>46345270.90172746</v>
      </c>
      <c r="L56" s="39">
        <f t="shared" si="12"/>
        <v>57006785.606206797</v>
      </c>
    </row>
    <row r="57" spans="3:12">
      <c r="F57" s="37" t="s">
        <v>184</v>
      </c>
      <c r="G57" s="33">
        <v>991610</v>
      </c>
      <c r="H57" s="33">
        <f>G58</f>
        <v>9546968.008905001</v>
      </c>
      <c r="I57" s="33">
        <f t="shared" ref="I57:L57" si="13">H58</f>
        <v>22004068.212269001</v>
      </c>
      <c r="J57" s="33">
        <f t="shared" si="13"/>
        <v>44550436.203099005</v>
      </c>
      <c r="K57" s="33">
        <f t="shared" si="13"/>
        <v>78545271.96515201</v>
      </c>
      <c r="L57" s="39">
        <f t="shared" si="13"/>
        <v>124890542.86687946</v>
      </c>
    </row>
    <row r="58" spans="3:12" ht="16">
      <c r="F58" s="60" t="s">
        <v>188</v>
      </c>
      <c r="G58" s="45">
        <f>G56+G57</f>
        <v>9546968.008905001</v>
      </c>
      <c r="H58" s="45">
        <f>H56+H57</f>
        <v>22004068.212269001</v>
      </c>
      <c r="I58" s="45">
        <f t="shared" ref="I58:L58" si="14">I56+I57</f>
        <v>44550436.203099005</v>
      </c>
      <c r="J58" s="45">
        <f t="shared" si="14"/>
        <v>78545271.96515201</v>
      </c>
      <c r="K58" s="45">
        <f t="shared" si="14"/>
        <v>124890542.86687946</v>
      </c>
      <c r="L58" s="61">
        <f t="shared" si="14"/>
        <v>181897328.47308627</v>
      </c>
    </row>
    <row r="59" spans="3:12">
      <c r="C59" t="s">
        <v>201</v>
      </c>
    </row>
    <row r="62" spans="3:12">
      <c r="F62" s="32" t="s">
        <v>350</v>
      </c>
    </row>
    <row r="63" spans="3:12" ht="16">
      <c r="F63" s="75" t="s">
        <v>2</v>
      </c>
      <c r="G63" s="76" t="s">
        <v>101</v>
      </c>
      <c r="H63" s="76" t="s">
        <v>102</v>
      </c>
      <c r="I63" s="76" t="s">
        <v>103</v>
      </c>
      <c r="J63" s="76" t="s">
        <v>104</v>
      </c>
      <c r="K63" s="76" t="s">
        <v>105</v>
      </c>
      <c r="L63" s="77" t="s">
        <v>106</v>
      </c>
    </row>
    <row r="64" spans="3:12" ht="16">
      <c r="F64" s="59" t="s">
        <v>34</v>
      </c>
      <c r="G64" s="34"/>
      <c r="H64" s="34"/>
      <c r="I64" s="34"/>
      <c r="J64" s="34"/>
      <c r="K64" s="34"/>
      <c r="L64" s="40"/>
    </row>
    <row r="65" spans="6:12" ht="16">
      <c r="F65" s="46" t="s">
        <v>143</v>
      </c>
      <c r="G65" s="33">
        <f>G30*2%</f>
        <v>517111.14</v>
      </c>
      <c r="H65" s="33">
        <f t="shared" ref="H65:L65" si="15">H30*2%</f>
        <v>829661.13400000008</v>
      </c>
      <c r="I65" s="33">
        <f t="shared" si="15"/>
        <v>1185467.9074000001</v>
      </c>
      <c r="J65" s="33">
        <f t="shared" si="15"/>
        <v>1526420.7427700001</v>
      </c>
      <c r="K65" s="33">
        <f t="shared" si="15"/>
        <v>1884661.2199085001</v>
      </c>
      <c r="L65" s="33">
        <f t="shared" si="15"/>
        <v>2185427.2721075853</v>
      </c>
    </row>
    <row r="66" spans="6:12" ht="16">
      <c r="F66" s="46" t="s">
        <v>146</v>
      </c>
      <c r="G66" s="33">
        <f>G31*6.3%</f>
        <v>973448.05414499994</v>
      </c>
      <c r="H66" s="33">
        <f t="shared" ref="H66:L66" si="16">H31*6.3%</f>
        <v>1046099.05848</v>
      </c>
      <c r="I66" s="33">
        <f t="shared" si="16"/>
        <v>1105651.8358200002</v>
      </c>
      <c r="J66" s="33">
        <f t="shared" si="16"/>
        <v>1152158.8843799999</v>
      </c>
      <c r="K66" s="33">
        <f t="shared" si="16"/>
        <v>1178800.96887</v>
      </c>
      <c r="L66" s="33">
        <f t="shared" si="16"/>
        <v>1179708.6256199998</v>
      </c>
    </row>
    <row r="67" spans="6:12" ht="16">
      <c r="F67" s="59" t="s">
        <v>43</v>
      </c>
      <c r="G67" s="33">
        <f>G65+G66</f>
        <v>1490559.1941450001</v>
      </c>
      <c r="H67" s="33">
        <f t="shared" ref="H67:L67" si="17">H65+H66</f>
        <v>1875760.1924800002</v>
      </c>
      <c r="I67" s="33">
        <f t="shared" si="17"/>
        <v>2291119.7432200005</v>
      </c>
      <c r="J67" s="33">
        <f t="shared" si="17"/>
        <v>2678579.6271500001</v>
      </c>
      <c r="K67" s="33">
        <f t="shared" si="17"/>
        <v>3063462.1887785001</v>
      </c>
      <c r="L67" s="39">
        <f t="shared" si="17"/>
        <v>3365135.8977275854</v>
      </c>
    </row>
    <row r="68" spans="6:12" ht="16">
      <c r="F68" s="46" t="s">
        <v>154</v>
      </c>
      <c r="G68" s="33">
        <f>G30*'1-Store Portland Expansion'!S2</f>
        <v>4834989.159</v>
      </c>
      <c r="H68" s="33">
        <f>G68-$F$3</f>
        <v>4084989.159</v>
      </c>
      <c r="I68" s="33">
        <f t="shared" ref="I68:L68" si="18">H68-$F$3</f>
        <v>3334989.159</v>
      </c>
      <c r="J68" s="33">
        <f t="shared" si="18"/>
        <v>2584989.159</v>
      </c>
      <c r="K68" s="33">
        <f t="shared" si="18"/>
        <v>1834989.159</v>
      </c>
      <c r="L68" s="39">
        <f t="shared" si="18"/>
        <v>1084989.159</v>
      </c>
    </row>
    <row r="69" spans="6:12" ht="16">
      <c r="F69" s="59" t="s">
        <v>46</v>
      </c>
      <c r="G69" s="33">
        <f>G67+G68</f>
        <v>6325548.3531449996</v>
      </c>
      <c r="H69" s="33">
        <f t="shared" ref="H69:L69" si="19">H67+H68</f>
        <v>5960749.3514799997</v>
      </c>
      <c r="I69" s="33">
        <f t="shared" si="19"/>
        <v>5626108.9022200005</v>
      </c>
      <c r="J69" s="33">
        <f t="shared" si="19"/>
        <v>5263568.7861500001</v>
      </c>
      <c r="K69" s="33">
        <f t="shared" si="19"/>
        <v>4898451.3477785001</v>
      </c>
      <c r="L69" s="33">
        <f t="shared" si="19"/>
        <v>4450125.0567275854</v>
      </c>
    </row>
    <row r="70" spans="6:12" ht="16">
      <c r="F70" s="59" t="s">
        <v>161</v>
      </c>
      <c r="G70" s="34"/>
      <c r="H70" s="34"/>
      <c r="I70" s="34"/>
      <c r="J70" s="34"/>
      <c r="K70" s="34"/>
      <c r="L70" s="40"/>
    </row>
    <row r="71" spans="6:12" ht="16">
      <c r="F71" s="46" t="s">
        <v>165</v>
      </c>
      <c r="G71" s="33">
        <f>G31*7%</f>
        <v>1081608.9490499999</v>
      </c>
      <c r="H71" s="33">
        <f t="shared" ref="H71:L71" si="20">H31*7%</f>
        <v>1162332.2872000001</v>
      </c>
      <c r="I71" s="33">
        <f t="shared" si="20"/>
        <v>1228502.0398000001</v>
      </c>
      <c r="J71" s="33">
        <f t="shared" si="20"/>
        <v>1280176.5382000001</v>
      </c>
      <c r="K71" s="33">
        <f t="shared" si="20"/>
        <v>1309778.8543</v>
      </c>
      <c r="L71" s="33">
        <f t="shared" si="20"/>
        <v>1310787.3618000001</v>
      </c>
    </row>
    <row r="72" spans="6:12" ht="16">
      <c r="F72" s="46" t="s">
        <v>169</v>
      </c>
      <c r="G72" s="33">
        <f t="shared" ref="G72:L72" si="21">G30*1.9%</f>
        <v>491255.58299999998</v>
      </c>
      <c r="H72" s="33">
        <f t="shared" si="21"/>
        <v>788178.0773</v>
      </c>
      <c r="I72" s="33">
        <f t="shared" si="21"/>
        <v>1126194.5120300001</v>
      </c>
      <c r="J72" s="33">
        <f t="shared" si="21"/>
        <v>1450099.7056315001</v>
      </c>
      <c r="K72" s="33">
        <f t="shared" si="21"/>
        <v>1790428.158913075</v>
      </c>
      <c r="L72" s="39">
        <f t="shared" si="21"/>
        <v>2076155.9085022057</v>
      </c>
    </row>
    <row r="73" spans="6:12" ht="16">
      <c r="F73" s="59" t="s">
        <v>56</v>
      </c>
      <c r="G73" s="33">
        <f>G71+G72</f>
        <v>1572864.53205</v>
      </c>
      <c r="H73" s="33">
        <f t="shared" ref="H73:L73" si="22">H71+H72</f>
        <v>1950510.3645000001</v>
      </c>
      <c r="I73" s="33">
        <f t="shared" si="22"/>
        <v>2354696.5518300002</v>
      </c>
      <c r="J73" s="33">
        <f t="shared" si="22"/>
        <v>2730276.2438315004</v>
      </c>
      <c r="K73" s="33">
        <f t="shared" si="22"/>
        <v>3100207.0132130748</v>
      </c>
      <c r="L73" s="39">
        <f t="shared" si="22"/>
        <v>3386943.2703022058</v>
      </c>
    </row>
    <row r="74" spans="6:12" ht="16">
      <c r="F74" s="46" t="s">
        <v>177</v>
      </c>
      <c r="G74" s="33">
        <f>' Green Zebra Historic Data'!$E$35 - 5000000</f>
        <v>2019863</v>
      </c>
      <c r="H74" s="33">
        <f>' Green Zebra Historic Data'!$E$35</f>
        <v>7019863</v>
      </c>
      <c r="I74" s="33">
        <f>' Green Zebra Historic Data'!$E$35</f>
        <v>7019863</v>
      </c>
      <c r="J74" s="33">
        <f>' Green Zebra Historic Data'!$E$35</f>
        <v>7019863</v>
      </c>
      <c r="K74" s="33">
        <f>' Green Zebra Historic Data'!$E$35</f>
        <v>7019863</v>
      </c>
      <c r="L74" s="39">
        <f>' Green Zebra Historic Data'!$E$35</f>
        <v>7019863</v>
      </c>
    </row>
    <row r="75" spans="6:12" ht="16">
      <c r="F75" s="59" t="s">
        <v>59</v>
      </c>
      <c r="G75" s="33">
        <f>G74+G73</f>
        <v>3592727.53205</v>
      </c>
      <c r="H75" s="33">
        <f t="shared" ref="H75:L75" si="23">H74+H73</f>
        <v>8970373.3645000011</v>
      </c>
      <c r="I75" s="33">
        <f t="shared" si="23"/>
        <v>9374559.5518300012</v>
      </c>
      <c r="J75" s="33">
        <f t="shared" si="23"/>
        <v>9750139.2438315004</v>
      </c>
      <c r="K75" s="33">
        <f t="shared" si="23"/>
        <v>10120070.013213076</v>
      </c>
      <c r="L75" s="39">
        <f t="shared" si="23"/>
        <v>10406806.270302206</v>
      </c>
    </row>
    <row r="76" spans="6:12" ht="16">
      <c r="F76" s="59" t="s">
        <v>185</v>
      </c>
      <c r="G76" s="34"/>
      <c r="H76" s="34"/>
      <c r="I76" s="34"/>
      <c r="J76" s="34"/>
      <c r="K76" s="34"/>
      <c r="L76" s="40"/>
    </row>
    <row r="77" spans="6:12" ht="16">
      <c r="F77" s="46" t="s">
        <v>189</v>
      </c>
      <c r="G77" s="33">
        <f>' Green Zebra Historic Data'!$P$48 + G55 + 5000000</f>
        <v>26173230</v>
      </c>
      <c r="H77" s="33">
        <f>' Green Zebra Historic Data'!$P$48 + '3 and 3‐Store Seattle Expansion'!$G$55 + 5000000</f>
        <v>26173230</v>
      </c>
      <c r="I77" s="33">
        <f>' Green Zebra Historic Data'!$P$48 + '3 and 3‐Store Seattle Expansion'!$G$55 + 5000000</f>
        <v>26173230</v>
      </c>
      <c r="J77" s="33">
        <f>' Green Zebra Historic Data'!$P$48 + '3 and 3‐Store Seattle Expansion'!$G$55 + 5000000</f>
        <v>26173230</v>
      </c>
      <c r="K77" s="33">
        <f>' Green Zebra Historic Data'!$P$48 + '3 and 3‐Store Seattle Expansion'!$G$55 + 5000000</f>
        <v>26173230</v>
      </c>
      <c r="L77" s="33">
        <f>' Green Zebra Historic Data'!$P$48 + '3 and 3‐Store Seattle Expansion'!$G$55 + 5000000</f>
        <v>26173230</v>
      </c>
    </row>
    <row r="78" spans="6:12" ht="16">
      <c r="F78" s="46" t="s">
        <v>192</v>
      </c>
      <c r="G78" s="33">
        <f>' Green Zebra Historic Data'!P49 + G79</f>
        <v>-11029164.886</v>
      </c>
      <c r="H78" s="33">
        <f>G78+H40</f>
        <v>158991.08864400163</v>
      </c>
      <c r="I78" s="33">
        <f t="shared" ref="I78:L78" si="24">H78+I40</f>
        <v>21505847.875494007</v>
      </c>
      <c r="J78" s="33">
        <f t="shared" si="24"/>
        <v>54311082.983727008</v>
      </c>
      <c r="K78" s="33">
        <f t="shared" si="24"/>
        <v>99512457.000024468</v>
      </c>
      <c r="L78" s="39">
        <f t="shared" si="24"/>
        <v>155512612.87005126</v>
      </c>
    </row>
    <row r="79" spans="6:12" ht="16">
      <c r="F79" s="46" t="s">
        <v>195</v>
      </c>
      <c r="G79" s="33">
        <f>G40</f>
        <v>-432474.88599999994</v>
      </c>
      <c r="H79" s="33">
        <f t="shared" ref="H79:L79" si="25">H40</f>
        <v>11188155.974644002</v>
      </c>
      <c r="I79" s="33">
        <f t="shared" si="25"/>
        <v>21346856.786850005</v>
      </c>
      <c r="J79" s="33">
        <f t="shared" si="25"/>
        <v>32805235.108233005</v>
      </c>
      <c r="K79" s="33">
        <f t="shared" si="25"/>
        <v>45201374.01629746</v>
      </c>
      <c r="L79" s="39">
        <f t="shared" si="25"/>
        <v>56000155.870026797</v>
      </c>
    </row>
    <row r="80" spans="6:12" ht="16">
      <c r="F80" s="59" t="s">
        <v>196</v>
      </c>
      <c r="G80" s="33">
        <f>SUM(G77:G79)</f>
        <v>14711590.228</v>
      </c>
      <c r="H80" s="33">
        <f t="shared" ref="H80:L80" si="26">SUM(H77:H79)</f>
        <v>37520377.063288003</v>
      </c>
      <c r="I80" s="33">
        <f t="shared" si="26"/>
        <v>69025934.662344009</v>
      </c>
      <c r="J80" s="33">
        <f t="shared" si="26"/>
        <v>113289548.09196001</v>
      </c>
      <c r="K80" s="33">
        <f t="shared" si="26"/>
        <v>170887061.01632193</v>
      </c>
      <c r="L80" s="39">
        <f t="shared" si="26"/>
        <v>237685998.74007806</v>
      </c>
    </row>
    <row r="81" spans="6:12" ht="16">
      <c r="F81" s="60" t="s">
        <v>197</v>
      </c>
      <c r="G81" s="45">
        <f>SUM(G75+G80)</f>
        <v>18304317.760049999</v>
      </c>
      <c r="H81" s="45">
        <f t="shared" ref="H81:L81" si="27">SUM(H75+H80)</f>
        <v>46490750.427788004</v>
      </c>
      <c r="I81" s="45">
        <f t="shared" si="27"/>
        <v>78400494.214174002</v>
      </c>
      <c r="J81" s="45">
        <f t="shared" si="27"/>
        <v>123039687.33579151</v>
      </c>
      <c r="K81" s="45">
        <f t="shared" si="27"/>
        <v>181007131.029535</v>
      </c>
      <c r="L81" s="61">
        <f t="shared" si="27"/>
        <v>248092805.01038027</v>
      </c>
    </row>
    <row r="82" spans="6:12" ht="16">
      <c r="F82" s="100" t="s">
        <v>351</v>
      </c>
      <c r="G82" s="45"/>
      <c r="H82" s="45"/>
      <c r="I82" s="45"/>
      <c r="J82" s="45"/>
      <c r="K82" s="45"/>
      <c r="L82" s="61"/>
    </row>
    <row r="83" spans="6:12" ht="16">
      <c r="F83" s="100" t="s">
        <v>201</v>
      </c>
      <c r="G83" s="45">
        <f>G69-G81</f>
        <v>-11978769.406904999</v>
      </c>
      <c r="H83" s="45">
        <f t="shared" ref="H83:L83" si="28">H69-H81</f>
        <v>-40530001.076308005</v>
      </c>
      <c r="I83" s="45">
        <f t="shared" si="28"/>
        <v>-72774385.311954007</v>
      </c>
      <c r="J83" s="45">
        <f t="shared" si="28"/>
        <v>-117776118.54964152</v>
      </c>
      <c r="K83" s="45">
        <f t="shared" si="28"/>
        <v>-176108679.6817565</v>
      </c>
      <c r="L83" s="45">
        <f t="shared" si="28"/>
        <v>-243642679.95365268</v>
      </c>
    </row>
    <row r="86" spans="6:12" ht="80">
      <c r="F86" s="49" t="s">
        <v>352</v>
      </c>
    </row>
  </sheetData>
  <pageMargins left="0.7" right="0.7" top="0.75" bottom="0.75" header="0.3" footer="0.3"/>
  <pageSetup paperSize="9" orientation="portrait" horizontalDpi="1200" verticalDpi="1200" r:id="rId1"/>
  <drawing r:id="rId2"/>
  <tableParts count="3">
    <tablePart r:id="rId3"/>
    <tablePart r:id="rId4"/>
    <tablePart r:id="rId5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D7EF0-2EC2-4BFA-8BCC-3416EBD20433}">
  <dimension ref="A1:S44"/>
  <sheetViews>
    <sheetView zoomScale="81" workbookViewId="0">
      <selection activeCell="C29" sqref="C29:G30"/>
    </sheetView>
  </sheetViews>
  <sheetFormatPr baseColWidth="10" defaultColWidth="8.83203125" defaultRowHeight="15"/>
  <cols>
    <col min="1" max="1" width="16.33203125" bestFit="1" customWidth="1"/>
    <col min="3" max="3" width="30.5" customWidth="1"/>
    <col min="4" max="4" width="29.6640625" customWidth="1"/>
    <col min="5" max="5" width="27.83203125" customWidth="1"/>
    <col min="6" max="6" width="17.33203125" customWidth="1"/>
    <col min="7" max="7" width="19.5" customWidth="1"/>
    <col min="8" max="9" width="15.5" customWidth="1"/>
    <col min="10" max="10" width="14.5" bestFit="1" customWidth="1"/>
    <col min="11" max="11" width="29.83203125" customWidth="1"/>
    <col min="12" max="12" width="9.6640625" customWidth="1"/>
    <col min="13" max="13" width="35.1640625" customWidth="1"/>
    <col min="14" max="14" width="14.5" bestFit="1" customWidth="1"/>
    <col min="15" max="15" width="16.83203125" customWidth="1"/>
    <col min="16" max="16" width="14.5" customWidth="1"/>
    <col min="17" max="17" width="15.5" customWidth="1"/>
    <col min="18" max="18" width="23.5" customWidth="1"/>
    <col min="19" max="19" width="15.6640625" customWidth="1"/>
  </cols>
  <sheetData>
    <row r="1" spans="1:19">
      <c r="A1" t="s">
        <v>353</v>
      </c>
      <c r="D1" t="s">
        <v>354</v>
      </c>
      <c r="K1" t="s">
        <v>355</v>
      </c>
    </row>
    <row r="2" spans="1:19">
      <c r="B2" t="s">
        <v>356</v>
      </c>
      <c r="C2" t="s">
        <v>357</v>
      </c>
      <c r="D2" s="36">
        <f>'3‐Store Seattle Expan '!G36</f>
        <v>-9072</v>
      </c>
      <c r="E2" s="36">
        <f>'3‐Store Seattle Expan '!H36</f>
        <v>154089</v>
      </c>
      <c r="F2" s="36">
        <f>'3‐Store Seattle Expan '!I36</f>
        <v>556839</v>
      </c>
      <c r="G2" s="36">
        <f>'3‐Store Seattle Expan '!J36</f>
        <v>687895.5</v>
      </c>
      <c r="H2" s="36">
        <f>'3‐Store Seattle Expan '!K36</f>
        <v>950098.34200000111</v>
      </c>
      <c r="I2" s="36">
        <f>'3‐Store Seattle Expan '!L36</f>
        <v>1216233.4400000013</v>
      </c>
      <c r="L2" t="s">
        <v>356</v>
      </c>
      <c r="M2" t="s">
        <v>358</v>
      </c>
      <c r="N2" s="36">
        <f>'1-Store Portland Expansion'!G19</f>
        <v>-385872</v>
      </c>
      <c r="O2" s="36">
        <f>'1-Store Portland Expansion'!H19</f>
        <v>-128256</v>
      </c>
      <c r="P2" s="36">
        <f>'1-Store Portland Expansion'!I19</f>
        <v>345753.75</v>
      </c>
      <c r="Q2" s="36">
        <f>'1-Store Portland Expansion'!J19</f>
        <v>547570.93200000003</v>
      </c>
      <c r="R2" s="36">
        <f>'1-Store Portland Expansion'!K19</f>
        <v>694937.73256000131</v>
      </c>
      <c r="S2" s="36">
        <f>'1-Store Portland Expansion'!L19</f>
        <v>841884.29988559987</v>
      </c>
    </row>
    <row r="3" spans="1:19">
      <c r="B3" t="s">
        <v>356</v>
      </c>
      <c r="C3" t="s">
        <v>17</v>
      </c>
      <c r="D3" s="78">
        <f>'3 and 3‐Store Seattle Expansion'!G35</f>
        <v>1170072</v>
      </c>
      <c r="E3" s="78">
        <f>'3 and 3‐Store Seattle Expansion'!H35</f>
        <v>1152711</v>
      </c>
      <c r="F3" s="78">
        <f>'3 and 3‐Store Seattle Expansion'!I35</f>
        <v>1076661</v>
      </c>
      <c r="G3" s="78">
        <f>'3 and 3‐Store Seattle Expansion'!J35</f>
        <v>1061583</v>
      </c>
      <c r="H3" s="78">
        <f>'3 and 3‐Store Seattle Expansion'!K35</f>
        <v>1012919</v>
      </c>
      <c r="I3" s="78">
        <f>'3 and 3‐Store Seattle Expansion'!L35</f>
        <v>875551</v>
      </c>
      <c r="L3" t="s">
        <v>356</v>
      </c>
      <c r="M3" t="s">
        <v>17</v>
      </c>
      <c r="N3" s="78">
        <f>'1-Store Portland Expansion'!G18</f>
        <v>420072</v>
      </c>
      <c r="O3" s="78">
        <f>'1-Store Portland Expansion'!H18</f>
        <v>402711</v>
      </c>
      <c r="P3" s="78">
        <f>'1-Store Portland Expansion'!I18</f>
        <v>326661</v>
      </c>
      <c r="Q3" s="78">
        <f>'1-Store Portland Expansion'!J18</f>
        <v>311583</v>
      </c>
      <c r="R3" s="78">
        <f>'1-Store Portland Expansion'!K18</f>
        <v>262919</v>
      </c>
      <c r="S3" s="78">
        <f>'1-Store Portland Expansion'!L18</f>
        <v>125551</v>
      </c>
    </row>
    <row r="4" spans="1:19">
      <c r="B4" t="s">
        <v>359</v>
      </c>
      <c r="C4" t="s">
        <v>360</v>
      </c>
      <c r="D4" s="58">
        <f>'3 and 3‐Store Seattle Expansion'!G67-'3 and 3‐Store Seattle Expansion'!G73</f>
        <v>-82305.337904999964</v>
      </c>
      <c r="E4" s="58">
        <f>'3 and 3‐Store Seattle Expansion'!H67-'3 and 3‐Store Seattle Expansion'!H73</f>
        <v>-74750.17201999994</v>
      </c>
      <c r="F4" s="58">
        <f>'3 and 3‐Store Seattle Expansion'!I67-'3 and 3‐Store Seattle Expansion'!I73</f>
        <v>-63576.808609999716</v>
      </c>
      <c r="G4" s="58">
        <f>'3 and 3‐Store Seattle Expansion'!J67-'3 and 3‐Store Seattle Expansion'!J73</f>
        <v>-51696.616681500338</v>
      </c>
      <c r="H4" s="58">
        <f>'3 and 3‐Store Seattle Expansion'!K67-'3 and 3‐Store Seattle Expansion'!K73</f>
        <v>-36744.824434574693</v>
      </c>
      <c r="I4" s="58">
        <f>'3 and 3‐Store Seattle Expansion'!L67-'3 and 3‐Store Seattle Expansion'!L73</f>
        <v>-21807.372574620415</v>
      </c>
      <c r="L4" t="s">
        <v>359</v>
      </c>
      <c r="M4" t="s">
        <v>360</v>
      </c>
      <c r="N4" s="55">
        <f>'1-Store Portland Expansion'!X10-'1-Store Portland Expansion'!X17</f>
        <v>-74121.5</v>
      </c>
      <c r="O4" s="55">
        <f>'1-Store Portland Expansion'!Y10-'1-Store Portland Expansion'!Y17</f>
        <v>-77269.610000000102</v>
      </c>
      <c r="P4" s="55">
        <f>'1-Store Portland Expansion'!Z10-'1-Store Portland Expansion'!Z17</f>
        <v>-78788.261000000173</v>
      </c>
      <c r="Q4" s="55">
        <f>'1-Store Portland Expansion'!AA10-'1-Store Portland Expansion'!AA17</f>
        <v>-81139.791440000059</v>
      </c>
      <c r="R4" s="55">
        <f>'1-Store Portland Expansion'!AB10-'1-Store Portland Expansion'!AB17</f>
        <v>-82362.587268800242</v>
      </c>
      <c r="S4" s="55">
        <f>'1-Store Portland Expansion'!AC10-'1-Store Portland Expansion'!AC17</f>
        <v>-82986.213141488144</v>
      </c>
    </row>
    <row r="5" spans="1:19">
      <c r="D5" s="36"/>
      <c r="E5" s="36">
        <f>'3 and 3‐Store Seattle Expansion'!H53</f>
        <v>0</v>
      </c>
      <c r="F5" s="36">
        <f>'3 and 3‐Store Seattle Expansion'!I53</f>
        <v>0</v>
      </c>
      <c r="G5" s="36">
        <f>'3 and 3‐Store Seattle Expansion'!J53</f>
        <v>0</v>
      </c>
      <c r="H5" s="36">
        <f>'3 and 3‐Store Seattle Expansion'!K53</f>
        <v>0</v>
      </c>
      <c r="I5" s="36">
        <f>'3 and 3‐Store Seattle Expansion'!L53</f>
        <v>0</v>
      </c>
      <c r="O5">
        <f>-'1-Store Portland Expansion'!P37</f>
        <v>0</v>
      </c>
      <c r="P5">
        <f>-'1-Store Portland Expansion'!Q37</f>
        <v>0</v>
      </c>
      <c r="Q5">
        <f>-'1-Store Portland Expansion'!R37</f>
        <v>0</v>
      </c>
      <c r="R5">
        <f>-'1-Store Portland Expansion'!S37</f>
        <v>0</v>
      </c>
      <c r="S5">
        <f>-'1-Store Portland Expansion'!T37</f>
        <v>0</v>
      </c>
    </row>
    <row r="6" spans="1:19">
      <c r="C6" t="s">
        <v>354</v>
      </c>
      <c r="D6" s="36">
        <f>D2+D3--D5--D4</f>
        <v>1078694.662095</v>
      </c>
      <c r="E6" s="36">
        <f t="shared" ref="E6:I6" si="0">E2+E3--E5--E4</f>
        <v>1232049.8279800001</v>
      </c>
      <c r="F6" s="36">
        <f t="shared" si="0"/>
        <v>1569923.1913900003</v>
      </c>
      <c r="G6" s="36">
        <f t="shared" si="0"/>
        <v>1697781.8833184997</v>
      </c>
      <c r="H6" s="36">
        <f t="shared" si="0"/>
        <v>1926272.5175654264</v>
      </c>
      <c r="I6" s="36">
        <f t="shared" si="0"/>
        <v>2069977.0674253809</v>
      </c>
      <c r="M6" t="s">
        <v>354</v>
      </c>
      <c r="N6" s="36">
        <f>N2+N3--N5--N4</f>
        <v>-39921.5</v>
      </c>
      <c r="O6" s="36">
        <f t="shared" ref="O6:S6" si="1">O2+O3--O5--O4</f>
        <v>197185.3899999999</v>
      </c>
      <c r="P6" s="36">
        <f t="shared" si="1"/>
        <v>593626.48899999983</v>
      </c>
      <c r="Q6" s="36">
        <f t="shared" si="1"/>
        <v>778014.14055999997</v>
      </c>
      <c r="R6" s="36">
        <f t="shared" si="1"/>
        <v>875494.14529120107</v>
      </c>
      <c r="S6" s="36">
        <f t="shared" si="1"/>
        <v>884449.08674411173</v>
      </c>
    </row>
    <row r="7" spans="1:19">
      <c r="M7" s="57"/>
      <c r="N7" s="57"/>
      <c r="O7" s="57"/>
      <c r="P7" s="57"/>
      <c r="Q7" s="57"/>
      <c r="R7" s="57"/>
    </row>
    <row r="8" spans="1:19">
      <c r="I8" s="57"/>
      <c r="J8" s="57"/>
      <c r="K8" s="57"/>
      <c r="L8" s="57"/>
      <c r="M8" s="57"/>
      <c r="N8" s="57"/>
    </row>
    <row r="9" spans="1:19">
      <c r="C9" t="s">
        <v>314</v>
      </c>
      <c r="D9" s="4">
        <f>'GZ Competitors AND WACC'!B47</f>
        <v>4.8424432794948971E-2</v>
      </c>
      <c r="G9" s="55"/>
      <c r="I9" s="57"/>
      <c r="J9" s="57"/>
      <c r="K9" s="57"/>
      <c r="L9" s="57"/>
      <c r="M9" s="57"/>
      <c r="N9" s="57"/>
    </row>
    <row r="10" spans="1:19">
      <c r="G10" s="55"/>
      <c r="I10" s="57"/>
      <c r="J10" s="57"/>
      <c r="K10" s="57"/>
      <c r="L10" s="57"/>
      <c r="M10" s="181" t="s">
        <v>361</v>
      </c>
      <c r="N10" s="181"/>
    </row>
    <row r="11" spans="1:19">
      <c r="C11" s="181" t="s">
        <v>362</v>
      </c>
      <c r="D11" s="181"/>
      <c r="J11" s="57"/>
      <c r="K11" s="57"/>
      <c r="L11" s="57"/>
      <c r="M11" t="s">
        <v>326</v>
      </c>
      <c r="N11" t="s">
        <v>363</v>
      </c>
    </row>
    <row r="12" spans="1:19">
      <c r="C12" t="s">
        <v>326</v>
      </c>
      <c r="D12" t="s">
        <v>363</v>
      </c>
      <c r="E12" s="36"/>
      <c r="F12" s="36"/>
      <c r="G12" s="36"/>
      <c r="H12" s="36"/>
      <c r="I12" s="36"/>
      <c r="J12" s="57"/>
      <c r="K12" s="57"/>
      <c r="L12" s="57"/>
      <c r="M12">
        <v>0</v>
      </c>
      <c r="N12" s="55">
        <f>-'1-Store Portland Expansion'!O37</f>
        <v>-920000</v>
      </c>
    </row>
    <row r="13" spans="1:19">
      <c r="C13">
        <v>0</v>
      </c>
      <c r="D13" s="55">
        <f>'3 and 3‐Store Seattle Expansion'!G53</f>
        <v>-4290400</v>
      </c>
      <c r="E13" s="36"/>
      <c r="F13" s="36"/>
      <c r="G13" s="36"/>
      <c r="H13" s="36"/>
      <c r="I13" s="36"/>
      <c r="J13" s="57"/>
      <c r="K13" s="57"/>
      <c r="L13" s="57"/>
      <c r="M13">
        <v>1</v>
      </c>
      <c r="N13" s="55" cm="1">
        <f t="array" ref="N13:N18">TRANSPOSE(N6:S6)</f>
        <v>-39921.5</v>
      </c>
    </row>
    <row r="14" spans="1:19">
      <c r="C14">
        <v>1</v>
      </c>
      <c r="D14" s="55" cm="1">
        <f t="array" ref="D14:D19">TRANSPOSE(D6:I6)</f>
        <v>1078694.662095</v>
      </c>
      <c r="E14" s="58"/>
      <c r="F14" s="58"/>
      <c r="G14" s="58"/>
      <c r="H14" s="58"/>
      <c r="I14" s="58"/>
      <c r="J14" s="57"/>
      <c r="K14" s="57"/>
      <c r="L14" s="57"/>
      <c r="M14">
        <v>2</v>
      </c>
      <c r="N14" s="55">
        <v>197185.3899999999</v>
      </c>
    </row>
    <row r="15" spans="1:19">
      <c r="C15">
        <v>2</v>
      </c>
      <c r="D15" s="55">
        <v>1232049.8279800001</v>
      </c>
      <c r="E15" s="36"/>
      <c r="F15" s="36"/>
      <c r="G15" s="36"/>
      <c r="H15" s="36"/>
      <c r="I15" s="36"/>
      <c r="J15" s="57"/>
      <c r="K15" s="57"/>
      <c r="L15" s="57"/>
      <c r="M15">
        <v>3</v>
      </c>
      <c r="N15" s="55">
        <v>593626.48899999983</v>
      </c>
    </row>
    <row r="16" spans="1:19">
      <c r="C16">
        <v>3</v>
      </c>
      <c r="D16" s="55">
        <v>1569923.1913900003</v>
      </c>
      <c r="E16" s="36"/>
      <c r="F16" s="36"/>
      <c r="G16" s="36"/>
      <c r="H16" s="36"/>
      <c r="I16" s="36"/>
      <c r="J16" s="57"/>
      <c r="K16" s="57"/>
      <c r="L16" s="57"/>
      <c r="M16">
        <v>4</v>
      </c>
      <c r="N16" s="55">
        <v>778014.14055999997</v>
      </c>
    </row>
    <row r="17" spans="3:14">
      <c r="C17">
        <v>4</v>
      </c>
      <c r="D17" s="55">
        <v>1697781.8833184997</v>
      </c>
      <c r="J17" s="57"/>
      <c r="K17" s="57"/>
      <c r="L17" s="57"/>
      <c r="M17">
        <v>5</v>
      </c>
      <c r="N17" s="55">
        <v>875494.14529120107</v>
      </c>
    </row>
    <row r="18" spans="3:14">
      <c r="C18">
        <v>5</v>
      </c>
      <c r="D18" s="55">
        <v>1926272.5175654264</v>
      </c>
      <c r="I18" s="57"/>
      <c r="J18" s="57"/>
      <c r="K18" s="57"/>
      <c r="L18" s="57"/>
      <c r="M18">
        <v>6</v>
      </c>
      <c r="N18" s="55">
        <v>884449.08674411173</v>
      </c>
    </row>
    <row r="19" spans="3:14">
      <c r="C19">
        <v>6</v>
      </c>
      <c r="D19" s="55">
        <v>2069977.0674253809</v>
      </c>
      <c r="I19" s="57"/>
      <c r="J19" s="57"/>
      <c r="K19" s="57"/>
      <c r="L19" s="57"/>
      <c r="M19" t="s">
        <v>364</v>
      </c>
      <c r="N19" s="55">
        <f>NPV(D9,N13:N18)+N12</f>
        <v>1737461.3673376893</v>
      </c>
    </row>
    <row r="20" spans="3:14">
      <c r="C20" t="s">
        <v>364</v>
      </c>
      <c r="D20" s="55">
        <f>NPV(D9,D14:D19)+D13</f>
        <v>3706094.1315656565</v>
      </c>
      <c r="I20" s="57"/>
      <c r="J20" s="57"/>
      <c r="K20" s="57"/>
      <c r="L20" s="57"/>
      <c r="M20" t="s">
        <v>365</v>
      </c>
      <c r="N20" s="4">
        <f>IRR(N12:N19)</f>
        <v>0.40527088160530611</v>
      </c>
    </row>
    <row r="21" spans="3:14">
      <c r="C21" t="s">
        <v>365</v>
      </c>
      <c r="D21" s="4">
        <f>IRR(D13:D19)</f>
        <v>0.25305503220263059</v>
      </c>
      <c r="I21" s="57"/>
      <c r="J21" s="57"/>
      <c r="K21" s="57"/>
      <c r="L21" s="57"/>
    </row>
    <row r="22" spans="3:14">
      <c r="I22" s="56"/>
      <c r="J22" s="56"/>
      <c r="K22" s="56"/>
      <c r="L22" s="56"/>
      <c r="M22" s="56"/>
      <c r="N22" s="56"/>
    </row>
    <row r="23" spans="3:14">
      <c r="C23" t="s">
        <v>366</v>
      </c>
      <c r="I23" s="56"/>
      <c r="J23" s="56"/>
      <c r="K23" s="56"/>
      <c r="L23" s="56"/>
      <c r="M23" s="56"/>
      <c r="N23" s="56"/>
    </row>
    <row r="24" spans="3:14">
      <c r="F24" s="49"/>
    </row>
    <row r="26" spans="3:14" ht="12" customHeight="1"/>
    <row r="28" spans="3:14" ht="34">
      <c r="C28" s="175" t="s">
        <v>367</v>
      </c>
      <c r="D28" s="175" t="s">
        <v>368</v>
      </c>
      <c r="E28" s="175" t="s">
        <v>364</v>
      </c>
      <c r="F28" s="175" t="s">
        <v>369</v>
      </c>
      <c r="G28" s="175"/>
    </row>
    <row r="29" spans="3:14" ht="17">
      <c r="C29" s="176" t="s">
        <v>370</v>
      </c>
      <c r="D29" s="177">
        <f>-D13</f>
        <v>4290400</v>
      </c>
      <c r="E29" s="177">
        <f>D20</f>
        <v>3706094.1315656565</v>
      </c>
      <c r="F29" s="176">
        <f>E29/D29</f>
        <v>0.863810864153845</v>
      </c>
      <c r="G29" s="177"/>
    </row>
    <row r="30" spans="3:14" ht="17">
      <c r="C30" s="176" t="s">
        <v>371</v>
      </c>
      <c r="D30" s="177">
        <f>-N12</f>
        <v>920000</v>
      </c>
      <c r="E30" s="177">
        <f>N19</f>
        <v>1737461.3673376893</v>
      </c>
      <c r="F30" s="176">
        <f>E30/D30</f>
        <v>1.8885449644974883</v>
      </c>
      <c r="G30" s="177"/>
    </row>
    <row r="41" spans="3:3" ht="48">
      <c r="C41" s="49" t="s">
        <v>372</v>
      </c>
    </row>
    <row r="43" spans="3:3" ht="32">
      <c r="C43" s="49" t="s">
        <v>373</v>
      </c>
    </row>
    <row r="44" spans="3:3">
      <c r="C44" t="s">
        <v>374</v>
      </c>
    </row>
  </sheetData>
  <mergeCells count="2">
    <mergeCell ref="C11:D11"/>
    <mergeCell ref="M10:N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 Green Zebra Historic Data</vt:lpstr>
      <vt:lpstr>Finance option</vt:lpstr>
      <vt:lpstr>1-Store Portland Expansion</vt:lpstr>
      <vt:lpstr>GZ Competitors AND WACC</vt:lpstr>
      <vt:lpstr>3‐Store Seattle Expan </vt:lpstr>
      <vt:lpstr>3 and 3‐Store Seattle Expansion</vt:lpstr>
      <vt:lpstr>NPV and 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Anamul Tasfiq</dc:creator>
  <cp:keywords/>
  <dc:description/>
  <cp:lastModifiedBy>Anamul Tasfiq</cp:lastModifiedBy>
  <cp:revision/>
  <dcterms:created xsi:type="dcterms:W3CDTF">2024-12-27T17:23:35Z</dcterms:created>
  <dcterms:modified xsi:type="dcterms:W3CDTF">2025-01-19T12:39:42Z</dcterms:modified>
  <cp:category/>
  <cp:contentStatus/>
</cp:coreProperties>
</file>