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/>
  <mc:AlternateContent xmlns:mc="http://schemas.openxmlformats.org/markup-compatibility/2006">
    <mc:Choice Requires="x15">
      <x15ac:absPath xmlns:x15ac="http://schemas.microsoft.com/office/spreadsheetml/2010/11/ac" url="https://sap-my.sharepoint.com/personal/anand_nidamanuru_sap_com/Documents/Sync/Paisa/"/>
    </mc:Choice>
  </mc:AlternateContent>
  <xr:revisionPtr revIDLastSave="644" documentId="114_{941C0151-049D-FE41-A889-D7C560FB2FAD}" xr6:coauthVersionLast="45" xr6:coauthVersionMax="45" xr10:uidLastSave="{8AD71F27-04FB-3E47-8CCA-46B4E6A1A2A1}"/>
  <bookViews>
    <workbookView xWindow="0" yWindow="500" windowWidth="33600" windowHeight="19160" activeTab="16" xr2:uid="{00000000-000D-0000-FFFF-FFFF00000000}"/>
  </bookViews>
  <sheets>
    <sheet name="Standing" sheetId="2" r:id="rId1"/>
    <sheet name="History_Paisa" sheetId="1" r:id="rId2"/>
    <sheet name="Country Vacations" sheetId="3" state="hidden" r:id="rId3"/>
    <sheet name="Prepaid Cards" sheetId="4" state="hidden" r:id="rId4"/>
    <sheet name="Home AECS" sheetId="16" r:id="rId5"/>
    <sheet name="Chit" sheetId="22" r:id="rId6"/>
    <sheet name="Investments (2)" sheetId="21" r:id="rId7"/>
    <sheet name="Investments" sheetId="5" state="hidden" r:id="rId8"/>
    <sheet name="Account numbers" sheetId="6" r:id="rId9"/>
    <sheet name="Sal details - 2015" sheetId="13" state="hidden" r:id="rId10"/>
    <sheet name="Intlo Appu" sheetId="9" r:id="rId11"/>
    <sheet name="Earnings, Home" sheetId="26" r:id="rId12"/>
    <sheet name="Loans" sheetId="25" r:id="rId13"/>
    <sheet name="Nani Credit card EMI" sheetId="15" state="hidden" r:id="rId14"/>
    <sheet name="Loan for Bro" sheetId="10" state="hidden" r:id="rId15"/>
    <sheet name="Chiti pata" sheetId="11" state="hidden" r:id="rId16"/>
    <sheet name="SAP Shares" sheetId="17" r:id="rId17"/>
    <sheet name="SAP Shares 2" sheetId="20" r:id="rId18"/>
    <sheet name="Papai &amp; Tej" sheetId="18" r:id="rId19"/>
    <sheet name="Intlo appu sim" sheetId="24" r:id="rId20"/>
  </sheets>
  <definedNames>
    <definedName name="_xlnm._FilterDatabase" localSheetId="1" hidden="1">History_Paisa!$A$1:$G$94</definedName>
    <definedName name="_xlnm._FilterDatabase" localSheetId="7" hidden="1">Investments!$A$1:$G$16</definedName>
    <definedName name="_xlnm._FilterDatabase" localSheetId="6" hidden="1">'Investments (2)'!$A$1:$G$25</definedName>
    <definedName name="_xlnm._FilterDatabase" localSheetId="17" hidden="1">'SAP Shares 2'!$G$1:$K$39</definedName>
    <definedName name="_xlnm._FilterDatabase" localSheetId="0" hidden="1">Standing!$A$1:$F$15</definedName>
  </definedNames>
  <calcPr calcId="191029"/>
  <pivotCaches>
    <pivotCache cacheId="0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26" l="1"/>
  <c r="B33" i="26"/>
  <c r="B28" i="26"/>
  <c r="A46" i="26"/>
  <c r="E45" i="26"/>
  <c r="F45" i="26" s="1"/>
  <c r="F43" i="26"/>
  <c r="V4" i="25"/>
  <c r="V5" i="25"/>
  <c r="V6" i="25"/>
  <c r="V7" i="25"/>
  <c r="V8" i="25"/>
  <c r="V9" i="25"/>
  <c r="V10" i="25"/>
  <c r="V11" i="25"/>
  <c r="V12" i="25"/>
  <c r="V13" i="25"/>
  <c r="V3" i="25"/>
  <c r="N2" i="25" l="1"/>
  <c r="M55" i="25"/>
  <c r="M49" i="25"/>
  <c r="M36" i="25"/>
  <c r="M21" i="25"/>
  <c r="M8" i="25"/>
  <c r="I2" i="25"/>
  <c r="H51" i="25"/>
  <c r="H48" i="25"/>
  <c r="H36" i="25"/>
  <c r="H24" i="25"/>
  <c r="H12" i="25"/>
  <c r="D2" i="25"/>
  <c r="C108" i="25"/>
  <c r="C97" i="25"/>
  <c r="C86" i="25"/>
  <c r="C73" i="25"/>
  <c r="C61" i="25"/>
  <c r="C48" i="25"/>
  <c r="C37" i="25"/>
  <c r="C24" i="25"/>
  <c r="O8" i="21" l="1"/>
  <c r="O18" i="21"/>
  <c r="S12" i="24" l="1"/>
  <c r="R12" i="24"/>
  <c r="S7" i="24"/>
  <c r="R7" i="24"/>
  <c r="F12" i="24"/>
  <c r="G12" i="24"/>
  <c r="G7" i="24"/>
  <c r="F7" i="24"/>
  <c r="N43" i="20" l="1"/>
  <c r="N42" i="20"/>
  <c r="J43" i="20"/>
  <c r="J42" i="20"/>
  <c r="B24" i="9" l="1"/>
  <c r="J41" i="20" l="1"/>
  <c r="J40" i="20"/>
  <c r="F16" i="17"/>
  <c r="F17" i="17"/>
  <c r="F18" i="17"/>
  <c r="F19" i="17"/>
  <c r="F15" i="17"/>
  <c r="F20" i="17" s="1"/>
  <c r="L32" i="17" s="1"/>
  <c r="M30" i="17"/>
  <c r="O24" i="17"/>
  <c r="M24" i="17"/>
  <c r="T21" i="17"/>
  <c r="U21" i="17" s="1"/>
  <c r="S21" i="17"/>
  <c r="O15" i="17"/>
  <c r="I16" i="17"/>
  <c r="I17" i="17"/>
  <c r="I18" i="17"/>
  <c r="I15" i="17"/>
  <c r="H3" i="17"/>
  <c r="H4" i="17"/>
  <c r="H5" i="17"/>
  <c r="H6" i="17"/>
  <c r="H7" i="17"/>
  <c r="H8" i="17"/>
  <c r="H9" i="17"/>
  <c r="H2" i="17"/>
  <c r="G21" i="17"/>
  <c r="I22" i="17" s="1"/>
  <c r="I25" i="17" s="1"/>
  <c r="F33" i="17"/>
  <c r="F32" i="17"/>
  <c r="F31" i="17"/>
  <c r="F30" i="17"/>
  <c r="F34" i="17" s="1"/>
  <c r="I34" i="17" s="1"/>
  <c r="G39" i="17" s="1"/>
  <c r="G42" i="17" s="1"/>
  <c r="D10" i="17"/>
  <c r="M9" i="17"/>
  <c r="M8" i="17"/>
  <c r="M7" i="17"/>
  <c r="M6" i="17"/>
  <c r="G30" i="17"/>
  <c r="G35" i="17" s="1"/>
  <c r="G37" i="17" s="1"/>
  <c r="M5" i="17"/>
  <c r="M4" i="17"/>
  <c r="M3" i="17"/>
  <c r="M2" i="17"/>
  <c r="G19" i="17"/>
  <c r="G20" i="17"/>
  <c r="G22" i="17" s="1"/>
  <c r="I19" i="17"/>
  <c r="I20" i="17"/>
  <c r="P3" i="18"/>
  <c r="P4" i="18"/>
  <c r="K3" i="5"/>
  <c r="K2" i="5"/>
  <c r="H4" i="16"/>
  <c r="M3" i="16"/>
  <c r="M15" i="16"/>
  <c r="M28" i="16"/>
  <c r="C10" i="16"/>
  <c r="C16" i="16"/>
  <c r="H22" i="16"/>
  <c r="H23" i="16" s="1"/>
  <c r="I22" i="11"/>
  <c r="I24" i="11" s="1"/>
  <c r="H1" i="15"/>
  <c r="I21" i="13"/>
  <c r="K21" i="13" s="1"/>
  <c r="K16" i="13"/>
  <c r="K15" i="13"/>
  <c r="I14" i="13"/>
  <c r="K14" i="13" s="1"/>
  <c r="K18" i="13" s="1"/>
  <c r="B8" i="13"/>
  <c r="B11" i="13"/>
  <c r="F6" i="13"/>
  <c r="B15" i="13"/>
  <c r="B6" i="10"/>
  <c r="A43" i="3"/>
  <c r="C43" i="3" s="1"/>
  <c r="H1" i="3"/>
  <c r="H2" i="3"/>
  <c r="I3" i="3"/>
  <c r="I2" i="2"/>
  <c r="P5" i="18" l="1"/>
  <c r="I18" i="13"/>
  <c r="I22" i="13" s="1"/>
  <c r="K22" i="13" s="1"/>
  <c r="I20" i="13"/>
  <c r="K20" i="13" l="1"/>
  <c r="K24" i="13" s="1"/>
  <c r="B18" i="13" s="1"/>
  <c r="B20" i="13" s="1"/>
  <c r="L5" i="13" s="1"/>
  <c r="M5" i="13" s="1"/>
  <c r="E14" i="13" s="1"/>
  <c r="I2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tc={72B3B704-F821-0C40-B086-0F747A2E1C52}</author>
  </authors>
  <commentList>
    <comment ref="D12" authorId="0" shapeId="0" xr:uid="{72B3B704-F821-0C40-B086-0F747A2E1C52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originally 
(Inactive) HDFC Balanced Fund - Direct Plan - Growth Option (Inactive)</t>
      </text>
    </comment>
  </commentList>
</comments>
</file>

<file path=xl/sharedStrings.xml><?xml version="1.0" encoding="utf-8"?>
<sst xmlns="http://schemas.openxmlformats.org/spreadsheetml/2006/main" count="1321" uniqueCount="582">
  <si>
    <t>Some time back</t>
  </si>
  <si>
    <t>Sudhir</t>
  </si>
  <si>
    <t>Nagaraju</t>
  </si>
  <si>
    <t>Date</t>
  </si>
  <si>
    <t>Amount</t>
  </si>
  <si>
    <t>From</t>
  </si>
  <si>
    <t>To</t>
  </si>
  <si>
    <t>Anand</t>
  </si>
  <si>
    <t>Ravi Anna</t>
  </si>
  <si>
    <t>Annai</t>
  </si>
  <si>
    <t>Sudhir Father</t>
  </si>
  <si>
    <t>Ravi Vandavasi</t>
  </si>
  <si>
    <t>25 C Dollar</t>
  </si>
  <si>
    <t>Sai</t>
  </si>
  <si>
    <t>Kishore</t>
  </si>
  <si>
    <t>Tirupathi trip</t>
  </si>
  <si>
    <t>Srinivas</t>
  </si>
  <si>
    <t>Dad collastamy belts</t>
  </si>
  <si>
    <t>Comment</t>
  </si>
  <si>
    <t>Chaita</t>
  </si>
  <si>
    <t>Zoo Bday gift coupon</t>
  </si>
  <si>
    <t>Installment 1</t>
  </si>
  <si>
    <t>August</t>
  </si>
  <si>
    <t>Charger</t>
  </si>
  <si>
    <t>Installment 2</t>
  </si>
  <si>
    <t>Sudhir gave all the money 50000 + 1K for Donation</t>
  </si>
  <si>
    <t>Sekhar</t>
  </si>
  <si>
    <t>Chaitu</t>
  </si>
  <si>
    <t xml:space="preserve">Chaitu </t>
  </si>
  <si>
    <t>Ticket</t>
  </si>
  <si>
    <t>Donation</t>
  </si>
  <si>
    <t>Installment 3</t>
  </si>
  <si>
    <t>Installment 4 (Donation 1K)</t>
  </si>
  <si>
    <t>Ticket Cancelled</t>
  </si>
  <si>
    <t>?</t>
  </si>
  <si>
    <t>For Marg</t>
  </si>
  <si>
    <t>Anil</t>
  </si>
  <si>
    <t>Pavan</t>
  </si>
  <si>
    <t>For Galaxy tab</t>
  </si>
  <si>
    <t>Sometime</t>
  </si>
  <si>
    <t>Rent</t>
  </si>
  <si>
    <t>Credit from ICICI</t>
  </si>
  <si>
    <t>2/18 EMI Principal - INSTANT EMI OFF US TRANSA</t>
  </si>
  <si>
    <t>Credit</t>
  </si>
  <si>
    <t>Debit</t>
  </si>
  <si>
    <t>This amount I didn't pay in the bill</t>
  </si>
  <si>
    <t>1/18 EMI Principal - INSTANT EMI OFF US TRANSA</t>
  </si>
  <si>
    <t>This amount I paid</t>
  </si>
  <si>
    <t>Paid?</t>
  </si>
  <si>
    <t>Yes</t>
  </si>
  <si>
    <t>No</t>
  </si>
  <si>
    <t>bus tickets (Tirupathi + back to Blore for Anil - other tickets)</t>
  </si>
  <si>
    <t>22/09/2012</t>
  </si>
  <si>
    <t>3/18 EMI Principal - INSTANT EMI OFF US TRANSA</t>
  </si>
  <si>
    <t>Person</t>
  </si>
  <si>
    <t>In Oct bill did not pay EMI of Sep and also EMI of 1st time which I paid</t>
  </si>
  <si>
    <t>4213 2801 2224 2384</t>
  </si>
  <si>
    <t>4213 2801 1864 6887</t>
  </si>
  <si>
    <t>4213 2801 1777 9721</t>
  </si>
  <si>
    <t>4213 2801 0987 6154</t>
  </si>
  <si>
    <t>2/13</t>
  </si>
  <si>
    <t>3/13</t>
  </si>
  <si>
    <t>7/13</t>
  </si>
  <si>
    <t>12/12</t>
  </si>
  <si>
    <t xml:space="preserve">2.67 rs only </t>
  </si>
  <si>
    <t>22/11/2012</t>
  </si>
  <si>
    <t>5/18 EMI Principal - INSTANT EMI OFF US TRANSA</t>
  </si>
  <si>
    <t>22/10/2012</t>
  </si>
  <si>
    <t>4/18 EMI Principal - INSTANT EMI OFF US TRANSA</t>
  </si>
  <si>
    <t>Paid in the month bill</t>
  </si>
  <si>
    <t>Total not paid</t>
  </si>
  <si>
    <t>22/12/2012</t>
  </si>
  <si>
    <t>6/18 EMI Principal - INSTANT EMI OFF US TRANSA</t>
  </si>
  <si>
    <t>Rs. -45,629.86</t>
  </si>
  <si>
    <t>Total Credit Limit</t>
  </si>
  <si>
    <t>Rs. 90,000.00</t>
  </si>
  <si>
    <t>Purchase and other Charges</t>
  </si>
  <si>
    <t>Rs. 23,639.64</t>
  </si>
  <si>
    <t>Available Credit Limit</t>
  </si>
  <si>
    <t>Rs. 115,044.22</t>
  </si>
  <si>
    <t>Cash Advances</t>
  </si>
  <si>
    <t>Rs. 0.00</t>
  </si>
  <si>
    <t>Total Cash Limit</t>
  </si>
  <si>
    <t>Payments and other credits</t>
  </si>
  <si>
    <t>Rs. 5,000.00</t>
  </si>
  <si>
    <t>Available Cash limit</t>
  </si>
  <si>
    <t>Total Amount Due</t>
  </si>
  <si>
    <t>Rs. -26,990.22</t>
  </si>
  <si>
    <t>00751140058599</t>
  </si>
  <si>
    <t>Anna Frnd Ravi</t>
  </si>
  <si>
    <t>Archit</t>
  </si>
  <si>
    <t>Baljinder</t>
  </si>
  <si>
    <t>Chaitanya Priya</t>
  </si>
  <si>
    <t>Devender</t>
  </si>
  <si>
    <t>Jaggu Dad - PRATAPA REDDY K.V</t>
  </si>
  <si>
    <t>NagaRaju</t>
  </si>
  <si>
    <t>O Ramesh</t>
  </si>
  <si>
    <t>Prashant K</t>
  </si>
  <si>
    <t>Raja Sekhar</t>
  </si>
  <si>
    <t>Rajesh Duba</t>
  </si>
  <si>
    <t>Ramesh Anna</t>
  </si>
  <si>
    <t>Ramya Mallohalli SAP</t>
  </si>
  <si>
    <t>SAP Pavan frnd</t>
  </si>
  <si>
    <t>Sai SAP</t>
  </si>
  <si>
    <t>Sailu</t>
  </si>
  <si>
    <t>Srini Ramaswamy</t>
  </si>
  <si>
    <t>Srinivas Potnuru</t>
  </si>
  <si>
    <t>Sudhir Potnuru</t>
  </si>
  <si>
    <t>Suman C</t>
  </si>
  <si>
    <t>01891050014873</t>
  </si>
  <si>
    <t>00751610074781</t>
  </si>
  <si>
    <t>02611000013172</t>
  </si>
  <si>
    <t>05011610100406</t>
  </si>
  <si>
    <t>01891070001444</t>
  </si>
  <si>
    <t>00751610073289</t>
  </si>
  <si>
    <t>01891530014580</t>
  </si>
  <si>
    <t>01221140007339</t>
  </si>
  <si>
    <t>00771610101965</t>
  </si>
  <si>
    <t>00531140059540</t>
  </si>
  <si>
    <t>05451140005412</t>
  </si>
  <si>
    <t>01091050137916</t>
  </si>
  <si>
    <t>01331140101881</t>
  </si>
  <si>
    <t>00771610071235</t>
  </si>
  <si>
    <t>00091140067745</t>
  </si>
  <si>
    <t>05091050012501</t>
  </si>
  <si>
    <t>00771140000920</t>
  </si>
  <si>
    <t>02861050097003</t>
  </si>
  <si>
    <t>00531140050576</t>
  </si>
  <si>
    <t>00751140012429</t>
  </si>
  <si>
    <t>Within HDFC</t>
  </si>
  <si>
    <t>0012B27961001</t>
  </si>
  <si>
    <t>INDB0000145</t>
  </si>
  <si>
    <t>Amit Anand</t>
  </si>
  <si>
    <t>ICIC0000557</t>
  </si>
  <si>
    <t>Anand Nidamanuru</t>
  </si>
  <si>
    <t>SBIN0011094</t>
  </si>
  <si>
    <t>SBIN0004245</t>
  </si>
  <si>
    <t>Arshad Nawaz Ahmed</t>
  </si>
  <si>
    <t>CITI0000004</t>
  </si>
  <si>
    <t>Kusum Yadav</t>
  </si>
  <si>
    <t>SBIN0001009</t>
  </si>
  <si>
    <t>Lakshmi Srinivas Perakam</t>
  </si>
  <si>
    <t>CITI0000006</t>
  </si>
  <si>
    <t>Manjeera Reddyvari</t>
  </si>
  <si>
    <t>UTIB0000068</t>
  </si>
  <si>
    <t>RAJESH ATIKELA</t>
  </si>
  <si>
    <t>ICIC0000048</t>
  </si>
  <si>
    <t>RVSR PAVAN KUMAR</t>
  </si>
  <si>
    <t>CITI0000040</t>
  </si>
  <si>
    <t>Rajesh Macharla</t>
  </si>
  <si>
    <t>IBKL0000440</t>
  </si>
  <si>
    <t>Sama Venkatesh</t>
  </si>
  <si>
    <t>UBIN0564087</t>
  </si>
  <si>
    <t>Tejaswi Nidamanuru</t>
  </si>
  <si>
    <t>SBIN0002802</t>
  </si>
  <si>
    <t>VITARANA FOUNDATION</t>
  </si>
  <si>
    <t>CITI0000005</t>
  </si>
  <si>
    <t>Venkat Srikanth Gona</t>
  </si>
  <si>
    <t>001401500149</t>
  </si>
  <si>
    <t>31006347367</t>
  </si>
  <si>
    <t>20111632470</t>
  </si>
  <si>
    <t>5509268802</t>
  </si>
  <si>
    <t>00000010939844105</t>
  </si>
  <si>
    <t>5167958558</t>
  </si>
  <si>
    <t>068010100487924</t>
  </si>
  <si>
    <t>004801514761</t>
  </si>
  <si>
    <t>5311085117</t>
  </si>
  <si>
    <t>0440104000018595</t>
  </si>
  <si>
    <t>640802010000968</t>
  </si>
  <si>
    <t>30472974007</t>
  </si>
  <si>
    <t>5031004707</t>
  </si>
  <si>
    <t>Outside HDFC</t>
  </si>
  <si>
    <t>Dad</t>
  </si>
  <si>
    <t>For home loan</t>
  </si>
  <si>
    <t>For furniture</t>
  </si>
  <si>
    <t>Nenu Dad ki ichhina amt</t>
  </si>
  <si>
    <t xml:space="preserve">LIC </t>
  </si>
  <si>
    <t>Comments</t>
  </si>
  <si>
    <t>Marg. Ichina money</t>
  </si>
  <si>
    <t>For washing machine</t>
  </si>
  <si>
    <t>Srinivas Potnur</t>
  </si>
  <si>
    <t>Owner</t>
  </si>
  <si>
    <t>For Plumber</t>
  </si>
  <si>
    <t>For water</t>
  </si>
  <si>
    <t>For Bus tickets</t>
  </si>
  <si>
    <t>For paints</t>
  </si>
  <si>
    <t>Nani</t>
  </si>
  <si>
    <t>Bus ticket from Gnt to Hyd</t>
  </si>
  <si>
    <t>HRA</t>
  </si>
  <si>
    <t>Special Allowance</t>
  </si>
  <si>
    <t>Lended money is -ve amounts (Someone to me)</t>
  </si>
  <si>
    <t>HDFC ELSS</t>
  </si>
  <si>
    <t>chakri</t>
  </si>
  <si>
    <t>sudhir</t>
  </si>
  <si>
    <t>chalapathi</t>
  </si>
  <si>
    <t>muppavarabu satya (pandu baava maridi)</t>
  </si>
  <si>
    <t>daddy</t>
  </si>
  <si>
    <t xml:space="preserve">bindu </t>
  </si>
  <si>
    <t>chalapathi babai bava maridi</t>
  </si>
  <si>
    <t>G Durga prasad(Chinna ma laxmi)</t>
  </si>
  <si>
    <t>Interest</t>
  </si>
  <si>
    <t>Kailash</t>
  </si>
  <si>
    <t>P Savitri (madam)</t>
  </si>
  <si>
    <t>Kurmala Sarada</t>
  </si>
  <si>
    <t>Madhu Akkai</t>
  </si>
  <si>
    <t>Site</t>
  </si>
  <si>
    <t>Manavi</t>
  </si>
  <si>
    <t>Bolisetty Sambasivarao</t>
  </si>
  <si>
    <t>SBI charges</t>
  </si>
  <si>
    <t>SBI Processing fee</t>
  </si>
  <si>
    <t xml:space="preserve">Loan Premium </t>
  </si>
  <si>
    <t>Notary</t>
  </si>
  <si>
    <t>Total charges</t>
  </si>
  <si>
    <t>Loan Amount</t>
  </si>
  <si>
    <t>To Annai</t>
  </si>
  <si>
    <t>Credit/Debit</t>
  </si>
  <si>
    <t>Desc</t>
  </si>
  <si>
    <t>Charges</t>
  </si>
  <si>
    <t>To Driver Nagaraju asked me to send</t>
  </si>
  <si>
    <t>Hari Annai</t>
  </si>
  <si>
    <t>To Delhi Hari Annai</t>
  </si>
  <si>
    <t>To Delhi Bullemmai Vadina</t>
  </si>
  <si>
    <t>To Hyd from Delhi Hari Annai</t>
  </si>
  <si>
    <t>Payback redeem points 814</t>
  </si>
  <si>
    <t>Pelli Taali Botlu</t>
  </si>
  <si>
    <t>Mettelu for Anil's wife Sowjanya</t>
  </si>
  <si>
    <t>MakeMyTrip</t>
  </si>
  <si>
    <t>MakeMyTrip discount</t>
  </si>
  <si>
    <t>To Anil</t>
  </si>
  <si>
    <t>For his home</t>
  </si>
  <si>
    <t>Marriage gift</t>
  </si>
  <si>
    <t>Chiti pata lo taggichina amount</t>
  </si>
  <si>
    <t>Akkaki</t>
  </si>
  <si>
    <t>EMI</t>
  </si>
  <si>
    <t>My EMI</t>
  </si>
  <si>
    <t>Home Loan</t>
  </si>
  <si>
    <t>Equity Loan</t>
  </si>
  <si>
    <t>Total</t>
  </si>
  <si>
    <t>Principal</t>
  </si>
  <si>
    <t>Duration
Months</t>
  </si>
  <si>
    <t>Jameer</t>
  </si>
  <si>
    <t>For his cousin</t>
  </si>
  <si>
    <t>Priya Akka</t>
  </si>
  <si>
    <t>Sai Friend</t>
  </si>
  <si>
    <t>Crackers Diwali</t>
  </si>
  <si>
    <t>Gift money for Sekhar house</t>
  </si>
  <si>
    <t>Git money for Sai's kid Sloka</t>
  </si>
  <si>
    <t>Vadiki money ichanu</t>
  </si>
  <si>
    <t>Money returned</t>
  </si>
  <si>
    <t>For Marg, +3000 for kiddu</t>
  </si>
  <si>
    <t>For Marg, -9600 as my marg gift from Chaitu</t>
  </si>
  <si>
    <t>50000 + Gift money for house, papai</t>
  </si>
  <si>
    <t>Annai  gave it to Dad</t>
  </si>
  <si>
    <t>Annai gave the flight ticket amount</t>
  </si>
  <si>
    <t>Sudhir kosam ichina money</t>
  </si>
  <si>
    <t>Narayana Rao Babji (Anna)</t>
  </si>
  <si>
    <t>Nenu Annai ki ichina amt (for court money)</t>
  </si>
  <si>
    <t>070010100230322</t>
  </si>
  <si>
    <t>UTIB0000070</t>
  </si>
  <si>
    <t>Sankara Rao Mama Garu</t>
  </si>
  <si>
    <t xml:space="preserve"> </t>
  </si>
  <si>
    <t>Salary Packaging</t>
  </si>
  <si>
    <t>Per year</t>
  </si>
  <si>
    <t>Income From</t>
  </si>
  <si>
    <t>Income To</t>
  </si>
  <si>
    <t>Fixed Tax</t>
  </si>
  <si>
    <t>Extra %</t>
  </si>
  <si>
    <t>Per month Tax</t>
  </si>
  <si>
    <t xml:space="preserve">Basic:        </t>
  </si>
  <si>
    <t>LTA</t>
  </si>
  <si>
    <t xml:space="preserve">Flexible Benefits Plan (FBP):    </t>
  </si>
  <si>
    <t xml:space="preserve">Benefits Allowance:        </t>
  </si>
  <si>
    <t>Medical</t>
  </si>
  <si>
    <t xml:space="preserve">Provident Fund:    </t>
  </si>
  <si>
    <t>Tele Reimbursement</t>
  </si>
  <si>
    <t xml:space="preserve">Superannuation Allowance:      </t>
  </si>
  <si>
    <t xml:space="preserve">Gratuity:      </t>
  </si>
  <si>
    <t xml:space="preserve">Total Fixed Pay:    </t>
  </si>
  <si>
    <t xml:space="preserve">On Target Variable:        </t>
  </si>
  <si>
    <t>HRA Exemption Calculator</t>
  </si>
  <si>
    <t xml:space="preserve">On Target Earning:         </t>
  </si>
  <si>
    <t>Description</t>
  </si>
  <si>
    <t>Monthly (Rs.)</t>
  </si>
  <si>
    <t>No. of Months</t>
  </si>
  <si>
    <t>Yearly (Rs.)</t>
  </si>
  <si>
    <t>Perks</t>
  </si>
  <si>
    <t>Per Month Salary</t>
  </si>
  <si>
    <t>Basic Salary</t>
  </si>
  <si>
    <t xml:space="preserve">Gross Sal </t>
  </si>
  <si>
    <t>House Rent Allowance</t>
  </si>
  <si>
    <t>80C</t>
  </si>
  <si>
    <t>Actual Rent paid you</t>
  </si>
  <si>
    <t>10% of your Basic Salary</t>
  </si>
  <si>
    <t>Prof Tax</t>
  </si>
  <si>
    <t>Net Sal</t>
  </si>
  <si>
    <t>40% of your Basic</t>
  </si>
  <si>
    <t>Actual Rent paid less 10% of your basic</t>
  </si>
  <si>
    <t>HRA Annual Exemption</t>
  </si>
  <si>
    <t>Anusha Tej Frnd</t>
  </si>
  <si>
    <t>Necklace</t>
  </si>
  <si>
    <t>To Dad</t>
  </si>
  <si>
    <t>Tatagari Samvatsarikam</t>
  </si>
  <si>
    <t>Nani/Me</t>
  </si>
  <si>
    <t>Swiped</t>
  </si>
  <si>
    <t>Credited</t>
  </si>
  <si>
    <t>Discount</t>
  </si>
  <si>
    <t>Nani gave me</t>
  </si>
  <si>
    <t>Nani Ichadu</t>
  </si>
  <si>
    <t>To Akkai</t>
  </si>
  <si>
    <t>Intlo TV</t>
  </si>
  <si>
    <t>To Hasmitha</t>
  </si>
  <si>
    <t xml:space="preserve">Nagaraju </t>
  </si>
  <si>
    <t>Sale agreement to Nityanand</t>
  </si>
  <si>
    <t>To Anji as token advance</t>
  </si>
  <si>
    <t>For lawyer verificaiton</t>
  </si>
  <si>
    <t>HDFC Loan processing fee</t>
  </si>
  <si>
    <t>5121045817</t>
  </si>
  <si>
    <t>Anil Rajani brother</t>
  </si>
  <si>
    <t>Registration MC</t>
  </si>
  <si>
    <t>Loan processing Sale Agreement, MOD</t>
  </si>
  <si>
    <t>Grills</t>
  </si>
  <si>
    <t>Plumber</t>
  </si>
  <si>
    <t>Granites</t>
  </si>
  <si>
    <t>Paints Babu</t>
  </si>
  <si>
    <t>Electrician</t>
  </si>
  <si>
    <t>Gruha Pravesham</t>
  </si>
  <si>
    <t>Bava garu</t>
  </si>
  <si>
    <t>Rajesh</t>
  </si>
  <si>
    <t>Ravi</t>
  </si>
  <si>
    <t>Anna, Dad</t>
  </si>
  <si>
    <t>Teju, atta, mama</t>
  </si>
  <si>
    <t>Teju pedda attayya</t>
  </si>
  <si>
    <t>Catering</t>
  </si>
  <si>
    <t>Kali Paid for expenses</t>
  </si>
  <si>
    <t>Mantap, beds, pics etc</t>
  </si>
  <si>
    <t>Nityanand</t>
  </si>
  <si>
    <t>Woodwork</t>
  </si>
  <si>
    <t>Cement work for wardrobes</t>
  </si>
  <si>
    <t xml:space="preserve">My dresses shopping </t>
  </si>
  <si>
    <t>Registration</t>
  </si>
  <si>
    <t>Loan processing Lawyer fee</t>
  </si>
  <si>
    <t>To Lawyer (extra 12500 given by Nityanand)</t>
  </si>
  <si>
    <t>geysers</t>
  </si>
  <si>
    <t>Tiles</t>
  </si>
  <si>
    <t>Gate, window grills</t>
  </si>
  <si>
    <t>Bathroom accessories, sink, tiles</t>
  </si>
  <si>
    <t>woodwork for sink and extra shelves</t>
  </si>
  <si>
    <t>HDFC Loan</t>
  </si>
  <si>
    <t>Total with Gruha Pravesham</t>
  </si>
  <si>
    <t>Self</t>
  </si>
  <si>
    <t>SAP Match 2010</t>
  </si>
  <si>
    <t>SAP Match 2012</t>
  </si>
  <si>
    <t>SAP Match 2013</t>
  </si>
  <si>
    <t>SAP Match 2014</t>
  </si>
  <si>
    <t>Hari, Chirala Susmitha (Akka)</t>
  </si>
  <si>
    <t>Some problem with friend</t>
  </si>
  <si>
    <t>Shyam (office)</t>
  </si>
  <si>
    <t>Anji</t>
  </si>
  <si>
    <t>Investment Type</t>
  </si>
  <si>
    <t>Initial Amount/Premium</t>
  </si>
  <si>
    <t>CAN Number</t>
  </si>
  <si>
    <t>Folio Number/Policy Number</t>
  </si>
  <si>
    <t>LIC</t>
  </si>
  <si>
    <t>Fund name</t>
  </si>
  <si>
    <t>Aditya Birla Sun Life Equity Fund - Growth-Direct Plan</t>
  </si>
  <si>
    <t>Franklin India BLUECHIP FUND - Direct-GROWTH</t>
  </si>
  <si>
    <t>HDFC Hybrid Equity Fund - Direct Plan - Growth Option</t>
  </si>
  <si>
    <t>HDFC Tax Saver - Direct Plan - Growth Option</t>
  </si>
  <si>
    <t>ICICI Prudential Value Discovery Fund - Direct Plan - Growth</t>
  </si>
  <si>
    <t>ICICI Prudential</t>
  </si>
  <si>
    <t>MF</t>
  </si>
  <si>
    <t>Type</t>
  </si>
  <si>
    <t>Papai</t>
  </si>
  <si>
    <t>Delivery expenses</t>
  </si>
  <si>
    <t>Teju</t>
  </si>
  <si>
    <t>Anmol Jeevan (Plan-153)</t>
  </si>
  <si>
    <t>The Whole Life Policy - Limited Payment (Plan-5)</t>
  </si>
  <si>
    <t>Jeevan Anand (Plan-149)</t>
  </si>
  <si>
    <t>15248RBA01</t>
  </si>
  <si>
    <t>My Own</t>
  </si>
  <si>
    <t>50100245964796</t>
  </si>
  <si>
    <t>761160008993</t>
  </si>
  <si>
    <t>771610027651</t>
  </si>
  <si>
    <t>Max</t>
  </si>
  <si>
    <t>Kundalahalli</t>
  </si>
  <si>
    <t>ITPL</t>
  </si>
  <si>
    <t>Middleman</t>
  </si>
  <si>
    <t>MFU</t>
  </si>
  <si>
    <t>Year</t>
  </si>
  <si>
    <t>Transaction</t>
  </si>
  <si>
    <t>Qty</t>
  </si>
  <si>
    <t>Euro Price</t>
  </si>
  <si>
    <t>Purchase price</t>
  </si>
  <si>
    <t>Salary Month</t>
  </si>
  <si>
    <t>Sep-10</t>
  </si>
  <si>
    <t>Aug-13</t>
  </si>
  <si>
    <t>Perk1</t>
  </si>
  <si>
    <t>SMP Taxable D</t>
  </si>
  <si>
    <t>SMP Tax Matching</t>
  </si>
  <si>
    <t>July-14</t>
  </si>
  <si>
    <t>Discounted price cost</t>
  </si>
  <si>
    <t>Amount2</t>
  </si>
  <si>
    <t>SMP Match 2010</t>
  </si>
  <si>
    <t>Units</t>
  </si>
  <si>
    <t>June-12</t>
  </si>
  <si>
    <t>Loan + Some extra</t>
  </si>
  <si>
    <t>???</t>
  </si>
  <si>
    <t>Papai School fee</t>
  </si>
  <si>
    <t>Expenses in Guntur (including DL)</t>
  </si>
  <si>
    <t>Creative Smiles</t>
  </si>
  <si>
    <t>For 5 sessions</t>
  </si>
  <si>
    <t>Paid</t>
  </si>
  <si>
    <t>Went?</t>
  </si>
  <si>
    <t>Total Amout</t>
  </si>
  <si>
    <t>Total Paid</t>
  </si>
  <si>
    <t>Remaining</t>
  </si>
  <si>
    <t>INR/EUR</t>
  </si>
  <si>
    <t>What company has provided as benefit</t>
  </si>
  <si>
    <t>May-15</t>
  </si>
  <si>
    <t>SMP – STC net payout (Sell To Cover)</t>
  </si>
  <si>
    <t>Sep-16</t>
  </si>
  <si>
    <t>June-17</t>
  </si>
  <si>
    <t>Purchase price (EUR)</t>
  </si>
  <si>
    <t>Gain per unit (EUR)</t>
  </si>
  <si>
    <t>Purchase price INR</t>
  </si>
  <si>
    <t>Total Gain EUR (Units * Gain)</t>
  </si>
  <si>
    <t>(Go To Transaction and click on Date)</t>
  </si>
  <si>
    <t>Tx Fee (EUR)</t>
  </si>
  <si>
    <t>SMP Match 2012</t>
  </si>
  <si>
    <t xml:space="preserve">Total </t>
  </si>
  <si>
    <t>Total Purchase</t>
  </si>
  <si>
    <t>Total Sell (From bank stmt)</t>
  </si>
  <si>
    <t>Gain</t>
  </si>
  <si>
    <t>INW 300419I049903015 EUR2261.4@76.71</t>
  </si>
  <si>
    <t>INW 300419I049903015 CGST</t>
  </si>
  <si>
    <t>Selling price (EUR)</t>
  </si>
  <si>
    <t>INW 300419I049903015 SGST</t>
  </si>
  <si>
    <t>Sell</t>
  </si>
  <si>
    <t>40% discount</t>
  </si>
  <si>
    <t>Calculated price</t>
  </si>
  <si>
    <t>Prorated Inflation</t>
  </si>
  <si>
    <t>2018-2019</t>
  </si>
  <si>
    <t>Prorate Index</t>
  </si>
  <si>
    <t>Prorated Pur price</t>
  </si>
  <si>
    <t>Sell (From Bank)</t>
  </si>
  <si>
    <t>Sale Date</t>
  </si>
  <si>
    <t>INWEUR5225@77.4</t>
  </si>
  <si>
    <t>INWINR226.99@1.0</t>
  </si>
  <si>
    <t>Buy</t>
  </si>
  <si>
    <t>Sell price</t>
  </si>
  <si>
    <t>Sell date</t>
  </si>
  <si>
    <t>Gain/Loss</t>
  </si>
  <si>
    <t>Total pur price</t>
  </si>
  <si>
    <t>Prorated</t>
  </si>
  <si>
    <t>Prorated loss/gain</t>
  </si>
  <si>
    <t>Sale price INR</t>
  </si>
  <si>
    <t>Sell EUR to INR</t>
  </si>
  <si>
    <t>Sold shares</t>
  </si>
  <si>
    <t>Tx fee (EUR)</t>
  </si>
  <si>
    <t>Share price (EUR)</t>
  </si>
  <si>
    <t>Transaction confirmation no</t>
  </si>
  <si>
    <t>GSI10290116 / 17641975</t>
  </si>
  <si>
    <t>Allocation Date</t>
  </si>
  <si>
    <t>Purchased Shares</t>
  </si>
  <si>
    <t>Purchase Price (EUR)</t>
  </si>
  <si>
    <t>Contribution (EUR)</t>
  </si>
  <si>
    <t>Sold On</t>
  </si>
  <si>
    <t>Selling Price (EUR)</t>
  </si>
  <si>
    <t>NEFT Cr-CITI0100000-RTGS FTU PAYLINK P32 TRANSIT AC-ANAND NIDAMANURU-CITIN19051454771</t>
  </si>
  <si>
    <t>CITIN19051454771 </t>
  </si>
  <si>
    <t>Bank Transaction</t>
  </si>
  <si>
    <t>(blank)</t>
  </si>
  <si>
    <t>Grand Total</t>
  </si>
  <si>
    <t>As of 26-Oct-19</t>
  </si>
  <si>
    <t>Shares</t>
  </si>
  <si>
    <t>Sharekhan</t>
  </si>
  <si>
    <t>RELIANCE</t>
  </si>
  <si>
    <t>TATAMOTORS</t>
  </si>
  <si>
    <t>Hyd</t>
  </si>
  <si>
    <t>Savitri Mam</t>
  </si>
  <si>
    <t>Sambasiva rao uncle</t>
  </si>
  <si>
    <t>Himavati</t>
  </si>
  <si>
    <t>Chalapati</t>
  </si>
  <si>
    <t>Ramesh bava</t>
  </si>
  <si>
    <t>Balaji Mamayya</t>
  </si>
  <si>
    <t>Axis Blue chip Direct Growth</t>
  </si>
  <si>
    <t>Net amount sold</t>
  </si>
  <si>
    <t>Mamayya garu</t>
  </si>
  <si>
    <t>15000 per month</t>
  </si>
  <si>
    <t>Annai ki (Saketh + some amount)</t>
  </si>
  <si>
    <t>Dad ki</t>
  </si>
  <si>
    <t>Electricity bills + Property tax</t>
  </si>
  <si>
    <t>Amma Vaddanam</t>
  </si>
  <si>
    <t>Annai kosam loan (loan date: 05-Nov-13, 15.01.2014)</t>
  </si>
  <si>
    <t>Akkai pelliki</t>
  </si>
  <si>
    <t>Annai Pelliki</t>
  </si>
  <si>
    <t>Rent from house</t>
  </si>
  <si>
    <t>Total appu</t>
  </si>
  <si>
    <t>Pandaripuram House</t>
  </si>
  <si>
    <t>Pattabhipuram house</t>
  </si>
  <si>
    <t>Approach 1</t>
  </si>
  <si>
    <t>Sell Pattabhipuram house</t>
  </si>
  <si>
    <t xml:space="preserve">Anna ki </t>
  </si>
  <si>
    <t>Naku</t>
  </si>
  <si>
    <t>Anna appu</t>
  </si>
  <si>
    <t>Nanna</t>
  </si>
  <si>
    <t>Nadi</t>
  </si>
  <si>
    <t>Total Anna ki</t>
  </si>
  <si>
    <t>Total naku</t>
  </si>
  <si>
    <t>Approach 2</t>
  </si>
  <si>
    <t>Property</t>
  </si>
  <si>
    <t>Sell my house + 5 lakhs</t>
  </si>
  <si>
    <t>Nenu ichedi</t>
  </si>
  <si>
    <t>Sim 1 - Distribute after clearing appu</t>
  </si>
  <si>
    <t>Sim2 - Distribute with loan ownership</t>
  </si>
  <si>
    <t>Remaining Anna ki</t>
  </si>
  <si>
    <t>Remaining naku</t>
  </si>
  <si>
    <t>Folio Number/
Policy Number</t>
  </si>
  <si>
    <t>Initial Amount/
Premium</t>
  </si>
  <si>
    <t>Average/
Purchase NAV</t>
  </si>
  <si>
    <t>HDFC Tax Saver Regular Plan Growth</t>
  </si>
  <si>
    <t>PPFAS - Long term Equity fund - Direct plan</t>
  </si>
  <si>
    <t>Sum of Sum</t>
  </si>
  <si>
    <t>Sal before tax</t>
  </si>
  <si>
    <t>Tax</t>
  </si>
  <si>
    <t>In hand</t>
  </si>
  <si>
    <t>Expenses</t>
  </si>
  <si>
    <t>In hand -expenses - rent</t>
  </si>
  <si>
    <t>Personal Loan</t>
  </si>
  <si>
    <t>Spend</t>
  </si>
  <si>
    <t>Guntur Home loan</t>
  </si>
  <si>
    <t>Personal loan</t>
  </si>
  <si>
    <t>Bangalore home expenses</t>
  </si>
  <si>
    <t>Bangalore Home loan</t>
  </si>
  <si>
    <t>SAP Shares</t>
  </si>
  <si>
    <t>PF</t>
  </si>
  <si>
    <t>My marriage</t>
  </si>
  <si>
    <t>Shares and Funds</t>
  </si>
  <si>
    <t>Interest for 5.6</t>
  </si>
  <si>
    <t>HDFC PLR Rate</t>
  </si>
  <si>
    <t>RBI Repo Rate</t>
  </si>
  <si>
    <t>22nd May 20</t>
  </si>
  <si>
    <t>0.4% </t>
  </si>
  <si>
    <t>21st Apr 20</t>
  </si>
  <si>
    <t>27th Mar 20</t>
  </si>
  <si>
    <t>04th Oct 19</t>
  </si>
  <si>
    <t>07th Aug 19</t>
  </si>
  <si>
    <t>06th Jun 19</t>
  </si>
  <si>
    <t>04th Apr 19</t>
  </si>
  <si>
    <t>07th Feb 19</t>
  </si>
  <si>
    <t>29th Jan 19</t>
  </si>
  <si>
    <t>16.85%  0.1%</t>
  </si>
  <si>
    <t>01st Oct 18</t>
  </si>
  <si>
    <t>16.75%  0.4%</t>
  </si>
  <si>
    <t>01st Aug 18</t>
  </si>
  <si>
    <t>06th Jun 18</t>
  </si>
  <si>
    <t>05th Apr 18</t>
  </si>
  <si>
    <t>16.35%  0.2%</t>
  </si>
  <si>
    <t>02nd Aug 17</t>
  </si>
  <si>
    <t>19th Jan 17</t>
  </si>
  <si>
    <t>04th Oct 16</t>
  </si>
  <si>
    <t>-0.25% </t>
  </si>
  <si>
    <t>+0.25% </t>
  </si>
  <si>
    <t>-0.75% </t>
  </si>
  <si>
    <t>-0.35% </t>
  </si>
  <si>
    <t>16.40%  (-0.45%)</t>
  </si>
  <si>
    <t>16.15%  (-0.15%)</t>
  </si>
  <si>
    <t>My ROI</t>
  </si>
  <si>
    <t>PLR Rate</t>
  </si>
  <si>
    <t>Spread</t>
  </si>
  <si>
    <t>To Others</t>
  </si>
  <si>
    <t>From Dad</t>
  </si>
  <si>
    <t>Akkai</t>
  </si>
  <si>
    <t>Home</t>
  </si>
  <si>
    <t>Loan</t>
  </si>
  <si>
    <t>Darjeeling Trip</t>
  </si>
  <si>
    <t>Amma</t>
  </si>
  <si>
    <t>Na pelliki</t>
  </si>
  <si>
    <t>Bangalore home loan paid so far</t>
  </si>
  <si>
    <t>To Dad for home loan</t>
  </si>
  <si>
    <t>In bank</t>
  </si>
  <si>
    <t>PPF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</si>
</sst>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.00_);[Red]\(&quot;$&quot;#,##0.00\)"/>
    <numFmt numFmtId="165" formatCode="[$-F800]dddd\,\ mmmm\ dd\,\ yyyy"/>
    <numFmt numFmtId="166" formatCode="_(* #,##0_);_(* \(#,##0\);_(* &quot;-&quot;??_);_(@_)"/>
    <numFmt numFmtId="167" formatCode="#,##0.0"/>
  </numFmts>
  <fonts count="2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0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2A2A2A"/>
      <name val="Arial"/>
      <family val="2"/>
    </font>
    <font>
      <sz val="11"/>
      <color rgb="FF2A2A2A"/>
      <name val="Calibri"/>
      <family val="2"/>
      <scheme val="minor"/>
    </font>
    <font>
      <sz val="11"/>
      <color rgb="FF272727"/>
      <name val="Arial"/>
      <family val="2"/>
    </font>
    <font>
      <sz val="11"/>
      <color rgb="FF333333"/>
      <name val="Calibri"/>
      <family val="2"/>
      <scheme val="minor"/>
    </font>
    <font>
      <sz val="13"/>
      <color rgb="FF000000"/>
      <name val="Inherit"/>
    </font>
    <font>
      <b/>
      <sz val="11"/>
      <color rgb="FF000000"/>
      <name val="Inherit"/>
    </font>
    <font>
      <sz val="11"/>
      <color rgb="FF000000"/>
      <name val="Inherit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double">
        <color rgb="FF3F3F3F"/>
      </right>
      <top/>
      <bottom/>
      <diagonal/>
    </border>
  </borders>
  <cellStyleXfs count="6">
    <xf numFmtId="0" fontId="0" fillId="0" borderId="0"/>
    <xf numFmtId="0" fontId="4" fillId="4" borderId="2" applyNumberFormat="0" applyAlignment="0" applyProtection="0"/>
    <xf numFmtId="43" fontId="5" fillId="0" borderId="0" applyFont="0" applyFill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1" fillId="13" borderId="0" applyNumberFormat="0" applyBorder="0" applyAlignment="0" applyProtection="0"/>
  </cellStyleXfs>
  <cellXfs count="112">
    <xf numFmtId="0" fontId="0" fillId="0" borderId="0" xfId="0"/>
    <xf numFmtId="15" fontId="0" fillId="0" borderId="0" xfId="0" applyNumberFormat="1"/>
    <xf numFmtId="0" fontId="2" fillId="2" borderId="1" xfId="0" applyFont="1" applyFill="1" applyBorder="1"/>
    <xf numFmtId="0" fontId="3" fillId="0" borderId="0" xfId="0" applyFont="1"/>
    <xf numFmtId="4" fontId="3" fillId="0" borderId="0" xfId="0" applyNumberFormat="1" applyFont="1"/>
    <xf numFmtId="16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165" fontId="0" fillId="3" borderId="0" xfId="0" applyNumberFormat="1" applyFill="1"/>
    <xf numFmtId="4" fontId="0" fillId="0" borderId="0" xfId="0" applyNumberFormat="1"/>
    <xf numFmtId="49" fontId="0" fillId="5" borderId="0" xfId="0" applyNumberFormat="1" applyFill="1"/>
    <xf numFmtId="0" fontId="0" fillId="5" borderId="0" xfId="0" applyFill="1"/>
    <xf numFmtId="49" fontId="4" fillId="4" borderId="2" xfId="1" applyNumberFormat="1"/>
    <xf numFmtId="0" fontId="4" fillId="4" borderId="2" xfId="1"/>
    <xf numFmtId="3" fontId="0" fillId="0" borderId="0" xfId="0" applyNumberFormat="1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7" fillId="0" borderId="0" xfId="0" applyFont="1"/>
    <xf numFmtId="0" fontId="8" fillId="0" borderId="0" xfId="0" applyFont="1"/>
    <xf numFmtId="4" fontId="8" fillId="8" borderId="4" xfId="0" applyNumberFormat="1" applyFont="1" applyFill="1" applyBorder="1"/>
    <xf numFmtId="43" fontId="8" fillId="8" borderId="6" xfId="0" applyNumberFormat="1" applyFont="1" applyFill="1" applyBorder="1"/>
    <xf numFmtId="0" fontId="8" fillId="8" borderId="7" xfId="0" applyFont="1" applyFill="1" applyBorder="1"/>
    <xf numFmtId="0" fontId="8" fillId="8" borderId="6" xfId="0" applyFont="1" applyFill="1" applyBorder="1"/>
    <xf numFmtId="0" fontId="8" fillId="8" borderId="0" xfId="0" applyFont="1" applyFill="1" applyBorder="1"/>
    <xf numFmtId="0" fontId="8" fillId="8" borderId="0" xfId="0" applyFont="1" applyFill="1" applyBorder="1" applyAlignment="1">
      <alignment wrapText="1"/>
    </xf>
    <xf numFmtId="0" fontId="9" fillId="6" borderId="6" xfId="3" applyFont="1" applyBorder="1"/>
    <xf numFmtId="4" fontId="8" fillId="8" borderId="7" xfId="0" applyNumberFormat="1" applyFont="1" applyFill="1" applyBorder="1"/>
    <xf numFmtId="9" fontId="8" fillId="8" borderId="0" xfId="0" applyNumberFormat="1" applyFont="1" applyFill="1" applyBorder="1"/>
    <xf numFmtId="0" fontId="8" fillId="8" borderId="0" xfId="0" applyNumberFormat="1" applyFont="1" applyFill="1" applyBorder="1" applyAlignment="1">
      <alignment wrapText="1"/>
    </xf>
    <xf numFmtId="3" fontId="8" fillId="8" borderId="0" xfId="0" applyNumberFormat="1" applyFont="1" applyFill="1" applyBorder="1"/>
    <xf numFmtId="0" fontId="8" fillId="8" borderId="8" xfId="0" applyFont="1" applyFill="1" applyBorder="1"/>
    <xf numFmtId="0" fontId="8" fillId="8" borderId="9" xfId="0" applyFont="1" applyFill="1" applyBorder="1"/>
    <xf numFmtId="9" fontId="8" fillId="8" borderId="9" xfId="0" applyNumberFormat="1" applyFont="1" applyFill="1" applyBorder="1"/>
    <xf numFmtId="0" fontId="8" fillId="8" borderId="9" xfId="0" applyNumberFormat="1" applyFont="1" applyFill="1" applyBorder="1" applyAlignment="1">
      <alignment wrapText="1"/>
    </xf>
    <xf numFmtId="0" fontId="8" fillId="8" borderId="10" xfId="0" applyFont="1" applyFill="1" applyBorder="1"/>
    <xf numFmtId="4" fontId="8" fillId="8" borderId="10" xfId="0" applyNumberFormat="1" applyFont="1" applyFill="1" applyBorder="1"/>
    <xf numFmtId="0" fontId="8" fillId="0" borderId="0" xfId="0" applyFont="1" applyAlignment="1">
      <alignment wrapText="1"/>
    </xf>
    <xf numFmtId="0" fontId="8" fillId="0" borderId="0" xfId="0" applyFont="1" applyFill="1"/>
    <xf numFmtId="0" fontId="11" fillId="0" borderId="0" xfId="0" applyFont="1" applyBorder="1" applyAlignment="1">
      <alignment horizontal="center"/>
    </xf>
    <xf numFmtId="0" fontId="8" fillId="0" borderId="0" xfId="0" applyFont="1" applyBorder="1"/>
    <xf numFmtId="166" fontId="8" fillId="0" borderId="0" xfId="2" applyNumberFormat="1" applyFont="1" applyBorder="1"/>
    <xf numFmtId="0" fontId="8" fillId="0" borderId="6" xfId="0" applyFont="1" applyBorder="1"/>
    <xf numFmtId="0" fontId="8" fillId="0" borderId="7" xfId="0" applyFont="1" applyBorder="1"/>
    <xf numFmtId="0" fontId="9" fillId="0" borderId="6" xfId="3" applyFont="1" applyFill="1" applyBorder="1"/>
    <xf numFmtId="43" fontId="8" fillId="8" borderId="7" xfId="0" applyNumberFormat="1" applyFont="1" applyFill="1" applyBorder="1"/>
    <xf numFmtId="167" fontId="8" fillId="8" borderId="10" xfId="0" applyNumberFormat="1" applyFont="1" applyFill="1" applyBorder="1"/>
    <xf numFmtId="166" fontId="8" fillId="0" borderId="7" xfId="2" applyNumberFormat="1" applyFont="1" applyBorder="1"/>
    <xf numFmtId="166" fontId="8" fillId="0" borderId="0" xfId="2" applyNumberFormat="1" applyFont="1"/>
    <xf numFmtId="0" fontId="2" fillId="5" borderId="0" xfId="0" applyFont="1" applyFill="1"/>
    <xf numFmtId="0" fontId="4" fillId="11" borderId="1" xfId="0" applyFont="1" applyFill="1" applyBorder="1"/>
    <xf numFmtId="0" fontId="4" fillId="11" borderId="0" xfId="0" applyFont="1" applyFill="1"/>
    <xf numFmtId="0" fontId="12" fillId="6" borderId="3" xfId="3" applyFont="1" applyBorder="1"/>
    <xf numFmtId="0" fontId="12" fillId="6" borderId="6" xfId="3" applyFont="1" applyBorder="1"/>
    <xf numFmtId="0" fontId="12" fillId="6" borderId="4" xfId="3" applyFont="1" applyBorder="1"/>
    <xf numFmtId="0" fontId="12" fillId="6" borderId="3" xfId="3" applyFont="1" applyBorder="1" applyAlignment="1">
      <alignment horizontal="center"/>
    </xf>
    <xf numFmtId="0" fontId="12" fillId="6" borderId="5" xfId="3" applyFont="1" applyBorder="1" applyAlignment="1">
      <alignment horizontal="center"/>
    </xf>
    <xf numFmtId="0" fontId="10" fillId="6" borderId="3" xfId="3" applyFont="1" applyBorder="1"/>
    <xf numFmtId="166" fontId="10" fillId="6" borderId="5" xfId="3" applyNumberFormat="1" applyFont="1" applyBorder="1"/>
    <xf numFmtId="166" fontId="10" fillId="6" borderId="5" xfId="3" applyNumberFormat="1" applyFont="1" applyBorder="1" applyAlignment="1">
      <alignment wrapText="1"/>
    </xf>
    <xf numFmtId="0" fontId="10" fillId="6" borderId="4" xfId="3" applyFont="1" applyBorder="1"/>
    <xf numFmtId="0" fontId="12" fillId="6" borderId="0" xfId="3" applyFont="1" applyBorder="1"/>
    <xf numFmtId="0" fontId="9" fillId="10" borderId="6" xfId="4" applyFont="1" applyFill="1" applyBorder="1"/>
    <xf numFmtId="0" fontId="9" fillId="10" borderId="6" xfId="4" applyFont="1" applyFill="1" applyBorder="1" applyAlignment="1">
      <alignment horizontal="center"/>
    </xf>
    <xf numFmtId="0" fontId="6" fillId="10" borderId="0" xfId="0" applyFont="1" applyFill="1"/>
    <xf numFmtId="0" fontId="13" fillId="0" borderId="0" xfId="0" applyFont="1"/>
    <xf numFmtId="0" fontId="2" fillId="12" borderId="0" xfId="0" applyFont="1" applyFill="1"/>
    <xf numFmtId="0" fontId="0" fillId="0" borderId="0" xfId="0" applyNumberFormat="1"/>
    <xf numFmtId="0" fontId="14" fillId="0" borderId="0" xfId="0" applyFont="1"/>
    <xf numFmtId="0" fontId="0" fillId="10" borderId="0" xfId="0" applyFill="1"/>
    <xf numFmtId="49" fontId="0" fillId="10" borderId="0" xfId="0" applyNumberFormat="1" applyFill="1"/>
    <xf numFmtId="17" fontId="0" fillId="0" borderId="0" xfId="0" applyNumberFormat="1"/>
    <xf numFmtId="0" fontId="2" fillId="0" borderId="0" xfId="0" applyFont="1"/>
    <xf numFmtId="0" fontId="15" fillId="0" borderId="0" xfId="0" applyFont="1"/>
    <xf numFmtId="15" fontId="16" fillId="0" borderId="0" xfId="0" applyNumberFormat="1" applyFont="1"/>
    <xf numFmtId="0" fontId="17" fillId="0" borderId="0" xfId="0" applyFont="1"/>
    <xf numFmtId="0" fontId="0" fillId="0" borderId="0" xfId="0" applyFill="1"/>
    <xf numFmtId="14" fontId="0" fillId="0" borderId="0" xfId="0" applyNumberFormat="1"/>
    <xf numFmtId="0" fontId="1" fillId="13" borderId="0" xfId="5"/>
    <xf numFmtId="15" fontId="0" fillId="0" borderId="0" xfId="0" applyNumberFormat="1" applyFont="1"/>
    <xf numFmtId="0" fontId="0" fillId="0" borderId="0" xfId="0" applyFont="1"/>
    <xf numFmtId="15" fontId="18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" fillId="14" borderId="1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2" fillId="0" borderId="0" xfId="0" applyNumberFormat="1" applyFont="1"/>
    <xf numFmtId="15" fontId="2" fillId="2" borderId="1" xfId="0" applyNumberFormat="1" applyFont="1" applyFill="1" applyBorder="1" applyAlignment="1">
      <alignment wrapText="1"/>
    </xf>
    <xf numFmtId="15" fontId="0" fillId="5" borderId="0" xfId="0" applyNumberFormat="1" applyFill="1"/>
    <xf numFmtId="0" fontId="0" fillId="0" borderId="0" xfId="0" applyAlignment="1"/>
    <xf numFmtId="0" fontId="4" fillId="11" borderId="1" xfId="0" applyFont="1" applyFill="1" applyBorder="1" applyAlignment="1">
      <alignment wrapText="1"/>
    </xf>
    <xf numFmtId="0" fontId="4" fillId="11" borderId="0" xfId="0" applyFont="1" applyFill="1" applyBorder="1" applyAlignment="1">
      <alignment wrapText="1"/>
    </xf>
    <xf numFmtId="0" fontId="0" fillId="0" borderId="0" xfId="0" pivotButton="1" applyAlignment="1">
      <alignment wrapText="1"/>
    </xf>
    <xf numFmtId="0" fontId="19" fillId="0" borderId="0" xfId="0" applyFont="1"/>
    <xf numFmtId="49" fontId="19" fillId="0" borderId="0" xfId="0" applyNumberFormat="1" applyFont="1"/>
    <xf numFmtId="0" fontId="20" fillId="0" borderId="0" xfId="0" applyFont="1"/>
    <xf numFmtId="49" fontId="20" fillId="0" borderId="0" xfId="0" applyNumberFormat="1" applyFont="1"/>
    <xf numFmtId="49" fontId="21" fillId="0" borderId="0" xfId="0" applyNumberFormat="1" applyFont="1"/>
    <xf numFmtId="0" fontId="21" fillId="0" borderId="0" xfId="0" applyFont="1"/>
    <xf numFmtId="49" fontId="21" fillId="0" borderId="0" xfId="0" quotePrefix="1" applyNumberFormat="1" applyFont="1"/>
    <xf numFmtId="0" fontId="22" fillId="0" borderId="0" xfId="0" applyFont="1"/>
    <xf numFmtId="17" fontId="22" fillId="0" borderId="0" xfId="0" applyNumberFormat="1" applyFont="1"/>
    <xf numFmtId="15" fontId="22" fillId="0" borderId="0" xfId="0" applyNumberFormat="1" applyFont="1"/>
    <xf numFmtId="0" fontId="4" fillId="4" borderId="12" xfId="1" applyBorder="1"/>
    <xf numFmtId="0" fontId="23" fillId="15" borderId="0" xfId="0" applyFont="1" applyFill="1"/>
    <xf numFmtId="0" fontId="10" fillId="9" borderId="0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49" fontId="2" fillId="12" borderId="0" xfId="0" applyNumberFormat="1" applyFont="1" applyFill="1"/>
  </cellXfs>
  <cellStyles count="6">
    <cellStyle name="40% - Accent3" xfId="5" builtinId="39"/>
    <cellStyle name="60% - Accent5" xfId="4" builtinId="48"/>
    <cellStyle name="Accent1" xfId="3" builtinId="29"/>
    <cellStyle name="Check Cell" xfId="1" builtinId="23"/>
    <cellStyle name="Comma" xfId="2" builtinId="3"/>
    <cellStyle name="Normal" xfId="0" builtinId="0"/>
  </cellStyles>
  <dxfs count="2">
    <dxf>
      <alignment wrapText="1"/>
    </dxf>
    <dxf>
      <alignment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damanuru, Anand" id="{23973DBE-17BF-3846-8C13-971963828AA0}" userId="S::anand.nidamanuru@sap.com::3bd1f963-58e9-45a2-983b-9bb7ffae4c4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nd Nidamanuru" refreshedDate="44061.758830671293" createdVersion="6" refreshedVersion="6" minRefreshableVersion="3" recordCount="35" xr:uid="{0E692BCE-8529-AF4A-9E8F-9538FE0C7144}">
  <cacheSource type="worksheet">
    <worksheetSource ref="A1:H65" sheet="Investments (2)"/>
  </cacheSource>
  <cacheFields count="9">
    <cacheField name="Investment Type" numFmtId="0">
      <sharedItems containsBlank="1" count="4">
        <s v="LIC"/>
        <s v="MF"/>
        <s v="Shares"/>
        <m/>
      </sharedItems>
    </cacheField>
    <cacheField name="Middleman" numFmtId="0">
      <sharedItems containsBlank="1" count="4">
        <s v="LIC"/>
        <m/>
        <s v="MFU"/>
        <s v="Sharekhan"/>
      </sharedItems>
    </cacheField>
    <cacheField name="Date" numFmtId="0">
      <sharedItems containsNonDate="0" containsDate="1" containsString="0" containsBlank="1" minDate="2017-05-28T00:00:00" maxDate="2020-02-06T00:00:00"/>
    </cacheField>
    <cacheField name="Fund name" numFmtId="0">
      <sharedItems containsBlank="1" count="15">
        <s v="Anmol Jeevan (Plan-153)"/>
        <s v="The Whole Life Policy - Limited Payment (Plan-5)"/>
        <s v="Jeevan Anand (Plan-149)"/>
        <s v="HDFC Tax Saver Regular Plan Growth"/>
        <s v="ICICI Prudential"/>
        <s v="ICICI Prudential Value Discovery Fund - Direct Plan - Growth"/>
        <s v="HDFC Tax Saver - Direct Plan - Growth Option"/>
        <s v="Franklin India BLUECHIP FUND - Direct-GROWTH"/>
        <s v="Aditya Birla Sun Life Equity Fund - Growth-Direct Plan"/>
        <s v="HDFC Hybrid Equity Fund - Direct Plan - Growth Option"/>
        <s v="RELIANCE"/>
        <s v="TATAMOTORS"/>
        <s v="Axis Blue chip Direct Growth"/>
        <s v="PPFAS - Long term Equity fund - Direct plan"/>
        <m/>
      </sharedItems>
    </cacheField>
    <cacheField name="Folio Number/_x000a_Policy Number" numFmtId="0">
      <sharedItems containsString="0" containsBlank="1" containsNumber="1" containsInteger="1" minValue="672431779" maxValue="672445826"/>
    </cacheField>
    <cacheField name="CAN Number" numFmtId="0">
      <sharedItems containsBlank="1"/>
    </cacheField>
    <cacheField name="Initial Amount/_x000a_Premium" numFmtId="0">
      <sharedItems containsString="0" containsBlank="1" containsNumber="1" minValue="866" maxValue="100000" count="15">
        <n v="970"/>
        <n v="866"/>
        <n v="39072"/>
        <n v="4736"/>
        <n v="30000"/>
        <n v="90000"/>
        <n v="5000"/>
        <n v="10000"/>
        <n v="15000"/>
        <n v="20000"/>
        <n v="19157.099999999999"/>
        <n v="23436"/>
        <n v="75000"/>
        <n v="100000"/>
        <m/>
      </sharedItems>
    </cacheField>
    <cacheField name="Average/_x000a_Purchase NAV" numFmtId="0">
      <sharedItems containsString="0" containsBlank="1" containsNumber="1" minValue="24.133900000000001" maxValue="749.55780000000004"/>
    </cacheField>
    <cacheField name="Sum" numFmtId="0" formula="SUM('Initial Amount/_x000a_Premium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m/>
    <x v="0"/>
    <n v="672431779"/>
    <m/>
    <x v="0"/>
    <m/>
  </r>
  <r>
    <x v="0"/>
    <x v="0"/>
    <m/>
    <x v="1"/>
    <n v="672441165"/>
    <m/>
    <x v="1"/>
    <m/>
  </r>
  <r>
    <x v="0"/>
    <x v="0"/>
    <m/>
    <x v="2"/>
    <n v="672445825"/>
    <m/>
    <x v="2"/>
    <m/>
  </r>
  <r>
    <x v="0"/>
    <x v="0"/>
    <m/>
    <x v="1"/>
    <n v="672445826"/>
    <m/>
    <x v="3"/>
    <m/>
  </r>
  <r>
    <x v="1"/>
    <x v="1"/>
    <m/>
    <x v="3"/>
    <m/>
    <m/>
    <x v="4"/>
    <n v="132.12479999999999"/>
  </r>
  <r>
    <x v="1"/>
    <x v="1"/>
    <m/>
    <x v="4"/>
    <m/>
    <m/>
    <x v="5"/>
    <m/>
  </r>
  <r>
    <x v="1"/>
    <x v="2"/>
    <d v="2017-05-28T00:00:00"/>
    <x v="5"/>
    <m/>
    <s v="15248RBA01"/>
    <x v="6"/>
    <n v="153.1217"/>
  </r>
  <r>
    <x v="1"/>
    <x v="2"/>
    <d v="2017-11-15T00:00:00"/>
    <x v="6"/>
    <m/>
    <s v="15248RBA01"/>
    <x v="7"/>
    <n v="543.77380000000005"/>
  </r>
  <r>
    <x v="1"/>
    <x v="2"/>
    <d v="2017-11-15T00:00:00"/>
    <x v="7"/>
    <m/>
    <s v="15248RBA01"/>
    <x v="7"/>
    <n v="471.88510000000002"/>
  </r>
  <r>
    <x v="1"/>
    <x v="2"/>
    <d v="2017-12-09T00:00:00"/>
    <x v="8"/>
    <m/>
    <s v="15248RBA01"/>
    <x v="8"/>
    <n v="749.55780000000004"/>
  </r>
  <r>
    <x v="1"/>
    <x v="2"/>
    <d v="2018-03-07T00:00:00"/>
    <x v="9"/>
    <m/>
    <s v="15248RBA01"/>
    <x v="7"/>
    <n v="53.654299999999999"/>
  </r>
  <r>
    <x v="1"/>
    <x v="2"/>
    <d v="2018-07-24T00:00:00"/>
    <x v="5"/>
    <m/>
    <s v="15248RBA01"/>
    <x v="6"/>
    <n v="153.1217"/>
  </r>
  <r>
    <x v="1"/>
    <x v="2"/>
    <d v="2018-07-24T00:00:00"/>
    <x v="7"/>
    <m/>
    <s v="15248RBA01"/>
    <x v="7"/>
    <n v="471.88510000000002"/>
  </r>
  <r>
    <x v="1"/>
    <x v="2"/>
    <d v="2018-07-30T00:00:00"/>
    <x v="7"/>
    <m/>
    <s v="15248RBA01"/>
    <x v="7"/>
    <n v="471.88510000000002"/>
  </r>
  <r>
    <x v="1"/>
    <x v="2"/>
    <d v="2018-07-30T00:00:00"/>
    <x v="5"/>
    <m/>
    <s v="15248RBA01"/>
    <x v="7"/>
    <n v="153.1217"/>
  </r>
  <r>
    <x v="1"/>
    <x v="2"/>
    <d v="2018-08-01T00:00:00"/>
    <x v="8"/>
    <m/>
    <s v="15248RBA01"/>
    <x v="7"/>
    <n v="749.55780000000004"/>
  </r>
  <r>
    <x v="1"/>
    <x v="2"/>
    <d v="2018-08-03T00:00:00"/>
    <x v="5"/>
    <m/>
    <s v="15248RBA01"/>
    <x v="8"/>
    <n v="153.1217"/>
  </r>
  <r>
    <x v="1"/>
    <x v="2"/>
    <d v="2018-08-06T00:00:00"/>
    <x v="9"/>
    <m/>
    <s v="15248RBA01"/>
    <x v="8"/>
    <n v="53.654299999999999"/>
  </r>
  <r>
    <x v="1"/>
    <x v="2"/>
    <d v="2018-11-30T00:00:00"/>
    <x v="7"/>
    <m/>
    <s v="15248RBA01"/>
    <x v="9"/>
    <n v="471.88510000000002"/>
  </r>
  <r>
    <x v="2"/>
    <x v="3"/>
    <d v="2019-05-10T00:00:00"/>
    <x v="10"/>
    <m/>
    <m/>
    <x v="10"/>
    <m/>
  </r>
  <r>
    <x v="2"/>
    <x v="3"/>
    <d v="2018-08-09T00:00:00"/>
    <x v="11"/>
    <m/>
    <m/>
    <x v="11"/>
    <m/>
  </r>
  <r>
    <x v="1"/>
    <x v="2"/>
    <d v="2020-02-05T00:00:00"/>
    <x v="12"/>
    <m/>
    <s v="15248RBA01"/>
    <x v="9"/>
    <n v="30.508600000000001"/>
  </r>
  <r>
    <x v="1"/>
    <x v="2"/>
    <m/>
    <x v="13"/>
    <m/>
    <s v="15248RBA01"/>
    <x v="12"/>
    <n v="24.133900000000001"/>
  </r>
  <r>
    <x v="1"/>
    <x v="2"/>
    <m/>
    <x v="13"/>
    <m/>
    <s v="15248RBA01"/>
    <x v="13"/>
    <n v="24.422599999999999"/>
  </r>
  <r>
    <x v="3"/>
    <x v="1"/>
    <m/>
    <x v="14"/>
    <m/>
    <m/>
    <x v="14"/>
    <m/>
  </r>
  <r>
    <x v="3"/>
    <x v="1"/>
    <m/>
    <x v="14"/>
    <m/>
    <m/>
    <x v="14"/>
    <m/>
  </r>
  <r>
    <x v="3"/>
    <x v="1"/>
    <m/>
    <x v="14"/>
    <m/>
    <m/>
    <x v="14"/>
    <m/>
  </r>
  <r>
    <x v="3"/>
    <x v="1"/>
    <m/>
    <x v="14"/>
    <m/>
    <m/>
    <x v="14"/>
    <m/>
  </r>
  <r>
    <x v="3"/>
    <x v="1"/>
    <m/>
    <x v="14"/>
    <m/>
    <m/>
    <x v="14"/>
    <m/>
  </r>
  <r>
    <x v="3"/>
    <x v="1"/>
    <m/>
    <x v="14"/>
    <m/>
    <m/>
    <x v="14"/>
    <m/>
  </r>
  <r>
    <x v="3"/>
    <x v="1"/>
    <m/>
    <x v="14"/>
    <m/>
    <m/>
    <x v="14"/>
    <m/>
  </r>
  <r>
    <x v="3"/>
    <x v="1"/>
    <m/>
    <x v="14"/>
    <m/>
    <m/>
    <x v="14"/>
    <m/>
  </r>
  <r>
    <x v="3"/>
    <x v="1"/>
    <m/>
    <x v="14"/>
    <m/>
    <m/>
    <x v="14"/>
    <m/>
  </r>
  <r>
    <x v="3"/>
    <x v="1"/>
    <m/>
    <x v="14"/>
    <m/>
    <m/>
    <x v="14"/>
    <m/>
  </r>
  <r>
    <x v="3"/>
    <x v="1"/>
    <m/>
    <x v="14"/>
    <m/>
    <m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2E440-EBC0-0143-8F1F-6F7022C5AB0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Investment Type">
  <location ref="J1:K23" firstHeaderRow="1" firstDataRow="1" firstDataCol="1"/>
  <pivotFields count="9">
    <pivotField axis="axisRow" showAll="0">
      <items count="5">
        <item x="0"/>
        <item x="1"/>
        <item x="2"/>
        <item h="1" sd="0" x="3"/>
        <item t="default"/>
      </items>
    </pivotField>
    <pivotField axis="axisRow" showAll="0" defaultSubtotal="0">
      <items count="4">
        <item x="2"/>
        <item x="1"/>
        <item x="3"/>
        <item x="0"/>
      </items>
    </pivotField>
    <pivotField showAll="0"/>
    <pivotField axis="axisRow" showAll="0">
      <items count="16">
        <item x="8"/>
        <item x="0"/>
        <item x="7"/>
        <item x="9"/>
        <item x="6"/>
        <item x="4"/>
        <item x="5"/>
        <item x="2"/>
        <item x="1"/>
        <item x="10"/>
        <item x="11"/>
        <item x="14"/>
        <item x="12"/>
        <item x="3"/>
        <item x="13"/>
        <item t="default"/>
      </items>
    </pivotField>
    <pivotField showAll="0"/>
    <pivotField showAll="0"/>
    <pivotField showAll="0">
      <items count="16">
        <item x="1"/>
        <item x="0"/>
        <item x="3"/>
        <item x="6"/>
        <item x="7"/>
        <item x="8"/>
        <item x="10"/>
        <item x="9"/>
        <item x="11"/>
        <item x="4"/>
        <item x="2"/>
        <item x="12"/>
        <item x="5"/>
        <item x="13"/>
        <item x="14"/>
        <item t="default"/>
      </items>
    </pivotField>
    <pivotField showAll="0"/>
    <pivotField dataField="1" dragToRow="0" dragToCol="0" dragToPage="0" showAll="0" defaultSubtotal="0"/>
  </pivotFields>
  <rowFields count="3">
    <field x="0"/>
    <field x="1"/>
    <field x="3"/>
  </rowFields>
  <rowItems count="22">
    <i>
      <x/>
    </i>
    <i r="1">
      <x v="3"/>
    </i>
    <i r="2">
      <x v="1"/>
    </i>
    <i r="2">
      <x v="7"/>
    </i>
    <i r="2">
      <x v="8"/>
    </i>
    <i>
      <x v="1"/>
    </i>
    <i r="1">
      <x/>
    </i>
    <i r="2">
      <x/>
    </i>
    <i r="2">
      <x v="2"/>
    </i>
    <i r="2">
      <x v="3"/>
    </i>
    <i r="2">
      <x v="4"/>
    </i>
    <i r="2">
      <x v="6"/>
    </i>
    <i r="2">
      <x v="12"/>
    </i>
    <i r="2">
      <x v="14"/>
    </i>
    <i r="1">
      <x v="1"/>
    </i>
    <i r="2">
      <x v="5"/>
    </i>
    <i r="2">
      <x v="13"/>
    </i>
    <i>
      <x v="2"/>
    </i>
    <i r="1">
      <x v="2"/>
    </i>
    <i r="2">
      <x v="9"/>
    </i>
    <i r="2">
      <x v="10"/>
    </i>
    <i t="grand">
      <x/>
    </i>
  </rowItems>
  <colItems count="1">
    <i/>
  </colItems>
  <dataFields count="1">
    <dataField name="Sum of Sum" fld="8" baseField="0" baseItem="0"/>
  </dataFields>
  <formats count="2">
    <format dxfId="1">
      <pivotArea field="0" type="button" dataOnly="0" labelOnly="1" outline="0" axis="axisRow" fieldPosition="0"/>
    </format>
    <format dxfId="0">
      <pivotArea dataOnly="0" labelOnly="1" outline="0" axis="axisValues" fieldPosition="0"/>
    </format>
  </format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y Theme">
  <a:themeElements>
    <a:clrScheme name="My Color Theme">
      <a:dk1>
        <a:sysClr val="windowText" lastClr="000000"/>
      </a:dk1>
      <a:lt1>
        <a:sysClr val="window" lastClr="FFFFFF"/>
      </a:lt1>
      <a:dk2>
        <a:srgbClr val="0000BF"/>
      </a:dk2>
      <a:lt2>
        <a:srgbClr val="EEECE1"/>
      </a:lt2>
      <a:accent1>
        <a:srgbClr val="00FFFF"/>
      </a:accent1>
      <a:accent2>
        <a:srgbClr val="E36C09"/>
      </a:accent2>
      <a:accent3>
        <a:srgbClr val="00B050"/>
      </a:accent3>
      <a:accent4>
        <a:srgbClr val="95B3D7"/>
      </a:accent4>
      <a:accent5>
        <a:srgbClr val="548DD4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19-10-26T11:37:05.55" personId="{23973DBE-17BF-3846-8C13-971963828AA0}" id="{72B3B704-F821-0C40-B086-0F747A2E1C52}">
    <text>Was originally 
(Inactive) HDFC Balanced Fund - Direct Plan - Growth Option (Inactive)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A6" sqref="A6:E8"/>
    </sheetView>
  </sheetViews>
  <sheetFormatPr baseColWidth="10" defaultColWidth="8.83203125" defaultRowHeight="15"/>
  <cols>
    <col min="1" max="1" width="15.1640625" bestFit="1" customWidth="1"/>
    <col min="2" max="2" width="10.1640625" bestFit="1" customWidth="1"/>
    <col min="3" max="3" width="14.33203125" bestFit="1" customWidth="1"/>
    <col min="4" max="5" width="23" bestFit="1" customWidth="1"/>
    <col min="6" max="6" width="54.83203125" bestFit="1" customWidth="1"/>
  </cols>
  <sheetData>
    <row r="1" spans="1:10">
      <c r="A1" s="52" t="s">
        <v>3</v>
      </c>
      <c r="B1" s="52" t="s">
        <v>4</v>
      </c>
      <c r="C1" s="52" t="s">
        <v>5</v>
      </c>
      <c r="D1" s="52" t="s">
        <v>6</v>
      </c>
      <c r="E1" s="52" t="s">
        <v>54</v>
      </c>
      <c r="F1" s="52" t="s">
        <v>18</v>
      </c>
      <c r="I1" s="52" t="s">
        <v>4</v>
      </c>
      <c r="J1" s="52"/>
    </row>
    <row r="2" spans="1:10">
      <c r="A2" s="1">
        <v>41365</v>
      </c>
      <c r="B2">
        <v>-80000</v>
      </c>
      <c r="C2" t="s">
        <v>7</v>
      </c>
      <c r="D2" t="s">
        <v>9</v>
      </c>
      <c r="E2" t="s">
        <v>9</v>
      </c>
      <c r="I2">
        <f>SUM(B2:B58)</f>
        <v>158000</v>
      </c>
    </row>
    <row r="3" spans="1:10">
      <c r="A3" s="1">
        <v>41680</v>
      </c>
      <c r="B3">
        <v>-40000</v>
      </c>
      <c r="C3" t="s">
        <v>7</v>
      </c>
      <c r="D3" t="s">
        <v>36</v>
      </c>
      <c r="E3" t="s">
        <v>36</v>
      </c>
      <c r="F3" t="s">
        <v>247</v>
      </c>
    </row>
    <row r="4" spans="1:10">
      <c r="A4" s="1">
        <v>41791</v>
      </c>
      <c r="B4">
        <v>-5000</v>
      </c>
      <c r="C4" t="s">
        <v>7</v>
      </c>
      <c r="D4" t="s">
        <v>242</v>
      </c>
      <c r="E4" t="s">
        <v>242</v>
      </c>
      <c r="F4" t="s">
        <v>243</v>
      </c>
    </row>
    <row r="5" spans="1:10">
      <c r="A5" s="1">
        <v>43101</v>
      </c>
      <c r="B5">
        <v>-2000</v>
      </c>
      <c r="C5" t="s">
        <v>7</v>
      </c>
      <c r="D5" t="s">
        <v>357</v>
      </c>
      <c r="E5" t="s">
        <v>357</v>
      </c>
    </row>
    <row r="6" spans="1:10">
      <c r="A6" s="1">
        <v>43101</v>
      </c>
      <c r="B6">
        <v>-5000</v>
      </c>
      <c r="C6" t="s">
        <v>7</v>
      </c>
      <c r="D6" t="s">
        <v>354</v>
      </c>
      <c r="E6" t="s">
        <v>354</v>
      </c>
      <c r="F6" t="s">
        <v>355</v>
      </c>
    </row>
    <row r="7" spans="1:10">
      <c r="A7" s="1">
        <v>43101</v>
      </c>
      <c r="B7">
        <v>-10000</v>
      </c>
      <c r="C7" t="s">
        <v>7</v>
      </c>
      <c r="D7" t="s">
        <v>356</v>
      </c>
      <c r="E7" t="s">
        <v>356</v>
      </c>
    </row>
    <row r="8" spans="1:10">
      <c r="A8" s="1" t="s">
        <v>39</v>
      </c>
      <c r="B8">
        <v>10000</v>
      </c>
      <c r="C8" t="s">
        <v>356</v>
      </c>
      <c r="D8" t="s">
        <v>7</v>
      </c>
      <c r="E8" t="s">
        <v>356</v>
      </c>
    </row>
    <row r="9" spans="1:10">
      <c r="A9" s="1">
        <v>42624</v>
      </c>
      <c r="B9">
        <v>100000</v>
      </c>
      <c r="C9" t="s">
        <v>2</v>
      </c>
      <c r="D9" t="s">
        <v>7</v>
      </c>
      <c r="E9" t="s">
        <v>2</v>
      </c>
    </row>
    <row r="10" spans="1:10">
      <c r="A10" s="1">
        <v>42624</v>
      </c>
      <c r="B10">
        <v>100000</v>
      </c>
      <c r="C10" t="s">
        <v>2</v>
      </c>
      <c r="D10" t="s">
        <v>7</v>
      </c>
      <c r="E10" t="s">
        <v>2</v>
      </c>
    </row>
    <row r="11" spans="1:10">
      <c r="A11" s="1">
        <v>42660</v>
      </c>
      <c r="B11">
        <v>200000</v>
      </c>
      <c r="C11" t="s">
        <v>2</v>
      </c>
      <c r="D11" t="s">
        <v>7</v>
      </c>
      <c r="E11" t="s">
        <v>2</v>
      </c>
    </row>
    <row r="12" spans="1:10">
      <c r="A12" s="1">
        <v>43620</v>
      </c>
      <c r="B12">
        <v>-50000</v>
      </c>
      <c r="C12" t="s">
        <v>7</v>
      </c>
      <c r="D12" t="s">
        <v>2</v>
      </c>
      <c r="E12" t="s">
        <v>2</v>
      </c>
    </row>
    <row r="13" spans="1:10">
      <c r="A13" s="1">
        <v>43525</v>
      </c>
      <c r="B13">
        <v>5000</v>
      </c>
      <c r="C13" t="s">
        <v>354</v>
      </c>
      <c r="D13" t="s">
        <v>7</v>
      </c>
      <c r="E13" t="s">
        <v>354</v>
      </c>
    </row>
    <row r="14" spans="1:10">
      <c r="A14" s="1">
        <v>43959</v>
      </c>
      <c r="B14">
        <v>-60000</v>
      </c>
      <c r="C14" t="s">
        <v>7</v>
      </c>
      <c r="D14" t="s">
        <v>2</v>
      </c>
      <c r="E14" t="s">
        <v>2</v>
      </c>
    </row>
    <row r="15" spans="1:10">
      <c r="A15" s="1">
        <v>43966</v>
      </c>
      <c r="B15">
        <v>-5000</v>
      </c>
      <c r="C15" t="s">
        <v>7</v>
      </c>
      <c r="D15" t="s">
        <v>2</v>
      </c>
      <c r="E15" t="s">
        <v>2</v>
      </c>
    </row>
  </sheetData>
  <autoFilter ref="A1:F15" xr:uid="{00000000-0009-0000-0000-000000000000}">
    <sortState xmlns:xlrd2="http://schemas.microsoft.com/office/spreadsheetml/2017/richdata2" ref="A2:F8">
      <sortCondition ref="A1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5"/>
  <sheetViews>
    <sheetView workbookViewId="0">
      <selection activeCell="F25" sqref="F25"/>
    </sheetView>
  </sheetViews>
  <sheetFormatPr baseColWidth="10" defaultColWidth="9.1640625" defaultRowHeight="14"/>
  <cols>
    <col min="1" max="1" width="28.6640625" style="21" bestFit="1" customWidth="1"/>
    <col min="2" max="2" width="11.83203125" style="21" bestFit="1" customWidth="1"/>
    <col min="3" max="3" width="10.1640625" style="21" bestFit="1" customWidth="1"/>
    <col min="4" max="4" width="9.1640625" style="21"/>
    <col min="5" max="5" width="16.83203125" style="21" bestFit="1" customWidth="1"/>
    <col min="6" max="6" width="11.83203125" style="21" bestFit="1" customWidth="1"/>
    <col min="7" max="7" width="9.1640625" style="21"/>
    <col min="8" max="8" width="23.83203125" style="21" customWidth="1"/>
    <col min="9" max="9" width="14.6640625" style="21" bestFit="1" customWidth="1"/>
    <col min="10" max="10" width="14.1640625" style="21" bestFit="1" customWidth="1"/>
    <col min="11" max="11" width="11" style="21" bestFit="1" customWidth="1"/>
    <col min="12" max="12" width="17.1640625" style="39" customWidth="1"/>
    <col min="13" max="13" width="13.83203125" style="21" bestFit="1" customWidth="1"/>
    <col min="14" max="16384" width="9.1640625" style="21"/>
  </cols>
  <sheetData>
    <row r="1" spans="1:13">
      <c r="A1" s="21" t="s">
        <v>260</v>
      </c>
      <c r="E1" s="54" t="s">
        <v>261</v>
      </c>
      <c r="F1" s="56" t="s">
        <v>262</v>
      </c>
      <c r="H1" s="57" t="s">
        <v>263</v>
      </c>
      <c r="I1" s="58" t="s">
        <v>264</v>
      </c>
      <c r="J1" s="58" t="s">
        <v>265</v>
      </c>
      <c r="K1" s="58" t="s">
        <v>266</v>
      </c>
      <c r="L1" s="65" t="s">
        <v>237</v>
      </c>
      <c r="M1" s="65" t="s">
        <v>267</v>
      </c>
    </row>
    <row r="2" spans="1:13">
      <c r="A2" s="54" t="s">
        <v>268</v>
      </c>
      <c r="B2" s="22">
        <v>651718.19999999995</v>
      </c>
      <c r="E2" s="23" t="s">
        <v>269</v>
      </c>
      <c r="F2" s="24">
        <v>10000</v>
      </c>
      <c r="H2" s="25">
        <v>0</v>
      </c>
      <c r="I2" s="26">
        <v>200000</v>
      </c>
      <c r="J2" s="26"/>
      <c r="K2" s="26"/>
      <c r="L2" s="27">
        <v>0</v>
      </c>
      <c r="M2" s="24"/>
    </row>
    <row r="3" spans="1:13">
      <c r="A3" s="55" t="s">
        <v>270</v>
      </c>
      <c r="B3" s="29">
        <v>1210333.8</v>
      </c>
      <c r="E3" s="23" t="s">
        <v>188</v>
      </c>
      <c r="F3" s="24">
        <v>168000</v>
      </c>
      <c r="H3" s="25">
        <v>200000</v>
      </c>
      <c r="I3" s="26">
        <v>500000</v>
      </c>
      <c r="J3" s="26">
        <v>0</v>
      </c>
      <c r="K3" s="30">
        <v>0.1</v>
      </c>
      <c r="L3" s="31"/>
      <c r="M3" s="24"/>
    </row>
    <row r="4" spans="1:13">
      <c r="A4" s="55" t="s">
        <v>271</v>
      </c>
      <c r="B4" s="29">
        <v>65861.52</v>
      </c>
      <c r="E4" s="25" t="s">
        <v>272</v>
      </c>
      <c r="F4" s="24">
        <v>15000</v>
      </c>
      <c r="H4" s="25">
        <v>500000</v>
      </c>
      <c r="I4" s="26">
        <v>1000000</v>
      </c>
      <c r="J4" s="32">
        <v>30000</v>
      </c>
      <c r="K4" s="30">
        <v>0.2</v>
      </c>
      <c r="L4" s="31"/>
      <c r="M4" s="24"/>
    </row>
    <row r="5" spans="1:13">
      <c r="A5" s="55" t="s">
        <v>273</v>
      </c>
      <c r="B5" s="29">
        <v>78206.16</v>
      </c>
      <c r="E5" s="25" t="s">
        <v>274</v>
      </c>
      <c r="F5" s="24">
        <v>10000</v>
      </c>
      <c r="H5" s="33">
        <v>1000000</v>
      </c>
      <c r="I5" s="34"/>
      <c r="J5" s="34">
        <v>130000</v>
      </c>
      <c r="K5" s="35">
        <v>0.3</v>
      </c>
      <c r="L5" s="36">
        <f>J5 + (B20 - H5) * K5</f>
        <v>294412.93000000005</v>
      </c>
      <c r="M5" s="37">
        <f>L5/12</f>
        <v>24534.410833333339</v>
      </c>
    </row>
    <row r="6" spans="1:13">
      <c r="A6" s="55" t="s">
        <v>275</v>
      </c>
      <c r="B6" s="29">
        <v>97757.759999999995</v>
      </c>
      <c r="E6" s="64" t="s">
        <v>189</v>
      </c>
      <c r="F6" s="38">
        <f xml:space="preserve"> B3 - SUM(F2:F5)</f>
        <v>1007333.8</v>
      </c>
    </row>
    <row r="7" spans="1:13">
      <c r="A7" s="55" t="s">
        <v>276</v>
      </c>
      <c r="B7" s="29">
        <v>31347.599999999999</v>
      </c>
      <c r="E7" s="40"/>
      <c r="F7" s="40"/>
    </row>
    <row r="8" spans="1:13">
      <c r="A8" s="64" t="s">
        <v>277</v>
      </c>
      <c r="B8" s="29">
        <f>SUM(B2:B7)</f>
        <v>2135225.04</v>
      </c>
      <c r="E8" s="40"/>
      <c r="F8" s="40"/>
    </row>
    <row r="9" spans="1:13">
      <c r="A9" s="28"/>
      <c r="B9" s="29"/>
      <c r="E9" s="40"/>
      <c r="F9" s="40"/>
    </row>
    <row r="10" spans="1:13">
      <c r="A10" s="55" t="s">
        <v>278</v>
      </c>
      <c r="B10" s="29">
        <v>533803</v>
      </c>
      <c r="E10" s="40"/>
      <c r="F10" s="40"/>
      <c r="H10" s="109" t="s">
        <v>279</v>
      </c>
      <c r="I10" s="109"/>
      <c r="J10" s="41"/>
      <c r="K10" s="42"/>
      <c r="L10" s="21"/>
    </row>
    <row r="11" spans="1:13">
      <c r="A11" s="64" t="s">
        <v>280</v>
      </c>
      <c r="B11" s="29">
        <f>SUM(B8,B10)</f>
        <v>2669028.04</v>
      </c>
      <c r="H11" s="42"/>
      <c r="I11" s="43"/>
      <c r="J11" s="43"/>
      <c r="K11" s="42"/>
      <c r="L11" s="21"/>
    </row>
    <row r="12" spans="1:13" ht="15">
      <c r="A12" s="44"/>
      <c r="B12" s="45"/>
      <c r="H12" s="59" t="s">
        <v>281</v>
      </c>
      <c r="I12" s="60" t="s">
        <v>282</v>
      </c>
      <c r="J12" s="61" t="s">
        <v>283</v>
      </c>
      <c r="K12" s="62" t="s">
        <v>284</v>
      </c>
      <c r="L12" s="21"/>
    </row>
    <row r="13" spans="1:13">
      <c r="A13" s="55" t="s">
        <v>285</v>
      </c>
      <c r="B13" s="24">
        <v>6600</v>
      </c>
      <c r="E13" s="64" t="s">
        <v>286</v>
      </c>
      <c r="H13" s="44"/>
      <c r="I13" s="43"/>
      <c r="J13" s="43"/>
      <c r="K13" s="45"/>
      <c r="L13" s="21"/>
    </row>
    <row r="14" spans="1:13">
      <c r="A14" s="28"/>
      <c r="B14" s="24"/>
      <c r="E14" s="21">
        <f xml:space="preserve"> (B2 + B4 + B6 + F6 + F3 )/12 - M5 - B5/12</f>
        <v>134837.68250000002</v>
      </c>
      <c r="H14" s="55" t="s">
        <v>287</v>
      </c>
      <c r="I14" s="63">
        <f>B2/12</f>
        <v>54309.85</v>
      </c>
      <c r="J14" s="63">
        <v>12</v>
      </c>
      <c r="K14" s="64">
        <f>+I14*J14</f>
        <v>651718.19999999995</v>
      </c>
      <c r="L14" s="21"/>
    </row>
    <row r="15" spans="1:13">
      <c r="A15" s="64" t="s">
        <v>288</v>
      </c>
      <c r="B15" s="29">
        <f>SUM(B2+B4+B6+F6 + F3 + B13)</f>
        <v>1997271.28</v>
      </c>
      <c r="H15" s="55" t="s">
        <v>289</v>
      </c>
      <c r="I15" s="63">
        <v>14000</v>
      </c>
      <c r="J15" s="63">
        <v>12</v>
      </c>
      <c r="K15" s="64">
        <f>+I15*J15</f>
        <v>168000</v>
      </c>
      <c r="L15" s="21"/>
    </row>
    <row r="16" spans="1:13">
      <c r="A16" s="55" t="s">
        <v>290</v>
      </c>
      <c r="B16" s="24">
        <v>150000</v>
      </c>
      <c r="H16" s="55" t="s">
        <v>291</v>
      </c>
      <c r="I16" s="63">
        <v>13500</v>
      </c>
      <c r="J16" s="63">
        <v>12</v>
      </c>
      <c r="K16" s="64">
        <f>+I16*J16</f>
        <v>162000</v>
      </c>
      <c r="L16" s="21"/>
    </row>
    <row r="17" spans="1:12">
      <c r="A17" s="55" t="s">
        <v>200</v>
      </c>
      <c r="B17" s="24">
        <v>200000</v>
      </c>
      <c r="H17" s="46"/>
      <c r="I17" s="43"/>
      <c r="J17" s="43"/>
      <c r="K17" s="45"/>
      <c r="L17" s="21"/>
    </row>
    <row r="18" spans="1:12">
      <c r="A18" s="55" t="s">
        <v>188</v>
      </c>
      <c r="B18" s="47">
        <f>K24</f>
        <v>96828.18</v>
      </c>
      <c r="H18" s="64" t="s">
        <v>292</v>
      </c>
      <c r="I18" s="64">
        <f>+I14*10%</f>
        <v>5430.9850000000006</v>
      </c>
      <c r="J18" s="64"/>
      <c r="K18" s="64">
        <f>+K14*10%</f>
        <v>65171.82</v>
      </c>
      <c r="L18" s="21"/>
    </row>
    <row r="19" spans="1:12">
      <c r="A19" s="55" t="s">
        <v>293</v>
      </c>
      <c r="B19" s="24">
        <v>2400</v>
      </c>
      <c r="H19" s="46"/>
      <c r="I19" s="43"/>
      <c r="J19" s="43"/>
      <c r="K19" s="45"/>
      <c r="L19" s="21"/>
    </row>
    <row r="20" spans="1:12">
      <c r="A20" s="64" t="s">
        <v>294</v>
      </c>
      <c r="B20" s="48">
        <f>B15-SUM(B16:B19)</f>
        <v>1548043.1</v>
      </c>
      <c r="H20" s="64" t="s">
        <v>295</v>
      </c>
      <c r="I20" s="64">
        <f>+I14*40%</f>
        <v>21723.940000000002</v>
      </c>
      <c r="J20" s="64"/>
      <c r="K20" s="64">
        <f>+I20*12</f>
        <v>260687.28000000003</v>
      </c>
      <c r="L20" s="21"/>
    </row>
    <row r="21" spans="1:12">
      <c r="H21" s="64" t="s">
        <v>289</v>
      </c>
      <c r="I21" s="64">
        <f>+I15</f>
        <v>14000</v>
      </c>
      <c r="J21" s="64"/>
      <c r="K21" s="64">
        <f>+I21*12</f>
        <v>168000</v>
      </c>
      <c r="L21" s="21"/>
    </row>
    <row r="22" spans="1:12">
      <c r="H22" s="64" t="s">
        <v>296</v>
      </c>
      <c r="I22" s="64">
        <f>+I16-I18</f>
        <v>8069.0149999999994</v>
      </c>
      <c r="J22" s="64"/>
      <c r="K22" s="64">
        <f>+I22*12</f>
        <v>96828.18</v>
      </c>
      <c r="L22" s="21"/>
    </row>
    <row r="23" spans="1:12">
      <c r="H23" s="44"/>
      <c r="I23" s="43"/>
      <c r="J23" s="43"/>
      <c r="K23" s="49"/>
      <c r="L23" s="21"/>
    </row>
    <row r="24" spans="1:12">
      <c r="H24" s="64" t="s">
        <v>297</v>
      </c>
      <c r="I24" s="64">
        <f>MIN(I20:I22)</f>
        <v>8069.0149999999994</v>
      </c>
      <c r="J24" s="64"/>
      <c r="K24" s="64">
        <f>MIN(K20:K22)</f>
        <v>96828.18</v>
      </c>
      <c r="L24" s="21"/>
    </row>
    <row r="25" spans="1:12">
      <c r="I25" s="50"/>
      <c r="J25" s="50"/>
    </row>
    <row r="26" spans="1:12">
      <c r="I26" s="50"/>
      <c r="J26" s="50"/>
    </row>
    <row r="35" ht="12.25" customHeight="1"/>
  </sheetData>
  <mergeCells count="1">
    <mergeCell ref="H10:I1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9"/>
  <sheetViews>
    <sheetView workbookViewId="0">
      <selection activeCell="B24" sqref="B24"/>
    </sheetView>
  </sheetViews>
  <sheetFormatPr baseColWidth="10" defaultColWidth="8.83203125" defaultRowHeight="15"/>
  <cols>
    <col min="1" max="1" width="27.6640625" style="18" customWidth="1"/>
    <col min="2" max="2" width="11.1640625" bestFit="1" customWidth="1"/>
    <col min="4" max="4" width="9.1640625" bestFit="1" customWidth="1"/>
    <col min="5" max="6" width="11.1640625" bestFit="1" customWidth="1"/>
    <col min="7" max="7" width="26.33203125" bestFit="1" customWidth="1"/>
    <col min="10" max="10" width="18.83203125" bestFit="1" customWidth="1"/>
    <col min="12" max="12" width="12.33203125" bestFit="1" customWidth="1"/>
    <col min="17" max="17" width="10.1640625" bestFit="1" customWidth="1"/>
    <col min="18" max="18" width="34" bestFit="1" customWidth="1"/>
  </cols>
  <sheetData>
    <row r="1" spans="1:13" ht="16">
      <c r="A1" s="17" t="s">
        <v>9</v>
      </c>
      <c r="B1" s="2" t="s">
        <v>4</v>
      </c>
      <c r="C1" s="2"/>
      <c r="D1" s="2"/>
      <c r="E1" s="2"/>
      <c r="F1" s="2"/>
      <c r="G1" s="2" t="s">
        <v>172</v>
      </c>
      <c r="H1" s="2" t="s">
        <v>4</v>
      </c>
      <c r="I1" s="2" t="s">
        <v>200</v>
      </c>
      <c r="J1" s="2"/>
      <c r="K1" s="2"/>
      <c r="L1" s="2" t="s">
        <v>206</v>
      </c>
      <c r="M1" s="2" t="s">
        <v>4</v>
      </c>
    </row>
    <row r="2" spans="1:13" ht="16">
      <c r="A2" s="18" t="s">
        <v>192</v>
      </c>
      <c r="B2">
        <v>3</v>
      </c>
      <c r="G2" t="s">
        <v>199</v>
      </c>
      <c r="H2">
        <v>4.5</v>
      </c>
      <c r="I2">
        <v>1.25</v>
      </c>
      <c r="L2" t="s">
        <v>204</v>
      </c>
      <c r="M2">
        <v>1</v>
      </c>
    </row>
    <row r="3" spans="1:13" ht="16">
      <c r="A3" s="18" t="s">
        <v>193</v>
      </c>
      <c r="B3">
        <v>3</v>
      </c>
      <c r="G3" t="s">
        <v>201</v>
      </c>
      <c r="H3">
        <v>2</v>
      </c>
      <c r="I3">
        <v>1.25</v>
      </c>
      <c r="M3">
        <v>0.25</v>
      </c>
    </row>
    <row r="4" spans="1:13" ht="16">
      <c r="A4" s="18" t="s">
        <v>194</v>
      </c>
      <c r="B4">
        <v>3</v>
      </c>
      <c r="G4" t="s">
        <v>202</v>
      </c>
      <c r="H4">
        <v>4</v>
      </c>
      <c r="I4">
        <v>1.1000000000000001</v>
      </c>
      <c r="L4" t="s">
        <v>205</v>
      </c>
      <c r="M4">
        <v>7.5</v>
      </c>
    </row>
    <row r="5" spans="1:13" ht="32">
      <c r="A5" s="18" t="s">
        <v>195</v>
      </c>
      <c r="B5">
        <v>3</v>
      </c>
      <c r="G5" t="s">
        <v>202</v>
      </c>
      <c r="H5">
        <v>3.5</v>
      </c>
      <c r="I5">
        <v>1</v>
      </c>
    </row>
    <row r="6" spans="1:13" ht="16">
      <c r="A6" s="18" t="s">
        <v>196</v>
      </c>
      <c r="B6">
        <v>3</v>
      </c>
      <c r="G6" t="s">
        <v>203</v>
      </c>
      <c r="H6">
        <v>4</v>
      </c>
      <c r="I6">
        <v>1</v>
      </c>
    </row>
    <row r="7" spans="1:13" ht="16">
      <c r="A7" s="18" t="s">
        <v>197</v>
      </c>
      <c r="B7">
        <v>5</v>
      </c>
      <c r="G7" t="s">
        <v>207</v>
      </c>
      <c r="H7">
        <v>2</v>
      </c>
      <c r="I7">
        <v>1.1000000000000001</v>
      </c>
    </row>
    <row r="8" spans="1:13" ht="16">
      <c r="A8" s="18" t="s">
        <v>198</v>
      </c>
      <c r="B8">
        <v>7</v>
      </c>
    </row>
    <row r="11" spans="1:13">
      <c r="A11" s="91">
        <v>43478</v>
      </c>
    </row>
    <row r="12" spans="1:13">
      <c r="A12" t="s">
        <v>478</v>
      </c>
      <c r="B12">
        <v>1100000</v>
      </c>
    </row>
    <row r="13" spans="1:13">
      <c r="A13" t="s">
        <v>479</v>
      </c>
      <c r="B13">
        <v>1400000</v>
      </c>
    </row>
    <row r="14" spans="1:13">
      <c r="A14" t="s">
        <v>480</v>
      </c>
      <c r="B14">
        <v>500000</v>
      </c>
    </row>
    <row r="15" spans="1:13">
      <c r="A15" t="s">
        <v>481</v>
      </c>
      <c r="B15">
        <v>400000</v>
      </c>
    </row>
    <row r="16" spans="1:13">
      <c r="A16" t="s">
        <v>482</v>
      </c>
      <c r="B16">
        <v>1000000</v>
      </c>
    </row>
    <row r="17" spans="1:4">
      <c r="A17" t="s">
        <v>483</v>
      </c>
      <c r="B17">
        <v>600000</v>
      </c>
    </row>
    <row r="18" spans="1:4" ht="16">
      <c r="A18" s="18" t="s">
        <v>484</v>
      </c>
      <c r="B18">
        <v>200000</v>
      </c>
    </row>
    <row r="22" spans="1:4">
      <c r="D22" s="73"/>
    </row>
    <row r="23" spans="1:4">
      <c r="D23" s="73"/>
    </row>
    <row r="24" spans="1:4">
      <c r="B24">
        <f>SUM(B12:B18)</f>
        <v>5200000</v>
      </c>
      <c r="D24" s="73"/>
    </row>
    <row r="25" spans="1:4">
      <c r="D25" s="73"/>
    </row>
    <row r="26" spans="1:4">
      <c r="D26" s="73"/>
    </row>
    <row r="27" spans="1:4">
      <c r="D27" s="73"/>
    </row>
    <row r="28" spans="1:4">
      <c r="D28" s="73"/>
    </row>
    <row r="29" spans="1:4">
      <c r="D29" s="73"/>
    </row>
    <row r="30" spans="1:4">
      <c r="D30" s="73"/>
    </row>
    <row r="31" spans="1:4">
      <c r="D31" s="1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55856-B909-624C-AD7E-8014FE3702C7}">
  <dimension ref="A1:S46"/>
  <sheetViews>
    <sheetView workbookViewId="0">
      <selection activeCell="I27" sqref="I27"/>
    </sheetView>
  </sheetViews>
  <sheetFormatPr baseColWidth="10" defaultRowHeight="15"/>
  <cols>
    <col min="1" max="1" width="9.1640625" bestFit="1" customWidth="1"/>
    <col min="2" max="2" width="11.5" bestFit="1" customWidth="1"/>
    <col min="4" max="5" width="8.1640625" bestFit="1" customWidth="1"/>
    <col min="6" max="6" width="11.1640625" bestFit="1" customWidth="1"/>
    <col min="7" max="7" width="19.5" bestFit="1" customWidth="1"/>
    <col min="10" max="10" width="7.5" bestFit="1" customWidth="1"/>
    <col min="18" max="18" width="42.33203125" bestFit="1" customWidth="1"/>
    <col min="19" max="19" width="8.5" bestFit="1" customWidth="1"/>
    <col min="27" max="27" width="42.33203125" bestFit="1" customWidth="1"/>
  </cols>
  <sheetData>
    <row r="1" spans="1:19" ht="17" thickTop="1" thickBot="1">
      <c r="A1" s="108" t="s">
        <v>388</v>
      </c>
      <c r="B1" s="108" t="s">
        <v>523</v>
      </c>
      <c r="C1" s="108" t="s">
        <v>524</v>
      </c>
      <c r="D1" s="108" t="s">
        <v>525</v>
      </c>
      <c r="E1" s="108" t="s">
        <v>526</v>
      </c>
      <c r="F1" s="108" t="s">
        <v>40</v>
      </c>
      <c r="G1" s="108" t="s">
        <v>527</v>
      </c>
      <c r="H1" s="108" t="s">
        <v>300</v>
      </c>
      <c r="I1" s="108" t="s">
        <v>538</v>
      </c>
      <c r="J1" s="108" t="s">
        <v>308</v>
      </c>
      <c r="N1" s="15" t="s">
        <v>3</v>
      </c>
      <c r="O1" s="15" t="s">
        <v>300</v>
      </c>
      <c r="P1" s="15" t="s">
        <v>570</v>
      </c>
      <c r="Q1" s="15" t="s">
        <v>54</v>
      </c>
      <c r="R1" s="107" t="s">
        <v>177</v>
      </c>
      <c r="S1" s="15" t="s">
        <v>571</v>
      </c>
    </row>
    <row r="2" spans="1:19" ht="16" thickTop="1">
      <c r="A2" s="105">
        <v>40603</v>
      </c>
      <c r="B2" s="104">
        <v>11.56</v>
      </c>
      <c r="C2" s="104">
        <v>1.1499999999999999</v>
      </c>
      <c r="D2" s="104">
        <v>10.41</v>
      </c>
      <c r="E2" s="104">
        <v>2.4</v>
      </c>
      <c r="F2" s="104">
        <v>0.96</v>
      </c>
      <c r="G2" s="104">
        <v>7.05</v>
      </c>
      <c r="H2" s="104">
        <v>2</v>
      </c>
      <c r="I2" s="104">
        <v>0.7</v>
      </c>
      <c r="J2" s="104"/>
      <c r="O2">
        <v>150000</v>
      </c>
      <c r="Q2" t="s">
        <v>9</v>
      </c>
      <c r="R2" t="s">
        <v>495</v>
      </c>
    </row>
    <row r="3" spans="1:19">
      <c r="A3" s="105">
        <v>41000</v>
      </c>
      <c r="B3" s="104">
        <v>12.5</v>
      </c>
      <c r="C3" s="104">
        <v>1.32</v>
      </c>
      <c r="D3" s="104">
        <v>11.18</v>
      </c>
      <c r="E3" s="104">
        <v>4.2</v>
      </c>
      <c r="F3" s="104">
        <v>1.44</v>
      </c>
      <c r="G3" s="104">
        <v>5.54</v>
      </c>
      <c r="H3" s="104">
        <v>1.2</v>
      </c>
      <c r="I3" s="104">
        <v>0.7</v>
      </c>
      <c r="J3" s="104"/>
      <c r="O3">
        <v>150000</v>
      </c>
      <c r="Q3" t="s">
        <v>572</v>
      </c>
      <c r="R3" t="s">
        <v>494</v>
      </c>
    </row>
    <row r="4" spans="1:19">
      <c r="A4" s="105">
        <v>41365</v>
      </c>
      <c r="B4" s="104">
        <v>13.8</v>
      </c>
      <c r="C4" s="104">
        <v>2.17</v>
      </c>
      <c r="D4" s="104">
        <v>11.63</v>
      </c>
      <c r="E4" s="104">
        <v>4.2</v>
      </c>
      <c r="F4" s="104">
        <v>1.44</v>
      </c>
      <c r="G4" s="104">
        <v>5.99</v>
      </c>
      <c r="H4" s="104">
        <v>3.25</v>
      </c>
      <c r="I4" s="104">
        <v>0.7</v>
      </c>
      <c r="J4" s="104"/>
      <c r="O4">
        <v>1200000</v>
      </c>
      <c r="Q4" t="s">
        <v>9</v>
      </c>
      <c r="R4" t="s">
        <v>493</v>
      </c>
    </row>
    <row r="5" spans="1:19">
      <c r="A5" s="105">
        <v>41730</v>
      </c>
      <c r="B5" s="104">
        <v>21.11</v>
      </c>
      <c r="C5" s="104">
        <v>3.73</v>
      </c>
      <c r="D5" s="104">
        <v>17.38</v>
      </c>
      <c r="E5" s="104">
        <v>4.2</v>
      </c>
      <c r="F5" s="104">
        <v>1.68</v>
      </c>
      <c r="G5" s="104">
        <v>11.5</v>
      </c>
      <c r="H5" s="104">
        <v>1.81</v>
      </c>
      <c r="I5" s="104">
        <v>0.7</v>
      </c>
      <c r="J5" s="104">
        <v>0.5</v>
      </c>
      <c r="N5" s="1">
        <v>40087</v>
      </c>
      <c r="Q5" t="s">
        <v>172</v>
      </c>
      <c r="R5" t="s">
        <v>173</v>
      </c>
      <c r="S5">
        <v>-560000</v>
      </c>
    </row>
    <row r="6" spans="1:19">
      <c r="A6" s="105">
        <v>42095</v>
      </c>
      <c r="B6" s="104">
        <v>21.97</v>
      </c>
      <c r="C6" s="104">
        <v>3.64</v>
      </c>
      <c r="D6" s="104">
        <v>18.329999999999998</v>
      </c>
      <c r="E6" s="104">
        <v>4.2</v>
      </c>
      <c r="F6" s="104">
        <v>1.68</v>
      </c>
      <c r="G6" s="104">
        <v>12.45</v>
      </c>
      <c r="H6" s="104">
        <v>0.75</v>
      </c>
      <c r="I6" s="104">
        <v>0.7</v>
      </c>
      <c r="J6" s="104">
        <v>0.3</v>
      </c>
      <c r="N6" s="1">
        <v>40299</v>
      </c>
      <c r="Q6" t="s">
        <v>172</v>
      </c>
      <c r="R6" t="s">
        <v>174</v>
      </c>
      <c r="S6">
        <v>-100000</v>
      </c>
    </row>
    <row r="7" spans="1:19">
      <c r="A7" s="105">
        <v>42461</v>
      </c>
      <c r="B7" s="104">
        <v>28.1</v>
      </c>
      <c r="C7" s="104">
        <v>5.55</v>
      </c>
      <c r="D7" s="104">
        <v>22.55</v>
      </c>
      <c r="E7" s="104">
        <v>4.8</v>
      </c>
      <c r="F7" s="104">
        <v>1.68</v>
      </c>
      <c r="G7" s="104">
        <v>16.07</v>
      </c>
      <c r="H7" s="104">
        <v>0.75</v>
      </c>
      <c r="I7" s="104">
        <v>0.7</v>
      </c>
      <c r="J7" s="104">
        <v>0.5</v>
      </c>
      <c r="N7" s="1">
        <v>40634</v>
      </c>
      <c r="O7">
        <v>200000</v>
      </c>
      <c r="Q7" t="s">
        <v>172</v>
      </c>
      <c r="R7" t="s">
        <v>175</v>
      </c>
    </row>
    <row r="8" spans="1:19">
      <c r="A8" s="105">
        <v>42826</v>
      </c>
      <c r="B8" s="104">
        <v>32</v>
      </c>
      <c r="C8" s="104">
        <v>7.04</v>
      </c>
      <c r="D8" s="104">
        <v>24.96</v>
      </c>
      <c r="E8" s="104">
        <v>4.8</v>
      </c>
      <c r="F8" s="104">
        <v>2.2200000000000002</v>
      </c>
      <c r="G8" s="104">
        <v>17.940000000000001</v>
      </c>
      <c r="H8" s="104">
        <v>0.75</v>
      </c>
      <c r="I8" s="104">
        <v>0.7</v>
      </c>
      <c r="J8" s="104">
        <v>0.2</v>
      </c>
      <c r="N8" s="1">
        <v>40817</v>
      </c>
      <c r="Q8" t="s">
        <v>172</v>
      </c>
      <c r="R8" t="s">
        <v>176</v>
      </c>
      <c r="S8">
        <v>-40000</v>
      </c>
    </row>
    <row r="9" spans="1:19">
      <c r="A9" s="105">
        <v>43191</v>
      </c>
      <c r="B9" s="104">
        <v>36.57</v>
      </c>
      <c r="C9" s="104">
        <v>8.15</v>
      </c>
      <c r="D9" s="104">
        <v>28.42</v>
      </c>
      <c r="E9" s="104">
        <v>4.8</v>
      </c>
      <c r="F9" s="104">
        <v>0</v>
      </c>
      <c r="G9" s="104">
        <v>23.62</v>
      </c>
      <c r="H9" s="104">
        <v>0.9</v>
      </c>
      <c r="I9" s="104">
        <v>0.7</v>
      </c>
      <c r="J9" s="104"/>
      <c r="N9" s="1">
        <v>40878</v>
      </c>
      <c r="P9">
        <v>270000</v>
      </c>
      <c r="Q9" t="s">
        <v>349</v>
      </c>
      <c r="R9" t="s">
        <v>577</v>
      </c>
    </row>
    <row r="10" spans="1:19">
      <c r="A10" s="105">
        <v>43556</v>
      </c>
      <c r="B10" s="104">
        <v>41.06</v>
      </c>
      <c r="C10" s="104">
        <v>9.6</v>
      </c>
      <c r="D10" s="104">
        <v>31.46</v>
      </c>
      <c r="E10" s="104">
        <v>4.8</v>
      </c>
      <c r="F10" s="104">
        <v>0</v>
      </c>
      <c r="G10" s="104">
        <v>26.66</v>
      </c>
      <c r="H10" s="104">
        <v>1.4</v>
      </c>
      <c r="I10" s="104">
        <v>0.7</v>
      </c>
      <c r="J10" s="104"/>
      <c r="N10" s="1">
        <v>41000</v>
      </c>
      <c r="O10">
        <v>120000</v>
      </c>
      <c r="Q10" t="s">
        <v>172</v>
      </c>
      <c r="R10" t="s">
        <v>175</v>
      </c>
    </row>
    <row r="11" spans="1:19">
      <c r="A11" s="106">
        <v>43921</v>
      </c>
      <c r="B11" s="104">
        <v>42.9</v>
      </c>
      <c r="C11" s="104">
        <v>10.14</v>
      </c>
      <c r="D11" s="104">
        <v>32.76</v>
      </c>
      <c r="E11" s="104">
        <v>4.8</v>
      </c>
      <c r="F11" s="104">
        <v>0</v>
      </c>
      <c r="G11" s="104">
        <v>27.96</v>
      </c>
      <c r="H11" s="104">
        <v>0.75</v>
      </c>
      <c r="I11" s="104">
        <v>0.7</v>
      </c>
      <c r="J11" s="104"/>
      <c r="N11" s="1">
        <v>41311</v>
      </c>
      <c r="O11">
        <v>75000</v>
      </c>
      <c r="Q11" t="s">
        <v>172</v>
      </c>
      <c r="R11" t="s">
        <v>175</v>
      </c>
    </row>
    <row r="12" spans="1:19">
      <c r="H12" s="104">
        <v>4.75</v>
      </c>
      <c r="I12" s="104">
        <v>0.7</v>
      </c>
      <c r="N12" s="1">
        <v>41346</v>
      </c>
      <c r="P12">
        <v>80000</v>
      </c>
      <c r="Q12" t="s">
        <v>9</v>
      </c>
      <c r="R12" t="s">
        <v>256</v>
      </c>
    </row>
    <row r="13" spans="1:19">
      <c r="N13" s="1">
        <v>41364</v>
      </c>
      <c r="O13">
        <v>100000</v>
      </c>
      <c r="Q13" t="s">
        <v>172</v>
      </c>
      <c r="R13" t="s">
        <v>175</v>
      </c>
    </row>
    <row r="14" spans="1:19">
      <c r="N14" s="1">
        <v>41382</v>
      </c>
      <c r="P14">
        <v>32000</v>
      </c>
      <c r="Q14" t="s">
        <v>349</v>
      </c>
      <c r="R14" t="s">
        <v>299</v>
      </c>
    </row>
    <row r="15" spans="1:19">
      <c r="N15" s="1">
        <v>41499</v>
      </c>
      <c r="O15">
        <v>150000</v>
      </c>
      <c r="Q15" t="s">
        <v>172</v>
      </c>
      <c r="R15" t="s">
        <v>175</v>
      </c>
    </row>
    <row r="16" spans="1:19">
      <c r="N16" s="1">
        <v>41734</v>
      </c>
      <c r="O16">
        <v>75000</v>
      </c>
      <c r="Q16" t="s">
        <v>172</v>
      </c>
      <c r="R16" t="s">
        <v>175</v>
      </c>
    </row>
    <row r="17" spans="2:19">
      <c r="N17" s="1">
        <v>41834</v>
      </c>
      <c r="O17">
        <v>106000</v>
      </c>
      <c r="Q17" t="s">
        <v>172</v>
      </c>
      <c r="R17" t="s">
        <v>254</v>
      </c>
    </row>
    <row r="18" spans="2:19">
      <c r="N18" s="92">
        <v>41771</v>
      </c>
      <c r="O18" s="13"/>
      <c r="P18" s="13">
        <v>50000</v>
      </c>
      <c r="Q18" s="13" t="s">
        <v>572</v>
      </c>
      <c r="R18" s="13" t="s">
        <v>232</v>
      </c>
      <c r="S18" s="13"/>
    </row>
    <row r="19" spans="2:19">
      <c r="N19" s="1">
        <v>42102</v>
      </c>
      <c r="O19">
        <v>75000</v>
      </c>
      <c r="Q19" t="s">
        <v>172</v>
      </c>
      <c r="R19" t="s">
        <v>300</v>
      </c>
    </row>
    <row r="20" spans="2:19">
      <c r="B20" t="s">
        <v>529</v>
      </c>
      <c r="I20">
        <v>13.46</v>
      </c>
      <c r="N20" s="92">
        <v>42193</v>
      </c>
      <c r="O20" s="13"/>
      <c r="P20" s="13">
        <v>30000</v>
      </c>
      <c r="Q20" s="13" t="s">
        <v>572</v>
      </c>
      <c r="R20" s="13" t="s">
        <v>232</v>
      </c>
      <c r="S20" s="13"/>
    </row>
    <row r="21" spans="2:19">
      <c r="B21">
        <v>36.35</v>
      </c>
      <c r="C21" t="s">
        <v>530</v>
      </c>
      <c r="I21">
        <v>15.47</v>
      </c>
      <c r="N21" s="1">
        <v>42246</v>
      </c>
      <c r="O21">
        <v>20000</v>
      </c>
      <c r="Q21" t="s">
        <v>172</v>
      </c>
      <c r="R21" t="s">
        <v>301</v>
      </c>
    </row>
    <row r="22" spans="2:19">
      <c r="B22">
        <v>15.47</v>
      </c>
      <c r="C22" t="s">
        <v>531</v>
      </c>
      <c r="I22">
        <v>10</v>
      </c>
      <c r="N22" s="92">
        <v>42370</v>
      </c>
      <c r="O22" s="13"/>
      <c r="P22" s="13">
        <v>50000</v>
      </c>
      <c r="Q22" s="13" t="s">
        <v>572</v>
      </c>
      <c r="R22" s="13" t="s">
        <v>232</v>
      </c>
      <c r="S22" s="13"/>
    </row>
    <row r="23" spans="2:19">
      <c r="B23">
        <v>26</v>
      </c>
      <c r="C23" t="s">
        <v>532</v>
      </c>
      <c r="I23">
        <v>2.7</v>
      </c>
      <c r="N23" s="1">
        <v>42474</v>
      </c>
      <c r="O23">
        <v>75000</v>
      </c>
      <c r="Q23" t="s">
        <v>172</v>
      </c>
      <c r="R23" t="s">
        <v>300</v>
      </c>
    </row>
    <row r="24" spans="2:19">
      <c r="B24">
        <v>10</v>
      </c>
      <c r="C24" t="s">
        <v>492</v>
      </c>
      <c r="I24">
        <v>1.5</v>
      </c>
      <c r="N24" s="92">
        <v>42522</v>
      </c>
      <c r="O24" s="13"/>
      <c r="P24" s="13">
        <v>20000</v>
      </c>
      <c r="Q24" s="13" t="s">
        <v>572</v>
      </c>
      <c r="R24" s="13" t="s">
        <v>308</v>
      </c>
      <c r="S24" s="13"/>
    </row>
    <row r="25" spans="2:19">
      <c r="B25">
        <v>20.2</v>
      </c>
      <c r="C25" t="s">
        <v>578</v>
      </c>
      <c r="N25" s="1">
        <v>42522</v>
      </c>
      <c r="O25">
        <v>22000</v>
      </c>
      <c r="Q25" t="s">
        <v>573</v>
      </c>
      <c r="R25" t="s">
        <v>309</v>
      </c>
    </row>
    <row r="26" spans="2:19">
      <c r="B26">
        <v>15</v>
      </c>
      <c r="C26" t="s">
        <v>534</v>
      </c>
      <c r="I26">
        <v>4.75</v>
      </c>
      <c r="N26" s="1">
        <v>42552</v>
      </c>
      <c r="P26">
        <v>10000</v>
      </c>
      <c r="Q26" s="13" t="s">
        <v>572</v>
      </c>
      <c r="R26" t="s">
        <v>310</v>
      </c>
    </row>
    <row r="27" spans="2:19">
      <c r="B27">
        <v>10</v>
      </c>
      <c r="C27" t="s">
        <v>535</v>
      </c>
      <c r="I27">
        <v>5</v>
      </c>
      <c r="J27" t="s">
        <v>40</v>
      </c>
      <c r="N27" s="1">
        <v>42887</v>
      </c>
      <c r="O27">
        <v>75000</v>
      </c>
      <c r="Q27" t="s">
        <v>172</v>
      </c>
      <c r="R27" t="s">
        <v>300</v>
      </c>
    </row>
    <row r="28" spans="2:19">
      <c r="B28">
        <f>10*0.45</f>
        <v>4.5</v>
      </c>
      <c r="C28" t="s">
        <v>362</v>
      </c>
      <c r="N28" s="1">
        <v>43221</v>
      </c>
      <c r="O28">
        <v>90000</v>
      </c>
      <c r="Q28" s="13" t="s">
        <v>172</v>
      </c>
      <c r="R28" t="s">
        <v>405</v>
      </c>
    </row>
    <row r="29" spans="2:19">
      <c r="B29">
        <v>3.2</v>
      </c>
      <c r="C29" t="s">
        <v>536</v>
      </c>
      <c r="N29" s="1">
        <v>43586</v>
      </c>
      <c r="O29">
        <v>75000</v>
      </c>
      <c r="Q29" t="s">
        <v>172</v>
      </c>
      <c r="R29" t="s">
        <v>574</v>
      </c>
    </row>
    <row r="30" spans="2:19">
      <c r="B30">
        <v>7.2</v>
      </c>
      <c r="C30" t="s">
        <v>537</v>
      </c>
      <c r="N30" s="1">
        <v>43586</v>
      </c>
      <c r="O30">
        <v>65000</v>
      </c>
      <c r="Q30" t="s">
        <v>172</v>
      </c>
      <c r="R30" t="s">
        <v>575</v>
      </c>
    </row>
    <row r="31" spans="2:19">
      <c r="B31">
        <v>6.56</v>
      </c>
      <c r="C31" t="s">
        <v>300</v>
      </c>
      <c r="P31">
        <v>15000</v>
      </c>
      <c r="Q31" t="s">
        <v>9</v>
      </c>
      <c r="R31" t="s">
        <v>489</v>
      </c>
    </row>
    <row r="32" spans="2:19">
      <c r="B32">
        <v>7</v>
      </c>
      <c r="C32" t="s">
        <v>574</v>
      </c>
      <c r="O32">
        <v>5000</v>
      </c>
      <c r="Q32" t="s">
        <v>172</v>
      </c>
      <c r="R32" t="s">
        <v>490</v>
      </c>
    </row>
    <row r="33" spans="1:18">
      <c r="B33">
        <f>SUM(J5:J8)</f>
        <v>1.5</v>
      </c>
      <c r="C33" t="s">
        <v>308</v>
      </c>
      <c r="N33" s="1">
        <v>43952</v>
      </c>
      <c r="O33">
        <v>20000</v>
      </c>
      <c r="Q33" t="s">
        <v>172</v>
      </c>
      <c r="R33" t="s">
        <v>491</v>
      </c>
    </row>
    <row r="34" spans="1:18">
      <c r="B34">
        <v>4.75</v>
      </c>
      <c r="C34" t="s">
        <v>579</v>
      </c>
      <c r="N34" s="1">
        <v>43831</v>
      </c>
      <c r="P34">
        <v>1000000</v>
      </c>
      <c r="Q34" t="s">
        <v>576</v>
      </c>
      <c r="R34" t="s">
        <v>492</v>
      </c>
    </row>
    <row r="35" spans="1:18">
      <c r="B35">
        <v>3.5</v>
      </c>
      <c r="C35" t="s">
        <v>580</v>
      </c>
      <c r="Q35" t="s">
        <v>172</v>
      </c>
      <c r="R35" t="s">
        <v>496</v>
      </c>
    </row>
    <row r="36" spans="1:18">
      <c r="B36">
        <v>2.4</v>
      </c>
      <c r="C36" t="s">
        <v>581</v>
      </c>
      <c r="N36" s="1">
        <v>43983</v>
      </c>
      <c r="O36">
        <v>75000</v>
      </c>
      <c r="Q36" t="s">
        <v>172</v>
      </c>
      <c r="R36" t="s">
        <v>300</v>
      </c>
    </row>
    <row r="37" spans="1:18">
      <c r="B37">
        <f>SUM(B21:B36)</f>
        <v>173.62999999999997</v>
      </c>
      <c r="N37" s="1">
        <v>44068</v>
      </c>
      <c r="O37">
        <v>400000</v>
      </c>
      <c r="Q37" t="s">
        <v>172</v>
      </c>
      <c r="R37" t="s">
        <v>300</v>
      </c>
    </row>
    <row r="38" spans="1:18">
      <c r="N38" s="1">
        <v>44154</v>
      </c>
      <c r="O38">
        <v>200000</v>
      </c>
      <c r="Q38" t="s">
        <v>172</v>
      </c>
      <c r="R38" t="s">
        <v>300</v>
      </c>
    </row>
    <row r="42" spans="1:18" ht="32">
      <c r="A42" s="17" t="s">
        <v>234</v>
      </c>
      <c r="C42" t="s">
        <v>200</v>
      </c>
      <c r="D42" t="s">
        <v>238</v>
      </c>
      <c r="E42" s="18" t="s">
        <v>239</v>
      </c>
      <c r="F42" t="s">
        <v>233</v>
      </c>
    </row>
    <row r="43" spans="1:18">
      <c r="A43" s="18">
        <v>30698</v>
      </c>
      <c r="B43" t="s">
        <v>235</v>
      </c>
      <c r="C43">
        <v>10.3</v>
      </c>
      <c r="D43">
        <v>2400000</v>
      </c>
      <c r="E43">
        <v>120</v>
      </c>
      <c r="F43" s="19">
        <f>PMT(C43/12/100,E43,D43)</f>
        <v>-32116.220104640637</v>
      </c>
    </row>
    <row r="44" spans="1:18">
      <c r="A44" s="18">
        <v>-9500</v>
      </c>
      <c r="B44" t="s">
        <v>40</v>
      </c>
    </row>
    <row r="45" spans="1:18">
      <c r="A45" s="18">
        <v>21951</v>
      </c>
      <c r="B45" t="s">
        <v>236</v>
      </c>
      <c r="C45">
        <v>11.25</v>
      </c>
      <c r="D45">
        <v>1200000</v>
      </c>
      <c r="E45">
        <f>6*12+6</f>
        <v>78</v>
      </c>
      <c r="F45" s="19">
        <f>PMT(C45/12/100,E45,D45)</f>
        <v>-21758.022248016005</v>
      </c>
    </row>
    <row r="46" spans="1:18">
      <c r="A46" s="18">
        <f>SUM(A43:A45)</f>
        <v>43149</v>
      </c>
      <c r="B46" t="s">
        <v>237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E986E-3A18-7B41-8F07-1A6754980F89}">
  <dimension ref="A1:V108"/>
  <sheetViews>
    <sheetView workbookViewId="0">
      <selection activeCell="O29" sqref="O29"/>
    </sheetView>
  </sheetViews>
  <sheetFormatPr baseColWidth="10" defaultRowHeight="15"/>
  <cols>
    <col min="1" max="1" width="12.6640625" bestFit="1" customWidth="1"/>
    <col min="16" max="16" width="13.33203125" bestFit="1" customWidth="1"/>
    <col min="17" max="17" width="14" style="7" bestFit="1" customWidth="1"/>
    <col min="18" max="18" width="15" bestFit="1" customWidth="1"/>
    <col min="19" max="19" width="21" bestFit="1" customWidth="1"/>
  </cols>
  <sheetData>
    <row r="1" spans="1:22">
      <c r="A1" s="68" t="s">
        <v>235</v>
      </c>
      <c r="B1" s="68"/>
      <c r="C1" s="68"/>
      <c r="D1" s="68" t="s">
        <v>237</v>
      </c>
      <c r="E1" s="68"/>
      <c r="F1" s="68" t="s">
        <v>528</v>
      </c>
      <c r="G1" s="68"/>
      <c r="H1" s="68"/>
      <c r="I1" s="68" t="s">
        <v>237</v>
      </c>
      <c r="J1" s="68"/>
      <c r="K1" s="68" t="s">
        <v>533</v>
      </c>
      <c r="L1" s="68"/>
      <c r="M1" s="68"/>
      <c r="N1" s="68" t="s">
        <v>237</v>
      </c>
      <c r="O1" s="68"/>
      <c r="P1" s="68" t="s">
        <v>539</v>
      </c>
      <c r="Q1" s="111"/>
      <c r="R1" s="68"/>
      <c r="S1" s="68"/>
      <c r="T1" s="68"/>
      <c r="U1" s="68"/>
      <c r="V1" s="68"/>
    </row>
    <row r="2" spans="1:22">
      <c r="A2" s="1">
        <v>40357</v>
      </c>
      <c r="B2">
        <v>16000</v>
      </c>
      <c r="D2">
        <f>SUM(B2:B107)</f>
        <v>3635003.2800000003</v>
      </c>
      <c r="F2" s="1">
        <v>41703</v>
      </c>
      <c r="G2">
        <v>3000</v>
      </c>
      <c r="I2">
        <f>SUM(G2:G52)</f>
        <v>1547647</v>
      </c>
      <c r="K2" s="1">
        <v>42704</v>
      </c>
      <c r="L2">
        <v>19762</v>
      </c>
      <c r="N2">
        <f>SUM(L2:L91)</f>
        <v>2018551</v>
      </c>
      <c r="P2" s="99" t="s">
        <v>3</v>
      </c>
      <c r="Q2" s="100" t="s">
        <v>540</v>
      </c>
      <c r="R2" s="99" t="s">
        <v>539</v>
      </c>
      <c r="T2" s="74" t="s">
        <v>567</v>
      </c>
      <c r="U2" t="s">
        <v>568</v>
      </c>
      <c r="V2" t="s">
        <v>569</v>
      </c>
    </row>
    <row r="3" spans="1:22">
      <c r="B3">
        <v>29279</v>
      </c>
      <c r="G3">
        <v>21951</v>
      </c>
      <c r="L3">
        <v>42251</v>
      </c>
      <c r="P3" s="82" t="s">
        <v>541</v>
      </c>
      <c r="Q3" s="101" t="s">
        <v>542</v>
      </c>
      <c r="R3" s="102"/>
      <c r="S3" s="1">
        <v>44044</v>
      </c>
      <c r="T3">
        <v>8.25</v>
      </c>
      <c r="U3">
        <v>16.399999999999999</v>
      </c>
      <c r="V3">
        <f>U3-T3</f>
        <v>8.1499999999999986</v>
      </c>
    </row>
    <row r="4" spans="1:22">
      <c r="B4">
        <v>29279</v>
      </c>
      <c r="G4">
        <v>9911</v>
      </c>
      <c r="L4">
        <v>42251</v>
      </c>
      <c r="P4" s="82" t="s">
        <v>543</v>
      </c>
      <c r="Q4" s="101"/>
      <c r="R4" s="102" t="s">
        <v>565</v>
      </c>
      <c r="S4" s="1">
        <v>43952</v>
      </c>
      <c r="T4">
        <v>8.4499999999999993</v>
      </c>
      <c r="U4">
        <v>16.399999999999999</v>
      </c>
      <c r="V4">
        <f t="shared" ref="V4:V13" si="0">U4-T4</f>
        <v>7.9499999999999993</v>
      </c>
    </row>
    <row r="5" spans="1:22">
      <c r="B5">
        <v>29279</v>
      </c>
      <c r="G5">
        <v>21951</v>
      </c>
      <c r="L5">
        <v>100</v>
      </c>
      <c r="P5" s="82" t="s">
        <v>544</v>
      </c>
      <c r="Q5" s="101" t="s">
        <v>563</v>
      </c>
      <c r="R5" s="102"/>
      <c r="S5" s="1">
        <v>43862</v>
      </c>
      <c r="T5">
        <v>8.65</v>
      </c>
      <c r="U5">
        <v>16.850000000000001</v>
      </c>
      <c r="V5">
        <f t="shared" si="0"/>
        <v>8.2000000000000011</v>
      </c>
    </row>
    <row r="6" spans="1:22">
      <c r="B6">
        <v>29279</v>
      </c>
      <c r="G6">
        <v>21951</v>
      </c>
      <c r="L6">
        <v>42251</v>
      </c>
      <c r="P6" s="82" t="s">
        <v>545</v>
      </c>
      <c r="Q6" s="101" t="s">
        <v>561</v>
      </c>
      <c r="R6" s="102"/>
      <c r="S6" s="1">
        <v>43770</v>
      </c>
      <c r="T6">
        <v>8.6999999999999993</v>
      </c>
      <c r="U6">
        <v>16.850000000000001</v>
      </c>
      <c r="V6">
        <f t="shared" si="0"/>
        <v>8.1500000000000021</v>
      </c>
    </row>
    <row r="7" spans="1:22">
      <c r="B7">
        <v>29279</v>
      </c>
      <c r="G7">
        <v>21951</v>
      </c>
      <c r="L7">
        <v>42251</v>
      </c>
      <c r="P7" s="82" t="s">
        <v>546</v>
      </c>
      <c r="Q7" s="101" t="s">
        <v>564</v>
      </c>
      <c r="R7" s="102"/>
      <c r="S7" s="1">
        <v>43678</v>
      </c>
      <c r="T7">
        <v>8.8000000000000007</v>
      </c>
      <c r="U7">
        <v>16.850000000000001</v>
      </c>
      <c r="V7">
        <f t="shared" si="0"/>
        <v>8.0500000000000007</v>
      </c>
    </row>
    <row r="8" spans="1:22">
      <c r="B8">
        <v>29279</v>
      </c>
      <c r="G8">
        <v>21951</v>
      </c>
      <c r="M8">
        <f>SUM(L2:L7)</f>
        <v>188866</v>
      </c>
      <c r="P8" s="82" t="s">
        <v>547</v>
      </c>
      <c r="Q8" s="101" t="s">
        <v>561</v>
      </c>
      <c r="R8" s="102"/>
      <c r="S8" s="1">
        <v>43497</v>
      </c>
      <c r="T8">
        <v>8.9</v>
      </c>
      <c r="U8">
        <v>16.850000000000001</v>
      </c>
      <c r="V8">
        <f t="shared" si="0"/>
        <v>7.9500000000000011</v>
      </c>
    </row>
    <row r="9" spans="1:22">
      <c r="B9">
        <v>29279</v>
      </c>
      <c r="G9">
        <v>21951</v>
      </c>
      <c r="L9">
        <v>42251</v>
      </c>
      <c r="P9" s="82" t="s">
        <v>548</v>
      </c>
      <c r="Q9" s="101" t="s">
        <v>561</v>
      </c>
      <c r="R9" s="102"/>
      <c r="S9" s="1">
        <v>43405</v>
      </c>
      <c r="T9">
        <v>8.8000000000000007</v>
      </c>
      <c r="U9">
        <v>16.75</v>
      </c>
      <c r="V9">
        <f t="shared" si="0"/>
        <v>7.9499999999999993</v>
      </c>
    </row>
    <row r="10" spans="1:22">
      <c r="B10">
        <v>29279</v>
      </c>
      <c r="G10">
        <v>21951</v>
      </c>
      <c r="L10">
        <v>42251</v>
      </c>
      <c r="P10" s="82" t="s">
        <v>549</v>
      </c>
      <c r="Q10" s="101" t="s">
        <v>561</v>
      </c>
      <c r="R10" s="102"/>
      <c r="S10" s="1">
        <v>43313</v>
      </c>
      <c r="T10">
        <v>8.6999999999999993</v>
      </c>
      <c r="U10">
        <v>16.75</v>
      </c>
      <c r="V10">
        <f t="shared" si="0"/>
        <v>8.0500000000000007</v>
      </c>
    </row>
    <row r="11" spans="1:22">
      <c r="G11">
        <v>21951</v>
      </c>
      <c r="L11">
        <v>42251</v>
      </c>
      <c r="P11" s="82" t="s">
        <v>550</v>
      </c>
      <c r="Q11" s="101"/>
      <c r="R11" s="102" t="s">
        <v>551</v>
      </c>
      <c r="S11" s="1">
        <v>43221</v>
      </c>
      <c r="T11">
        <v>8.4</v>
      </c>
      <c r="U11">
        <v>16.350000000000001</v>
      </c>
      <c r="V11">
        <f t="shared" si="0"/>
        <v>7.9500000000000011</v>
      </c>
    </row>
    <row r="12" spans="1:22">
      <c r="B12">
        <v>29279</v>
      </c>
      <c r="H12">
        <f>SUM(G2:G11)</f>
        <v>188519</v>
      </c>
      <c r="L12">
        <v>42251</v>
      </c>
      <c r="P12" s="82" t="s">
        <v>552</v>
      </c>
      <c r="Q12" s="101"/>
      <c r="R12" s="102" t="s">
        <v>553</v>
      </c>
      <c r="S12" s="1">
        <v>42795</v>
      </c>
      <c r="T12">
        <v>9.0500000000000007</v>
      </c>
      <c r="U12">
        <v>16.149999999999999</v>
      </c>
      <c r="V12">
        <f t="shared" si="0"/>
        <v>7.0999999999999979</v>
      </c>
    </row>
    <row r="13" spans="1:22">
      <c r="B13">
        <v>29279</v>
      </c>
      <c r="G13">
        <v>21951</v>
      </c>
      <c r="L13">
        <v>42251</v>
      </c>
      <c r="P13" s="82" t="s">
        <v>554</v>
      </c>
      <c r="Q13" s="101" t="s">
        <v>562</v>
      </c>
      <c r="R13" s="102"/>
      <c r="S13" s="1">
        <v>42705</v>
      </c>
      <c r="T13">
        <v>9.1999999999999993</v>
      </c>
      <c r="U13">
        <v>16.3</v>
      </c>
      <c r="V13">
        <f t="shared" si="0"/>
        <v>7.1000000000000014</v>
      </c>
    </row>
    <row r="14" spans="1:22">
      <c r="B14">
        <v>29279</v>
      </c>
      <c r="G14">
        <v>21951</v>
      </c>
      <c r="L14">
        <v>42251</v>
      </c>
      <c r="P14" s="82" t="s">
        <v>555</v>
      </c>
      <c r="Q14" s="101" t="s">
        <v>562</v>
      </c>
      <c r="R14" s="102"/>
    </row>
    <row r="15" spans="1:22">
      <c r="B15">
        <v>30458</v>
      </c>
      <c r="G15">
        <v>21951</v>
      </c>
      <c r="L15">
        <v>42251</v>
      </c>
      <c r="P15" s="82" t="s">
        <v>556</v>
      </c>
      <c r="Q15" s="101"/>
      <c r="R15" s="102" t="s">
        <v>557</v>
      </c>
    </row>
    <row r="16" spans="1:22">
      <c r="B16">
        <v>30458</v>
      </c>
      <c r="G16">
        <v>21951</v>
      </c>
      <c r="L16">
        <v>42251</v>
      </c>
      <c r="P16" s="82" t="s">
        <v>558</v>
      </c>
      <c r="Q16" s="103" t="s">
        <v>561</v>
      </c>
      <c r="R16" s="102"/>
    </row>
    <row r="17" spans="2:19">
      <c r="B17">
        <v>30458</v>
      </c>
      <c r="G17">
        <v>21951</v>
      </c>
      <c r="L17">
        <v>42251</v>
      </c>
      <c r="P17" s="82" t="s">
        <v>559</v>
      </c>
      <c r="Q17" s="101"/>
      <c r="R17" s="102" t="s">
        <v>566</v>
      </c>
    </row>
    <row r="18" spans="2:19">
      <c r="B18">
        <v>30458</v>
      </c>
      <c r="G18">
        <v>21951</v>
      </c>
      <c r="L18">
        <v>42251</v>
      </c>
      <c r="P18" s="82" t="s">
        <v>560</v>
      </c>
      <c r="Q18" s="103" t="s">
        <v>561</v>
      </c>
      <c r="R18" s="102"/>
    </row>
    <row r="19" spans="2:19">
      <c r="B19">
        <v>30458</v>
      </c>
      <c r="G19">
        <v>21951</v>
      </c>
      <c r="L19">
        <v>42251</v>
      </c>
      <c r="P19" s="102"/>
      <c r="Q19" s="101"/>
      <c r="R19" s="102"/>
    </row>
    <row r="20" spans="2:19" ht="17">
      <c r="B20">
        <v>30458</v>
      </c>
      <c r="G20">
        <v>21951</v>
      </c>
      <c r="L20">
        <v>42251</v>
      </c>
      <c r="P20" s="97"/>
      <c r="Q20" s="98"/>
      <c r="R20" s="97"/>
    </row>
    <row r="21" spans="2:19" ht="17">
      <c r="B21">
        <v>30458</v>
      </c>
      <c r="G21">
        <v>21951</v>
      </c>
      <c r="M21">
        <f>SUM(L9:L20)</f>
        <v>507012</v>
      </c>
      <c r="P21" s="97"/>
      <c r="Q21" s="98"/>
      <c r="R21" s="97"/>
      <c r="S21" s="79"/>
    </row>
    <row r="22" spans="2:19" ht="17">
      <c r="B22">
        <v>30458</v>
      </c>
      <c r="G22">
        <v>21951</v>
      </c>
      <c r="L22">
        <v>42251</v>
      </c>
      <c r="P22" s="97"/>
      <c r="Q22" s="98"/>
      <c r="R22" s="97"/>
      <c r="S22" s="79"/>
    </row>
    <row r="23" spans="2:19" ht="17">
      <c r="B23">
        <v>30458</v>
      </c>
      <c r="G23">
        <v>21951</v>
      </c>
      <c r="L23">
        <v>40200</v>
      </c>
      <c r="P23" s="97"/>
      <c r="Q23" s="98"/>
      <c r="R23" s="97"/>
      <c r="S23" s="79"/>
    </row>
    <row r="24" spans="2:19" ht="17">
      <c r="C24">
        <f>SUM(B12:B23)</f>
        <v>361959</v>
      </c>
      <c r="H24">
        <f>SUM(G13:G23)</f>
        <v>241461</v>
      </c>
      <c r="L24">
        <v>47</v>
      </c>
      <c r="P24" s="97"/>
      <c r="Q24" s="98"/>
      <c r="R24" s="97"/>
      <c r="S24" s="79"/>
    </row>
    <row r="25" spans="2:19" ht="17">
      <c r="B25">
        <v>30458</v>
      </c>
      <c r="G25">
        <v>5000</v>
      </c>
      <c r="L25">
        <v>200000</v>
      </c>
      <c r="P25" s="97"/>
      <c r="Q25" s="98"/>
      <c r="R25" s="97"/>
    </row>
    <row r="26" spans="2:19" ht="17">
      <c r="B26">
        <v>30458</v>
      </c>
      <c r="G26">
        <v>5000</v>
      </c>
      <c r="L26">
        <v>38525</v>
      </c>
      <c r="P26" s="97"/>
      <c r="Q26" s="98"/>
    </row>
    <row r="27" spans="2:19">
      <c r="B27">
        <v>30458</v>
      </c>
      <c r="G27">
        <v>21951</v>
      </c>
      <c r="L27">
        <v>38525</v>
      </c>
    </row>
    <row r="28" spans="2:19">
      <c r="B28">
        <v>30458</v>
      </c>
      <c r="G28">
        <v>21951</v>
      </c>
      <c r="L28">
        <v>38525</v>
      </c>
    </row>
    <row r="29" spans="2:19">
      <c r="B29">
        <v>30458</v>
      </c>
      <c r="G29">
        <v>3826</v>
      </c>
      <c r="L29">
        <v>38525</v>
      </c>
    </row>
    <row r="30" spans="2:19">
      <c r="B30">
        <v>30458</v>
      </c>
      <c r="G30">
        <v>21951</v>
      </c>
      <c r="L30">
        <v>38525</v>
      </c>
    </row>
    <row r="31" spans="2:19">
      <c r="B31">
        <v>30458</v>
      </c>
      <c r="G31">
        <v>21951</v>
      </c>
      <c r="L31">
        <v>38525</v>
      </c>
    </row>
    <row r="32" spans="2:19">
      <c r="B32">
        <v>30458</v>
      </c>
      <c r="G32">
        <v>21951</v>
      </c>
      <c r="L32">
        <v>38525</v>
      </c>
    </row>
    <row r="33" spans="2:13">
      <c r="B33">
        <v>30458</v>
      </c>
      <c r="G33">
        <v>21951</v>
      </c>
      <c r="L33">
        <v>38525</v>
      </c>
    </row>
    <row r="34" spans="2:13">
      <c r="B34">
        <v>30458</v>
      </c>
      <c r="G34">
        <v>21951</v>
      </c>
      <c r="L34">
        <v>38525</v>
      </c>
    </row>
    <row r="35" spans="2:13">
      <c r="B35">
        <v>30458</v>
      </c>
      <c r="G35">
        <v>21951</v>
      </c>
      <c r="L35">
        <v>38525</v>
      </c>
    </row>
    <row r="36" spans="2:13">
      <c r="B36">
        <v>30458</v>
      </c>
      <c r="H36">
        <f>SUM(G25:G35)</f>
        <v>189434</v>
      </c>
      <c r="M36">
        <f>SUM(L22:L35)</f>
        <v>667748</v>
      </c>
    </row>
    <row r="37" spans="2:13">
      <c r="C37">
        <f>SUM(B25:B36)</f>
        <v>365496</v>
      </c>
      <c r="G37">
        <v>21951</v>
      </c>
      <c r="L37">
        <v>38525</v>
      </c>
    </row>
    <row r="38" spans="2:13">
      <c r="B38">
        <v>30458</v>
      </c>
      <c r="G38">
        <v>21951</v>
      </c>
      <c r="L38">
        <v>38525</v>
      </c>
    </row>
    <row r="39" spans="2:13">
      <c r="B39">
        <v>30458</v>
      </c>
      <c r="G39">
        <v>21951</v>
      </c>
      <c r="L39">
        <v>38525</v>
      </c>
    </row>
    <row r="40" spans="2:13">
      <c r="B40">
        <v>30458</v>
      </c>
      <c r="G40">
        <v>21951</v>
      </c>
      <c r="L40">
        <v>38525</v>
      </c>
    </row>
    <row r="41" spans="2:13">
      <c r="B41">
        <v>30698</v>
      </c>
      <c r="G41">
        <v>21951</v>
      </c>
      <c r="L41">
        <v>38525</v>
      </c>
    </row>
    <row r="42" spans="2:13">
      <c r="B42">
        <v>30698</v>
      </c>
      <c r="G42">
        <v>21951</v>
      </c>
      <c r="L42">
        <v>38525</v>
      </c>
    </row>
    <row r="43" spans="2:13">
      <c r="B43">
        <v>30698</v>
      </c>
      <c r="G43">
        <v>21951</v>
      </c>
      <c r="L43">
        <v>38525</v>
      </c>
    </row>
    <row r="44" spans="2:13">
      <c r="B44">
        <v>30698</v>
      </c>
      <c r="G44">
        <v>21951</v>
      </c>
      <c r="L44">
        <v>38525</v>
      </c>
    </row>
    <row r="45" spans="2:13">
      <c r="B45">
        <v>30698</v>
      </c>
      <c r="G45">
        <v>21951</v>
      </c>
      <c r="L45">
        <v>38525</v>
      </c>
    </row>
    <row r="46" spans="2:13">
      <c r="B46">
        <v>10474.280000000001</v>
      </c>
      <c r="G46">
        <v>21951</v>
      </c>
      <c r="L46">
        <v>38525</v>
      </c>
    </row>
    <row r="47" spans="2:13">
      <c r="B47">
        <v>30698</v>
      </c>
      <c r="G47">
        <v>21951</v>
      </c>
      <c r="L47">
        <v>38525</v>
      </c>
    </row>
    <row r="48" spans="2:13">
      <c r="C48">
        <f>SUM(B38:B47)</f>
        <v>286036.28000000003</v>
      </c>
      <c r="H48">
        <f>SUM(G37:G47)</f>
        <v>241461</v>
      </c>
      <c r="L48">
        <v>38525</v>
      </c>
    </row>
    <row r="49" spans="2:13">
      <c r="B49">
        <v>30698</v>
      </c>
      <c r="G49">
        <v>21951</v>
      </c>
      <c r="M49">
        <f>SUM(L37:L48)</f>
        <v>462300</v>
      </c>
    </row>
    <row r="50" spans="2:13">
      <c r="B50">
        <v>30698</v>
      </c>
      <c r="F50" s="1">
        <v>42917</v>
      </c>
      <c r="G50">
        <v>664821</v>
      </c>
      <c r="L50">
        <v>38525</v>
      </c>
    </row>
    <row r="51" spans="2:13">
      <c r="B51">
        <v>30698</v>
      </c>
      <c r="H51">
        <f>SUM(G49:G50)</f>
        <v>686772</v>
      </c>
      <c r="L51">
        <v>38525</v>
      </c>
    </row>
    <row r="52" spans="2:13">
      <c r="B52">
        <v>30698</v>
      </c>
      <c r="L52">
        <v>38525</v>
      </c>
    </row>
    <row r="53" spans="2:13">
      <c r="B53">
        <v>30698</v>
      </c>
      <c r="L53">
        <v>38525</v>
      </c>
    </row>
    <row r="54" spans="2:13">
      <c r="B54">
        <v>30698</v>
      </c>
      <c r="L54">
        <v>38525</v>
      </c>
    </row>
    <row r="55" spans="2:13">
      <c r="B55">
        <v>30698</v>
      </c>
      <c r="M55">
        <f>SUM(L50:L54)</f>
        <v>192625</v>
      </c>
    </row>
    <row r="56" spans="2:13">
      <c r="B56">
        <v>30698</v>
      </c>
    </row>
    <row r="57" spans="2:13">
      <c r="B57">
        <v>30698</v>
      </c>
    </row>
    <row r="58" spans="2:13">
      <c r="B58">
        <v>30698</v>
      </c>
    </row>
    <row r="59" spans="2:13">
      <c r="B59">
        <v>30698</v>
      </c>
    </row>
    <row r="60" spans="2:13">
      <c r="B60">
        <v>30698</v>
      </c>
    </row>
    <row r="61" spans="2:13">
      <c r="C61">
        <f>SUM(B49:B60)</f>
        <v>368376</v>
      </c>
    </row>
    <row r="62" spans="2:13">
      <c r="B62">
        <v>30698</v>
      </c>
    </row>
    <row r="63" spans="2:13">
      <c r="B63">
        <v>30698</v>
      </c>
    </row>
    <row r="64" spans="2:13">
      <c r="B64">
        <v>30698</v>
      </c>
    </row>
    <row r="65" spans="2:3">
      <c r="B65">
        <v>30698</v>
      </c>
    </row>
    <row r="66" spans="2:3">
      <c r="B66">
        <v>30698</v>
      </c>
    </row>
    <row r="67" spans="2:3">
      <c r="B67">
        <v>30698</v>
      </c>
    </row>
    <row r="68" spans="2:3">
      <c r="B68">
        <v>30698</v>
      </c>
    </row>
    <row r="69" spans="2:3">
      <c r="B69">
        <v>30698</v>
      </c>
    </row>
    <row r="70" spans="2:3">
      <c r="B70">
        <v>30698</v>
      </c>
    </row>
    <row r="71" spans="2:3">
      <c r="B71">
        <v>30698</v>
      </c>
    </row>
    <row r="72" spans="2:3">
      <c r="B72">
        <v>30698</v>
      </c>
    </row>
    <row r="73" spans="2:3">
      <c r="C73">
        <f>SUM(B62:B72)</f>
        <v>337678</v>
      </c>
    </row>
    <row r="74" spans="2:3">
      <c r="B74">
        <v>30698</v>
      </c>
    </row>
    <row r="75" spans="2:3">
      <c r="B75">
        <v>30698</v>
      </c>
    </row>
    <row r="76" spans="2:3">
      <c r="B76">
        <v>30698</v>
      </c>
    </row>
    <row r="77" spans="2:3">
      <c r="B77">
        <v>30698</v>
      </c>
    </row>
    <row r="78" spans="2:3">
      <c r="B78">
        <v>30698</v>
      </c>
    </row>
    <row r="79" spans="2:3">
      <c r="B79">
        <v>30698</v>
      </c>
    </row>
    <row r="80" spans="2:3">
      <c r="B80">
        <v>30698</v>
      </c>
    </row>
    <row r="81" spans="2:3">
      <c r="B81">
        <v>30698</v>
      </c>
    </row>
    <row r="82" spans="2:3">
      <c r="B82">
        <v>30698</v>
      </c>
    </row>
    <row r="83" spans="2:3">
      <c r="B83">
        <v>30698</v>
      </c>
    </row>
    <row r="84" spans="2:3">
      <c r="B84">
        <v>30698</v>
      </c>
    </row>
    <row r="85" spans="2:3">
      <c r="B85">
        <v>30698</v>
      </c>
    </row>
    <row r="86" spans="2:3">
      <c r="C86">
        <f>SUM(B74:B85)</f>
        <v>368376</v>
      </c>
    </row>
    <row r="87" spans="2:3">
      <c r="B87">
        <v>30698</v>
      </c>
    </row>
    <row r="88" spans="2:3">
      <c r="B88">
        <v>30698</v>
      </c>
    </row>
    <row r="89" spans="2:3">
      <c r="B89">
        <v>30698</v>
      </c>
    </row>
    <row r="90" spans="2:3">
      <c r="B90">
        <v>30698</v>
      </c>
    </row>
    <row r="91" spans="2:3">
      <c r="B91">
        <v>30698</v>
      </c>
    </row>
    <row r="92" spans="2:3">
      <c r="B92">
        <v>30698</v>
      </c>
    </row>
    <row r="93" spans="2:3">
      <c r="B93">
        <v>30698</v>
      </c>
    </row>
    <row r="94" spans="2:3">
      <c r="B94">
        <v>30698</v>
      </c>
    </row>
    <row r="95" spans="2:3">
      <c r="B95">
        <v>30698</v>
      </c>
    </row>
    <row r="96" spans="2:3">
      <c r="B96">
        <v>30698</v>
      </c>
    </row>
    <row r="97" spans="1:3">
      <c r="C97">
        <f>SUM(B87:B96)</f>
        <v>306980</v>
      </c>
    </row>
    <row r="98" spans="1:3">
      <c r="B98">
        <v>30698</v>
      </c>
    </row>
    <row r="99" spans="1:3">
      <c r="B99">
        <v>30698</v>
      </c>
    </row>
    <row r="100" spans="1:3">
      <c r="B100">
        <v>30698</v>
      </c>
    </row>
    <row r="101" spans="1:3">
      <c r="B101">
        <v>30698</v>
      </c>
    </row>
    <row r="102" spans="1:3">
      <c r="B102">
        <v>30698</v>
      </c>
    </row>
    <row r="103" spans="1:3">
      <c r="B103">
        <v>30698</v>
      </c>
    </row>
    <row r="104" spans="1:3">
      <c r="B104">
        <v>30698</v>
      </c>
    </row>
    <row r="105" spans="1:3">
      <c r="B105">
        <v>30698</v>
      </c>
    </row>
    <row r="106" spans="1:3">
      <c r="B106">
        <v>30698</v>
      </c>
    </row>
    <row r="107" spans="1:3">
      <c r="A107" s="1">
        <v>43288</v>
      </c>
      <c r="B107">
        <v>713588</v>
      </c>
    </row>
    <row r="108" spans="1:3">
      <c r="C108">
        <f>SUM(B98:B107)</f>
        <v>989870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4"/>
  <sheetViews>
    <sheetView workbookViewId="0"/>
  </sheetViews>
  <sheetFormatPr baseColWidth="10" defaultColWidth="8.83203125" defaultRowHeight="15"/>
  <cols>
    <col min="1" max="1" width="9.83203125" bestFit="1" customWidth="1"/>
    <col min="3" max="3" width="12" bestFit="1" customWidth="1"/>
    <col min="4" max="4" width="28.6640625" customWidth="1"/>
    <col min="10" max="10" width="9.83203125" bestFit="1" customWidth="1"/>
  </cols>
  <sheetData>
    <row r="1" spans="1:8">
      <c r="A1" s="66" t="s">
        <v>3</v>
      </c>
      <c r="B1" s="66" t="s">
        <v>4</v>
      </c>
      <c r="C1" s="66" t="s">
        <v>302</v>
      </c>
      <c r="D1" s="66" t="s">
        <v>177</v>
      </c>
      <c r="G1" s="51" t="s">
        <v>237</v>
      </c>
      <c r="H1" s="13">
        <f>SUM(B2:B132)</f>
        <v>-3022.4300000000039</v>
      </c>
    </row>
    <row r="2" spans="1:8">
      <c r="A2" s="1">
        <v>42271</v>
      </c>
      <c r="B2">
        <v>-30000</v>
      </c>
      <c r="C2" t="s">
        <v>303</v>
      </c>
    </row>
    <row r="3" spans="1:8">
      <c r="A3" s="1">
        <v>42276</v>
      </c>
      <c r="B3">
        <v>-2364.4499999999998</v>
      </c>
    </row>
    <row r="4" spans="1:8">
      <c r="A4" s="1">
        <v>42276</v>
      </c>
      <c r="B4">
        <v>-314.11</v>
      </c>
    </row>
    <row r="5" spans="1:8">
      <c r="A5" s="1">
        <v>42276</v>
      </c>
      <c r="B5">
        <v>30000</v>
      </c>
      <c r="C5" t="s">
        <v>304</v>
      </c>
    </row>
    <row r="6" spans="1:8">
      <c r="A6" s="1">
        <v>42306</v>
      </c>
      <c r="B6">
        <v>-2379.17</v>
      </c>
    </row>
    <row r="7" spans="1:8">
      <c r="A7" s="1">
        <v>42306</v>
      </c>
      <c r="B7">
        <v>-299.39</v>
      </c>
    </row>
    <row r="8" spans="1:8">
      <c r="A8" s="1">
        <v>42333</v>
      </c>
      <c r="B8">
        <v>5000</v>
      </c>
      <c r="C8" t="s">
        <v>306</v>
      </c>
    </row>
    <row r="9" spans="1:8">
      <c r="A9" s="1">
        <v>42337</v>
      </c>
      <c r="B9">
        <v>-2404.9499999999998</v>
      </c>
    </row>
    <row r="10" spans="1:8">
      <c r="A10" s="1">
        <v>42337</v>
      </c>
      <c r="B10">
        <v>-39.67</v>
      </c>
    </row>
    <row r="11" spans="1:8">
      <c r="A11" s="1">
        <v>42337</v>
      </c>
      <c r="B11">
        <v>-273.61</v>
      </c>
    </row>
    <row r="12" spans="1:8">
      <c r="A12" s="1">
        <v>42345</v>
      </c>
      <c r="B12">
        <v>2160</v>
      </c>
      <c r="C12" t="s">
        <v>305</v>
      </c>
    </row>
    <row r="13" spans="1:8">
      <c r="A13" s="1">
        <v>42367</v>
      </c>
      <c r="B13">
        <v>-247.56</v>
      </c>
    </row>
    <row r="14" spans="1:8">
      <c r="A14" s="1">
        <v>42367</v>
      </c>
      <c r="B14">
        <v>-2431</v>
      </c>
    </row>
    <row r="15" spans="1:8">
      <c r="A15" s="1">
        <v>42367</v>
      </c>
      <c r="B15">
        <v>-35.9</v>
      </c>
    </row>
    <row r="16" spans="1:8">
      <c r="A16" s="1">
        <v>42398</v>
      </c>
      <c r="B16">
        <v>-221.22</v>
      </c>
    </row>
    <row r="17" spans="1:3">
      <c r="A17" s="1">
        <v>42398</v>
      </c>
      <c r="B17">
        <v>-2457.33</v>
      </c>
    </row>
    <row r="18" spans="1:3">
      <c r="A18" s="1">
        <v>42398</v>
      </c>
      <c r="B18">
        <v>-32.08</v>
      </c>
    </row>
    <row r="19" spans="1:3">
      <c r="A19" s="1">
        <v>42429</v>
      </c>
      <c r="B19">
        <v>-28.22</v>
      </c>
    </row>
    <row r="20" spans="1:3">
      <c r="A20" s="1">
        <v>42429</v>
      </c>
      <c r="B20">
        <v>-2483.96</v>
      </c>
    </row>
    <row r="21" spans="1:3">
      <c r="A21" s="1">
        <v>42429</v>
      </c>
      <c r="B21">
        <v>-194.6</v>
      </c>
    </row>
    <row r="22" spans="1:3">
      <c r="A22" s="1">
        <v>42458</v>
      </c>
      <c r="B22">
        <v>-167.69</v>
      </c>
    </row>
    <row r="23" spans="1:3">
      <c r="A23" s="1">
        <v>42458</v>
      </c>
      <c r="B23">
        <v>-24.32</v>
      </c>
    </row>
    <row r="24" spans="1:3">
      <c r="A24" s="1">
        <v>42458</v>
      </c>
      <c r="B24">
        <v>-2510.87</v>
      </c>
    </row>
    <row r="25" spans="1:3">
      <c r="A25" s="1">
        <v>42521</v>
      </c>
      <c r="B25">
        <v>4000</v>
      </c>
      <c r="C25" t="s">
        <v>307</v>
      </c>
    </row>
    <row r="26" spans="1:3">
      <c r="A26" s="1">
        <v>42529</v>
      </c>
      <c r="B26">
        <v>-140.49</v>
      </c>
    </row>
    <row r="27" spans="1:3">
      <c r="A27" s="1">
        <v>42529</v>
      </c>
      <c r="B27">
        <v>-2538.0700000000002</v>
      </c>
    </row>
    <row r="28" spans="1:3">
      <c r="A28" s="1">
        <v>42529</v>
      </c>
      <c r="B28">
        <v>-20.37</v>
      </c>
    </row>
    <row r="29" spans="1:3">
      <c r="A29" s="1">
        <v>42559</v>
      </c>
      <c r="B29">
        <v>-2565.56</v>
      </c>
    </row>
    <row r="30" spans="1:3">
      <c r="A30" s="1">
        <v>42559</v>
      </c>
      <c r="B30">
        <v>-16.38</v>
      </c>
    </row>
    <row r="31" spans="1:3">
      <c r="A31" s="1">
        <v>42559</v>
      </c>
      <c r="B31">
        <v>-112.99</v>
      </c>
    </row>
    <row r="32" spans="1:3">
      <c r="A32" s="1">
        <v>42578</v>
      </c>
      <c r="B32">
        <v>3000</v>
      </c>
      <c r="C32" t="s">
        <v>307</v>
      </c>
    </row>
    <row r="33" spans="1:4">
      <c r="A33" s="1">
        <v>42590</v>
      </c>
      <c r="B33" s="11">
        <v>-2593.36</v>
      </c>
    </row>
    <row r="34" spans="1:4">
      <c r="A34" s="1">
        <v>42590</v>
      </c>
      <c r="B34">
        <v>-85.2</v>
      </c>
    </row>
    <row r="35" spans="1:4">
      <c r="A35" s="1">
        <v>42590</v>
      </c>
      <c r="B35">
        <v>-12.78</v>
      </c>
    </row>
    <row r="36" spans="1:4">
      <c r="A36" s="1">
        <v>42621</v>
      </c>
      <c r="B36">
        <v>-57.11</v>
      </c>
    </row>
    <row r="37" spans="1:4">
      <c r="A37" s="1">
        <v>42621</v>
      </c>
      <c r="B37">
        <v>-2621.45</v>
      </c>
    </row>
    <row r="38" spans="1:4">
      <c r="A38" s="1">
        <v>42621</v>
      </c>
      <c r="B38">
        <v>-8.57</v>
      </c>
      <c r="D38" s="67">
        <v>2678.47</v>
      </c>
    </row>
    <row r="39" spans="1:4">
      <c r="A39" s="1">
        <v>42772</v>
      </c>
      <c r="B39">
        <v>3000</v>
      </c>
    </row>
    <row r="40" spans="1:4">
      <c r="A40" s="1">
        <v>42797</v>
      </c>
      <c r="B40">
        <v>3000</v>
      </c>
    </row>
    <row r="41" spans="1:4">
      <c r="A41" s="1">
        <v>42892</v>
      </c>
      <c r="B41">
        <v>3500</v>
      </c>
    </row>
    <row r="42" spans="1:4">
      <c r="A42" s="1">
        <v>42926</v>
      </c>
      <c r="B42">
        <v>3000</v>
      </c>
    </row>
    <row r="43" spans="1:4">
      <c r="A43" s="1"/>
    </row>
    <row r="44" spans="1:4">
      <c r="A44" s="1"/>
    </row>
  </sheetData>
  <pageMargins left="0.7" right="0.7" top="0.75" bottom="0.75" header="0.3" footer="0.3"/>
  <pageSetup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8"/>
  <sheetViews>
    <sheetView workbookViewId="0">
      <selection activeCell="B1" sqref="B1:B8"/>
    </sheetView>
  </sheetViews>
  <sheetFormatPr baseColWidth="10" defaultColWidth="8.83203125" defaultRowHeight="15"/>
  <cols>
    <col min="1" max="1" width="17.1640625" bestFit="1" customWidth="1"/>
    <col min="2" max="2" width="9.6640625" bestFit="1" customWidth="1"/>
    <col min="5" max="6" width="20" customWidth="1"/>
    <col min="7" max="7" width="22.6640625" customWidth="1"/>
    <col min="8" max="8" width="15.83203125" customWidth="1"/>
  </cols>
  <sheetData>
    <row r="1" spans="1:8" ht="17" thickTop="1" thickBot="1">
      <c r="A1" t="s">
        <v>208</v>
      </c>
      <c r="B1">
        <v>-350</v>
      </c>
      <c r="E1" s="15" t="s">
        <v>3</v>
      </c>
      <c r="F1" s="15" t="s">
        <v>4</v>
      </c>
      <c r="G1" s="15" t="s">
        <v>215</v>
      </c>
      <c r="H1" s="15" t="s">
        <v>216</v>
      </c>
    </row>
    <row r="2" spans="1:8" ht="16" thickTop="1">
      <c r="A2" t="s">
        <v>208</v>
      </c>
      <c r="B2">
        <v>-562</v>
      </c>
      <c r="F2">
        <v>-21123</v>
      </c>
      <c r="G2" t="s">
        <v>44</v>
      </c>
      <c r="H2" t="s">
        <v>217</v>
      </c>
    </row>
    <row r="3" spans="1:8">
      <c r="A3" t="s">
        <v>209</v>
      </c>
      <c r="B3">
        <v>-3000</v>
      </c>
      <c r="F3">
        <v>1200000</v>
      </c>
      <c r="G3" t="s">
        <v>43</v>
      </c>
      <c r="H3" t="s">
        <v>213</v>
      </c>
    </row>
    <row r="4" spans="1:8">
      <c r="A4" t="s">
        <v>210</v>
      </c>
      <c r="B4">
        <v>-9911</v>
      </c>
      <c r="F4">
        <v>-1190000</v>
      </c>
      <c r="G4" t="s">
        <v>44</v>
      </c>
      <c r="H4" t="s">
        <v>214</v>
      </c>
    </row>
    <row r="5" spans="1:8">
      <c r="A5" t="s">
        <v>211</v>
      </c>
      <c r="B5">
        <v>-7300</v>
      </c>
      <c r="E5" s="1">
        <v>41744</v>
      </c>
      <c r="F5">
        <v>-21951</v>
      </c>
      <c r="G5" t="s">
        <v>44</v>
      </c>
      <c r="H5" t="s">
        <v>233</v>
      </c>
    </row>
    <row r="6" spans="1:8">
      <c r="A6" t="s">
        <v>212</v>
      </c>
      <c r="B6">
        <f>SUM(B1:B5)</f>
        <v>-21123</v>
      </c>
      <c r="E6" s="1">
        <v>41774</v>
      </c>
      <c r="F6">
        <v>-21951</v>
      </c>
      <c r="G6" t="s">
        <v>44</v>
      </c>
      <c r="H6" t="s">
        <v>233</v>
      </c>
    </row>
    <row r="7" spans="1:8">
      <c r="A7" t="s">
        <v>213</v>
      </c>
      <c r="B7">
        <v>1200000</v>
      </c>
      <c r="E7" s="1">
        <v>41805</v>
      </c>
      <c r="F7">
        <v>-21951</v>
      </c>
      <c r="G7" t="s">
        <v>44</v>
      </c>
      <c r="H7" t="s">
        <v>233</v>
      </c>
    </row>
    <row r="8" spans="1:8">
      <c r="A8" t="s">
        <v>214</v>
      </c>
      <c r="B8">
        <v>-1190000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4"/>
  <sheetViews>
    <sheetView workbookViewId="0">
      <selection activeCell="F25" sqref="F25"/>
    </sheetView>
  </sheetViews>
  <sheetFormatPr baseColWidth="10" defaultColWidth="8.83203125" defaultRowHeight="15"/>
  <cols>
    <col min="1" max="1" width="12.33203125" customWidth="1"/>
    <col min="8" max="8" width="9.83203125" bestFit="1" customWidth="1"/>
  </cols>
  <sheetData>
    <row r="1" spans="1:9">
      <c r="A1" s="1">
        <v>41729</v>
      </c>
      <c r="B1">
        <v>7500</v>
      </c>
      <c r="C1" t="s">
        <v>228</v>
      </c>
      <c r="G1">
        <v>1</v>
      </c>
      <c r="H1" s="1">
        <v>42017</v>
      </c>
      <c r="I1">
        <v>6950</v>
      </c>
    </row>
    <row r="2" spans="1:9">
      <c r="A2" s="1">
        <v>41765</v>
      </c>
      <c r="B2">
        <v>7500</v>
      </c>
      <c r="C2" t="s">
        <v>228</v>
      </c>
      <c r="G2">
        <v>2</v>
      </c>
      <c r="H2" s="1">
        <v>42051</v>
      </c>
      <c r="I2">
        <v>7000</v>
      </c>
    </row>
    <row r="3" spans="1:9">
      <c r="A3" s="1">
        <v>41796</v>
      </c>
      <c r="B3">
        <v>7500</v>
      </c>
      <c r="C3" t="s">
        <v>228</v>
      </c>
      <c r="G3">
        <v>3</v>
      </c>
      <c r="H3" s="1">
        <v>42071</v>
      </c>
      <c r="I3">
        <v>7300</v>
      </c>
    </row>
    <row r="4" spans="1:9">
      <c r="A4" s="1">
        <v>41827</v>
      </c>
      <c r="B4">
        <v>7500</v>
      </c>
      <c r="C4" t="s">
        <v>228</v>
      </c>
      <c r="G4">
        <v>4</v>
      </c>
      <c r="H4" s="1">
        <v>42102</v>
      </c>
      <c r="I4">
        <v>7500</v>
      </c>
    </row>
    <row r="5" spans="1:9">
      <c r="A5" s="1">
        <v>41859</v>
      </c>
      <c r="B5">
        <v>7500</v>
      </c>
      <c r="C5" t="s">
        <v>228</v>
      </c>
      <c r="G5">
        <v>5</v>
      </c>
      <c r="H5" s="1">
        <v>42132</v>
      </c>
      <c r="I5">
        <v>7700</v>
      </c>
    </row>
    <row r="6" spans="1:9">
      <c r="A6" s="1">
        <v>41890</v>
      </c>
      <c r="B6">
        <v>7500</v>
      </c>
      <c r="C6" t="s">
        <v>228</v>
      </c>
      <c r="G6">
        <v>6</v>
      </c>
      <c r="H6" s="1">
        <v>42163</v>
      </c>
      <c r="I6">
        <v>8000</v>
      </c>
    </row>
    <row r="7" spans="1:9">
      <c r="A7" s="1">
        <v>41920</v>
      </c>
      <c r="B7">
        <v>7500</v>
      </c>
      <c r="C7" t="s">
        <v>228</v>
      </c>
      <c r="G7">
        <v>7</v>
      </c>
      <c r="H7" s="1">
        <v>42193</v>
      </c>
      <c r="I7">
        <v>8325</v>
      </c>
    </row>
    <row r="8" spans="1:9">
      <c r="A8" s="1">
        <v>41951</v>
      </c>
      <c r="B8">
        <v>7500</v>
      </c>
      <c r="C8" t="s">
        <v>228</v>
      </c>
      <c r="G8">
        <v>8</v>
      </c>
      <c r="H8" s="1">
        <v>42226</v>
      </c>
      <c r="I8">
        <v>8475</v>
      </c>
    </row>
    <row r="9" spans="1:9">
      <c r="A9" s="1">
        <v>41981</v>
      </c>
      <c r="B9">
        <v>7500</v>
      </c>
      <c r="C9" t="s">
        <v>228</v>
      </c>
      <c r="G9">
        <v>9</v>
      </c>
      <c r="H9" s="1">
        <v>42255</v>
      </c>
      <c r="I9">
        <v>8625</v>
      </c>
    </row>
    <row r="10" spans="1:9">
      <c r="A10" s="1">
        <v>42012</v>
      </c>
      <c r="B10">
        <v>7500</v>
      </c>
      <c r="C10" t="s">
        <v>228</v>
      </c>
      <c r="G10">
        <v>10</v>
      </c>
      <c r="H10" s="1">
        <v>42285</v>
      </c>
      <c r="I10">
        <v>8600</v>
      </c>
    </row>
    <row r="11" spans="1:9">
      <c r="A11" s="1">
        <v>42043</v>
      </c>
      <c r="B11">
        <v>7500</v>
      </c>
      <c r="C11" t="s">
        <v>228</v>
      </c>
      <c r="G11">
        <v>11</v>
      </c>
      <c r="H11" s="1">
        <v>42316</v>
      </c>
      <c r="I11">
        <v>8925</v>
      </c>
    </row>
    <row r="12" spans="1:9">
      <c r="A12" s="1">
        <v>42071</v>
      </c>
      <c r="B12">
        <v>7500</v>
      </c>
      <c r="C12" t="s">
        <v>228</v>
      </c>
      <c r="G12">
        <v>12</v>
      </c>
      <c r="H12" s="1">
        <v>42345</v>
      </c>
      <c r="I12">
        <v>9200</v>
      </c>
    </row>
    <row r="13" spans="1:9">
      <c r="A13" s="1">
        <v>42102</v>
      </c>
      <c r="B13">
        <v>7500</v>
      </c>
      <c r="C13" t="s">
        <v>228</v>
      </c>
      <c r="G13">
        <v>13</v>
      </c>
      <c r="H13" s="1">
        <v>42376</v>
      </c>
      <c r="I13">
        <v>9250</v>
      </c>
    </row>
    <row r="14" spans="1:9">
      <c r="A14" s="1">
        <v>42132</v>
      </c>
      <c r="B14">
        <v>7500</v>
      </c>
      <c r="C14" t="s">
        <v>228</v>
      </c>
      <c r="G14">
        <v>14</v>
      </c>
      <c r="H14" s="1">
        <v>42407</v>
      </c>
      <c r="I14">
        <v>9445</v>
      </c>
    </row>
    <row r="15" spans="1:9">
      <c r="A15" s="1">
        <v>42163</v>
      </c>
      <c r="B15">
        <v>7500</v>
      </c>
      <c r="C15" t="s">
        <v>228</v>
      </c>
      <c r="G15">
        <v>15</v>
      </c>
      <c r="H15" s="1">
        <v>42436</v>
      </c>
      <c r="I15">
        <v>9555</v>
      </c>
    </row>
    <row r="16" spans="1:9">
      <c r="A16" s="1">
        <v>42193</v>
      </c>
      <c r="B16">
        <v>7500</v>
      </c>
      <c r="C16" t="s">
        <v>228</v>
      </c>
      <c r="G16">
        <v>16</v>
      </c>
      <c r="H16" s="1">
        <v>42467</v>
      </c>
      <c r="I16">
        <v>9475</v>
      </c>
    </row>
    <row r="17" spans="1:9">
      <c r="A17" s="1">
        <v>42224</v>
      </c>
      <c r="B17">
        <v>7500</v>
      </c>
      <c r="C17" t="s">
        <v>228</v>
      </c>
      <c r="G17">
        <v>17</v>
      </c>
      <c r="H17" s="1">
        <v>42497</v>
      </c>
      <c r="I17">
        <v>9650</v>
      </c>
    </row>
    <row r="18" spans="1:9">
      <c r="A18" s="1">
        <v>42224</v>
      </c>
      <c r="B18">
        <v>7500</v>
      </c>
      <c r="C18" t="s">
        <v>228</v>
      </c>
      <c r="G18">
        <v>18</v>
      </c>
      <c r="H18" s="1">
        <v>42528</v>
      </c>
      <c r="I18">
        <v>9815</v>
      </c>
    </row>
    <row r="19" spans="1:9">
      <c r="A19" s="1">
        <v>42255</v>
      </c>
      <c r="B19">
        <v>7500</v>
      </c>
      <c r="C19" t="s">
        <v>228</v>
      </c>
      <c r="G19">
        <v>19</v>
      </c>
      <c r="H19" s="1">
        <v>42558</v>
      </c>
      <c r="I19">
        <v>9950</v>
      </c>
    </row>
    <row r="20" spans="1:9">
      <c r="A20" s="1">
        <v>42285</v>
      </c>
      <c r="B20">
        <v>7500</v>
      </c>
      <c r="C20" t="s">
        <v>228</v>
      </c>
      <c r="G20">
        <v>20</v>
      </c>
      <c r="H20" s="1">
        <v>42589</v>
      </c>
      <c r="I20">
        <v>10000</v>
      </c>
    </row>
    <row r="22" spans="1:9">
      <c r="I22">
        <f>SUM(I1:I20)</f>
        <v>173740</v>
      </c>
    </row>
    <row r="23" spans="1:9">
      <c r="I23">
        <v>190000</v>
      </c>
    </row>
    <row r="24" spans="1:9">
      <c r="I24">
        <f>I23-I22</f>
        <v>16260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81"/>
  <sheetViews>
    <sheetView tabSelected="1" zoomScale="111" workbookViewId="0">
      <selection activeCell="I34" sqref="I34"/>
    </sheetView>
  </sheetViews>
  <sheetFormatPr baseColWidth="10" defaultColWidth="8.83203125" defaultRowHeight="15"/>
  <cols>
    <col min="1" max="1" width="11.33203125" bestFit="1" customWidth="1"/>
    <col min="2" max="2" width="13.5" bestFit="1" customWidth="1"/>
    <col min="3" max="3" width="17" bestFit="1" customWidth="1"/>
    <col min="4" max="4" width="15.6640625" bestFit="1" customWidth="1"/>
    <col min="5" max="5" width="21.5" bestFit="1" customWidth="1"/>
    <col min="6" max="6" width="17" bestFit="1" customWidth="1"/>
    <col min="7" max="8" width="15.1640625" customWidth="1"/>
    <col min="9" max="9" width="11.1640625" style="7" bestFit="1" customWidth="1"/>
    <col min="10" max="10" width="9.5" bestFit="1" customWidth="1"/>
    <col min="11" max="11" width="14" bestFit="1" customWidth="1"/>
    <col min="12" max="12" width="17" bestFit="1" customWidth="1"/>
    <col min="13" max="13" width="15.6640625" bestFit="1" customWidth="1"/>
    <col min="14" max="14" width="21.6640625" bestFit="1" customWidth="1"/>
    <col min="15" max="15" width="22.5" customWidth="1"/>
    <col min="16" max="16" width="29.33203125" bestFit="1" customWidth="1"/>
    <col min="17" max="17" width="10.6640625" bestFit="1" customWidth="1"/>
    <col min="18" max="18" width="12" bestFit="1" customWidth="1"/>
    <col min="19" max="19" width="17.6640625" bestFit="1" customWidth="1"/>
  </cols>
  <sheetData>
    <row r="1" spans="1:24">
      <c r="A1" s="71" t="s">
        <v>388</v>
      </c>
      <c r="B1" s="71" t="s">
        <v>389</v>
      </c>
      <c r="C1" s="71" t="s">
        <v>3</v>
      </c>
      <c r="D1" s="71" t="s">
        <v>390</v>
      </c>
      <c r="E1" s="71" t="s">
        <v>391</v>
      </c>
      <c r="F1" s="71" t="s">
        <v>392</v>
      </c>
      <c r="G1" s="71" t="s">
        <v>416</v>
      </c>
      <c r="H1" s="71" t="s">
        <v>439</v>
      </c>
      <c r="I1" s="72" t="s">
        <v>393</v>
      </c>
      <c r="J1" s="71" t="s">
        <v>4</v>
      </c>
      <c r="K1" s="71" t="s">
        <v>396</v>
      </c>
      <c r="L1" s="71" t="s">
        <v>18</v>
      </c>
      <c r="M1" s="71" t="s">
        <v>237</v>
      </c>
      <c r="N1" s="71" t="s">
        <v>401</v>
      </c>
      <c r="O1" s="71" t="s">
        <v>18</v>
      </c>
      <c r="R1" t="s">
        <v>397</v>
      </c>
      <c r="S1" t="s">
        <v>417</v>
      </c>
    </row>
    <row r="2" spans="1:24">
      <c r="A2">
        <v>2010</v>
      </c>
      <c r="B2" t="s">
        <v>349</v>
      </c>
      <c r="C2" s="1">
        <v>40410</v>
      </c>
      <c r="D2">
        <v>12</v>
      </c>
      <c r="E2">
        <v>35.119999999999997</v>
      </c>
      <c r="F2">
        <v>21.07</v>
      </c>
      <c r="G2">
        <v>59.6</v>
      </c>
      <c r="H2">
        <f>E2*G2*D2</f>
        <v>25117.824000000001</v>
      </c>
      <c r="I2" s="7" t="s">
        <v>394</v>
      </c>
      <c r="J2">
        <v>15050</v>
      </c>
      <c r="K2">
        <v>9955</v>
      </c>
      <c r="L2" t="s">
        <v>397</v>
      </c>
      <c r="M2">
        <f>J2+K2</f>
        <v>25005</v>
      </c>
      <c r="O2" t="s">
        <v>438</v>
      </c>
    </row>
    <row r="3" spans="1:24" ht="16">
      <c r="A3">
        <v>2012</v>
      </c>
      <c r="B3" t="s">
        <v>349</v>
      </c>
      <c r="C3" s="1">
        <v>41047</v>
      </c>
      <c r="D3">
        <v>12</v>
      </c>
      <c r="E3">
        <v>46.02</v>
      </c>
      <c r="F3">
        <v>28.94</v>
      </c>
      <c r="G3">
        <v>72.040000000000006</v>
      </c>
      <c r="H3">
        <f t="shared" ref="H3:H9" si="0">E3*G3*D3</f>
        <v>39783.369600000005</v>
      </c>
      <c r="I3" s="7" t="s">
        <v>404</v>
      </c>
      <c r="J3">
        <v>23995</v>
      </c>
      <c r="K3">
        <v>13925</v>
      </c>
      <c r="L3" t="s">
        <v>397</v>
      </c>
      <c r="M3">
        <f t="shared" ref="M3:M9" si="1">J3+K3</f>
        <v>37920</v>
      </c>
      <c r="O3" t="s">
        <v>438</v>
      </c>
      <c r="T3" s="70"/>
      <c r="U3" s="70"/>
      <c r="V3" s="70"/>
      <c r="X3" s="70"/>
    </row>
    <row r="4" spans="1:24">
      <c r="A4">
        <v>2013</v>
      </c>
      <c r="B4" t="s">
        <v>349</v>
      </c>
      <c r="C4" s="1">
        <v>41500</v>
      </c>
      <c r="D4">
        <v>12</v>
      </c>
      <c r="E4">
        <v>53.95</v>
      </c>
      <c r="G4">
        <v>85</v>
      </c>
      <c r="H4">
        <f t="shared" si="0"/>
        <v>55029</v>
      </c>
      <c r="I4" s="7" t="s">
        <v>395</v>
      </c>
      <c r="J4">
        <v>32926</v>
      </c>
      <c r="K4" s="16">
        <v>21754</v>
      </c>
      <c r="L4" t="s">
        <v>397</v>
      </c>
      <c r="M4">
        <f t="shared" si="1"/>
        <v>54680</v>
      </c>
      <c r="O4" t="s">
        <v>438</v>
      </c>
    </row>
    <row r="5" spans="1:24">
      <c r="A5">
        <v>2013</v>
      </c>
      <c r="B5" t="s">
        <v>350</v>
      </c>
      <c r="C5" s="1">
        <v>41508</v>
      </c>
      <c r="D5">
        <v>4</v>
      </c>
      <c r="E5">
        <v>56.29</v>
      </c>
      <c r="G5">
        <v>85</v>
      </c>
      <c r="H5">
        <f t="shared" si="0"/>
        <v>19138.599999999999</v>
      </c>
      <c r="I5" s="7" t="s">
        <v>395</v>
      </c>
      <c r="K5">
        <v>18958</v>
      </c>
      <c r="L5" t="s">
        <v>398</v>
      </c>
      <c r="M5">
        <f t="shared" si="1"/>
        <v>18958</v>
      </c>
    </row>
    <row r="6" spans="1:24">
      <c r="A6">
        <v>2014</v>
      </c>
      <c r="B6" t="s">
        <v>349</v>
      </c>
      <c r="C6" s="1">
        <v>41775</v>
      </c>
      <c r="D6">
        <v>12</v>
      </c>
      <c r="E6">
        <v>55.45</v>
      </c>
      <c r="F6">
        <v>33.409999999999997</v>
      </c>
      <c r="G6">
        <v>76.13</v>
      </c>
      <c r="H6">
        <f t="shared" si="0"/>
        <v>50656.901999999995</v>
      </c>
      <c r="I6" s="7" t="s">
        <v>399</v>
      </c>
      <c r="J6">
        <v>32466</v>
      </c>
      <c r="K6">
        <v>20773</v>
      </c>
      <c r="L6" t="s">
        <v>397</v>
      </c>
      <c r="M6">
        <f t="shared" si="1"/>
        <v>53239</v>
      </c>
    </row>
    <row r="7" spans="1:24">
      <c r="A7">
        <v>2015</v>
      </c>
      <c r="B7" t="s">
        <v>351</v>
      </c>
      <c r="C7" s="1">
        <v>42131</v>
      </c>
      <c r="D7">
        <v>12</v>
      </c>
      <c r="E7">
        <v>67.44</v>
      </c>
      <c r="G7">
        <v>71.94</v>
      </c>
      <c r="H7">
        <f t="shared" si="0"/>
        <v>58219.603199999998</v>
      </c>
      <c r="I7" s="7" t="s">
        <v>418</v>
      </c>
      <c r="K7">
        <v>95110</v>
      </c>
      <c r="L7" t="s">
        <v>398</v>
      </c>
      <c r="M7">
        <f t="shared" si="1"/>
        <v>95110</v>
      </c>
      <c r="N7">
        <v>37365</v>
      </c>
      <c r="O7" t="s">
        <v>419</v>
      </c>
    </row>
    <row r="8" spans="1:24">
      <c r="A8">
        <v>2016</v>
      </c>
      <c r="B8" t="s">
        <v>352</v>
      </c>
      <c r="C8" s="1">
        <v>42598</v>
      </c>
      <c r="D8">
        <v>2</v>
      </c>
      <c r="E8">
        <v>78.64</v>
      </c>
      <c r="G8">
        <v>71.08</v>
      </c>
      <c r="H8">
        <f t="shared" si="0"/>
        <v>11179.4624</v>
      </c>
      <c r="I8" s="7" t="s">
        <v>420</v>
      </c>
      <c r="K8">
        <v>23522</v>
      </c>
      <c r="L8" t="s">
        <v>398</v>
      </c>
      <c r="M8">
        <f t="shared" si="1"/>
        <v>23522</v>
      </c>
      <c r="N8">
        <v>10194</v>
      </c>
      <c r="O8" t="s">
        <v>419</v>
      </c>
      <c r="S8" t="s">
        <v>400</v>
      </c>
    </row>
    <row r="9" spans="1:24">
      <c r="A9">
        <v>2017</v>
      </c>
      <c r="B9" t="s">
        <v>353</v>
      </c>
      <c r="C9" s="1">
        <v>42861</v>
      </c>
      <c r="D9">
        <v>4</v>
      </c>
      <c r="E9">
        <v>93.45</v>
      </c>
      <c r="G9">
        <v>70.73</v>
      </c>
      <c r="H9">
        <f t="shared" si="0"/>
        <v>26438.874000000003</v>
      </c>
      <c r="I9" s="7" t="s">
        <v>421</v>
      </c>
      <c r="K9">
        <v>26377.200000000001</v>
      </c>
      <c r="L9" t="s">
        <v>398</v>
      </c>
      <c r="M9">
        <f t="shared" si="1"/>
        <v>26377.200000000001</v>
      </c>
    </row>
    <row r="10" spans="1:24">
      <c r="B10" t="s">
        <v>237</v>
      </c>
      <c r="D10">
        <f>SUM(D2:D9)</f>
        <v>70</v>
      </c>
    </row>
    <row r="12" spans="1:24">
      <c r="B12" s="71" t="s">
        <v>442</v>
      </c>
      <c r="C12" s="71" t="s">
        <v>445</v>
      </c>
      <c r="D12" s="71" t="s">
        <v>456</v>
      </c>
    </row>
    <row r="13" spans="1:24">
      <c r="A13" t="s">
        <v>441</v>
      </c>
      <c r="B13">
        <v>280</v>
      </c>
      <c r="D13">
        <v>77.400000000000006</v>
      </c>
    </row>
    <row r="14" spans="1:24">
      <c r="A14" s="71" t="s">
        <v>388</v>
      </c>
      <c r="B14" s="71" t="s">
        <v>389</v>
      </c>
      <c r="C14" s="71" t="s">
        <v>422</v>
      </c>
      <c r="D14" s="71" t="s">
        <v>423</v>
      </c>
      <c r="E14" s="71" t="s">
        <v>403</v>
      </c>
      <c r="F14" s="71" t="s">
        <v>455</v>
      </c>
      <c r="G14" s="71" t="s">
        <v>424</v>
      </c>
      <c r="H14" s="71" t="s">
        <v>440</v>
      </c>
      <c r="I14" s="71" t="s">
        <v>443</v>
      </c>
      <c r="K14" s="71" t="s">
        <v>388</v>
      </c>
      <c r="L14" s="71" t="s">
        <v>389</v>
      </c>
      <c r="M14" s="71" t="s">
        <v>435</v>
      </c>
      <c r="N14" s="71" t="s">
        <v>403</v>
      </c>
      <c r="O14" s="71" t="s">
        <v>444</v>
      </c>
    </row>
    <row r="15" spans="1:24" ht="19" customHeight="1">
      <c r="A15">
        <v>2010</v>
      </c>
      <c r="B15" t="s">
        <v>349</v>
      </c>
      <c r="C15">
        <v>35.119999999999997</v>
      </c>
      <c r="D15">
        <v>69.84</v>
      </c>
      <c r="E15">
        <v>12</v>
      </c>
      <c r="F15">
        <f>(C15+D15)*E15*$D$13</f>
        <v>97486.848000000013</v>
      </c>
      <c r="G15">
        <v>25005</v>
      </c>
      <c r="H15">
        <v>167</v>
      </c>
      <c r="I15">
        <f>$B$13/H15*G15</f>
        <v>41924.55089820359</v>
      </c>
      <c r="K15" s="1">
        <v>43266</v>
      </c>
      <c r="L15" t="s">
        <v>437</v>
      </c>
      <c r="M15">
        <v>104.96</v>
      </c>
      <c r="N15">
        <v>50</v>
      </c>
      <c r="O15">
        <f>404415 - 227 - 227</f>
        <v>403961</v>
      </c>
    </row>
    <row r="16" spans="1:24" ht="19" customHeight="1">
      <c r="A16">
        <v>2012</v>
      </c>
      <c r="B16" t="s">
        <v>349</v>
      </c>
      <c r="C16">
        <v>46.02</v>
      </c>
      <c r="D16">
        <v>58.94</v>
      </c>
      <c r="E16">
        <v>12</v>
      </c>
      <c r="F16">
        <f t="shared" ref="F16:F19" si="2">(C16+D16)*E16*$D$13</f>
        <v>97486.848000000013</v>
      </c>
      <c r="G16">
        <v>37920</v>
      </c>
      <c r="H16">
        <v>200</v>
      </c>
      <c r="I16">
        <f t="shared" ref="I16:I19" si="3">$B$13/H16*G16</f>
        <v>53088</v>
      </c>
      <c r="K16" s="76">
        <v>43580</v>
      </c>
      <c r="L16" t="s">
        <v>437</v>
      </c>
      <c r="M16">
        <v>114.22</v>
      </c>
      <c r="N16">
        <v>20</v>
      </c>
      <c r="O16">
        <v>173471.99</v>
      </c>
    </row>
    <row r="17" spans="1:21" ht="19" customHeight="1">
      <c r="A17">
        <v>2013</v>
      </c>
      <c r="B17" t="s">
        <v>349</v>
      </c>
      <c r="C17">
        <v>53.95</v>
      </c>
      <c r="D17">
        <v>51.01</v>
      </c>
      <c r="E17">
        <v>12</v>
      </c>
      <c r="F17">
        <f t="shared" si="2"/>
        <v>97486.848000000013</v>
      </c>
      <c r="G17">
        <v>54680</v>
      </c>
      <c r="H17">
        <v>220</v>
      </c>
      <c r="I17">
        <f t="shared" si="3"/>
        <v>69592.727272727265</v>
      </c>
    </row>
    <row r="18" spans="1:21" ht="19" customHeight="1">
      <c r="A18">
        <v>2013</v>
      </c>
      <c r="B18" t="s">
        <v>402</v>
      </c>
      <c r="C18">
        <v>56.29</v>
      </c>
      <c r="D18">
        <v>48.67</v>
      </c>
      <c r="E18">
        <v>4</v>
      </c>
      <c r="F18">
        <f t="shared" si="2"/>
        <v>32495.616000000005</v>
      </c>
      <c r="G18">
        <v>18958</v>
      </c>
      <c r="H18">
        <v>220</v>
      </c>
      <c r="I18">
        <f t="shared" si="3"/>
        <v>24128.363636363636</v>
      </c>
    </row>
    <row r="19" spans="1:21" ht="19" customHeight="1">
      <c r="A19">
        <v>2014</v>
      </c>
      <c r="B19" t="s">
        <v>349</v>
      </c>
      <c r="C19">
        <v>55.45</v>
      </c>
      <c r="D19">
        <v>49.51</v>
      </c>
      <c r="E19">
        <v>10</v>
      </c>
      <c r="F19">
        <f t="shared" si="2"/>
        <v>81239.040000000023</v>
      </c>
      <c r="G19">
        <f>M6*10/12</f>
        <v>44365.833333333336</v>
      </c>
      <c r="H19">
        <v>240</v>
      </c>
      <c r="I19">
        <f t="shared" si="3"/>
        <v>51760.138888888898</v>
      </c>
    </row>
    <row r="20" spans="1:21" ht="19" customHeight="1">
      <c r="E20" s="74" t="s">
        <v>430</v>
      </c>
      <c r="F20">
        <f>SUM(F15:F19)</f>
        <v>406195.20000000007</v>
      </c>
      <c r="G20">
        <f>SUM(G15:G19)</f>
        <v>180928.83333333334</v>
      </c>
      <c r="I20">
        <f>SUM(I15:I19)</f>
        <v>240493.78069618341</v>
      </c>
      <c r="K20" t="s">
        <v>3</v>
      </c>
      <c r="L20" t="s">
        <v>389</v>
      </c>
      <c r="M20" t="s">
        <v>392</v>
      </c>
      <c r="N20" t="s">
        <v>403</v>
      </c>
      <c r="O20" t="s">
        <v>449</v>
      </c>
      <c r="P20" t="s">
        <v>450</v>
      </c>
      <c r="Q20" t="s">
        <v>451</v>
      </c>
      <c r="R20" t="s">
        <v>440</v>
      </c>
      <c r="S20" t="s">
        <v>452</v>
      </c>
      <c r="T20" t="s">
        <v>453</v>
      </c>
      <c r="U20" t="s">
        <v>454</v>
      </c>
    </row>
    <row r="21" spans="1:21">
      <c r="A21" s="75"/>
      <c r="E21" s="74" t="s">
        <v>431</v>
      </c>
      <c r="G21">
        <f>404415 - 227 - 227</f>
        <v>403961</v>
      </c>
      <c r="I21"/>
      <c r="K21" s="79">
        <v>40633</v>
      </c>
      <c r="L21" t="s">
        <v>448</v>
      </c>
      <c r="M21">
        <v>373.9</v>
      </c>
      <c r="N21">
        <v>20</v>
      </c>
      <c r="O21">
        <v>186.58080000000001</v>
      </c>
      <c r="P21" s="79">
        <v>43294</v>
      </c>
      <c r="Q21">
        <v>-3746.384</v>
      </c>
      <c r="R21">
        <v>184</v>
      </c>
      <c r="S21">
        <f>M21*N21</f>
        <v>7478</v>
      </c>
      <c r="T21">
        <f>S21*B13/R21</f>
        <v>11379.565217391304</v>
      </c>
      <c r="U21">
        <f>T21-O21*N21</f>
        <v>7647.949217391304</v>
      </c>
    </row>
    <row r="22" spans="1:21">
      <c r="A22" s="75"/>
      <c r="E22" s="74" t="s">
        <v>432</v>
      </c>
      <c r="G22">
        <f>G21-G20</f>
        <v>223032.16666666666</v>
      </c>
      <c r="I22">
        <f>G21-I20</f>
        <v>163467.21930381659</v>
      </c>
    </row>
    <row r="23" spans="1:21">
      <c r="I23">
        <v>7647.949217391304</v>
      </c>
    </row>
    <row r="24" spans="1:21">
      <c r="E24" s="78" t="s">
        <v>446</v>
      </c>
      <c r="G24" s="13">
        <v>404415</v>
      </c>
      <c r="I24"/>
      <c r="M24">
        <f>M21*N21</f>
        <v>7478</v>
      </c>
      <c r="O24">
        <f>O21*N21</f>
        <v>3731.616</v>
      </c>
    </row>
    <row r="25" spans="1:21">
      <c r="E25" s="78" t="s">
        <v>447</v>
      </c>
      <c r="G25">
        <v>-227</v>
      </c>
      <c r="I25">
        <f>I22-I23</f>
        <v>155819.27008642527</v>
      </c>
    </row>
    <row r="26" spans="1:21">
      <c r="E26" s="78" t="s">
        <v>447</v>
      </c>
      <c r="G26">
        <v>-227</v>
      </c>
      <c r="I26"/>
    </row>
    <row r="27" spans="1:21">
      <c r="I27"/>
    </row>
    <row r="29" spans="1:21">
      <c r="A29" s="71" t="s">
        <v>388</v>
      </c>
      <c r="B29" s="71" t="s">
        <v>389</v>
      </c>
      <c r="C29" s="71" t="s">
        <v>422</v>
      </c>
      <c r="D29" s="71" t="s">
        <v>423</v>
      </c>
      <c r="E29" s="71" t="s">
        <v>403</v>
      </c>
      <c r="F29" s="71" t="s">
        <v>425</v>
      </c>
      <c r="G29" s="71" t="s">
        <v>426</v>
      </c>
      <c r="H29" s="71" t="s">
        <v>427</v>
      </c>
      <c r="I29"/>
    </row>
    <row r="30" spans="1:21">
      <c r="A30">
        <v>2014</v>
      </c>
      <c r="B30" t="s">
        <v>349</v>
      </c>
      <c r="C30">
        <v>55.45</v>
      </c>
      <c r="D30">
        <v>58.77</v>
      </c>
      <c r="E30">
        <v>2</v>
      </c>
      <c r="F30">
        <f>E30*D30</f>
        <v>117.54</v>
      </c>
      <c r="G30">
        <f>M6*2/12</f>
        <v>8873.1666666666661</v>
      </c>
      <c r="I30"/>
      <c r="L30">
        <v>240493.78069618341</v>
      </c>
      <c r="M30">
        <f>L30*B13/H15</f>
        <v>403223.10535887035</v>
      </c>
    </row>
    <row r="31" spans="1:21">
      <c r="A31">
        <v>2015</v>
      </c>
      <c r="B31" t="s">
        <v>428</v>
      </c>
      <c r="C31">
        <v>67.44</v>
      </c>
      <c r="D31">
        <v>46.78</v>
      </c>
      <c r="E31">
        <v>12</v>
      </c>
      <c r="F31">
        <f t="shared" ref="F31:F33" si="4">E31*D31</f>
        <v>561.36</v>
      </c>
      <c r="G31">
        <v>57458.879999999997</v>
      </c>
      <c r="I31"/>
    </row>
    <row r="32" spans="1:21">
      <c r="A32">
        <v>2016</v>
      </c>
      <c r="B32" t="s">
        <v>352</v>
      </c>
      <c r="C32">
        <v>78.64</v>
      </c>
      <c r="D32">
        <v>35.58</v>
      </c>
      <c r="E32">
        <v>2</v>
      </c>
      <c r="F32">
        <f t="shared" si="4"/>
        <v>71.16</v>
      </c>
      <c r="G32">
        <v>23522</v>
      </c>
      <c r="I32"/>
      <c r="L32">
        <f>F20-G24</f>
        <v>1780.2000000000698</v>
      </c>
    </row>
    <row r="33" spans="1:9">
      <c r="A33">
        <v>2017</v>
      </c>
      <c r="B33" t="s">
        <v>353</v>
      </c>
      <c r="C33">
        <v>93.45</v>
      </c>
      <c r="D33">
        <v>20.77</v>
      </c>
      <c r="E33">
        <v>4</v>
      </c>
      <c r="F33">
        <f t="shared" si="4"/>
        <v>83.08</v>
      </c>
      <c r="G33">
        <v>26377.200000000001</v>
      </c>
      <c r="I33"/>
    </row>
    <row r="34" spans="1:9">
      <c r="E34" s="74" t="s">
        <v>429</v>
      </c>
      <c r="F34">
        <f>SUM(F30:F33)</f>
        <v>833.14</v>
      </c>
      <c r="H34">
        <v>23</v>
      </c>
      <c r="I34">
        <f>F34-H34</f>
        <v>810.14</v>
      </c>
    </row>
    <row r="35" spans="1:9">
      <c r="E35" s="74" t="s">
        <v>430</v>
      </c>
      <c r="G35">
        <f>SUM(G30:G33)</f>
        <v>116231.24666666666</v>
      </c>
      <c r="I35"/>
    </row>
    <row r="36" spans="1:9">
      <c r="E36" s="74" t="s">
        <v>431</v>
      </c>
      <c r="G36">
        <v>173471.99</v>
      </c>
      <c r="I36"/>
    </row>
    <row r="37" spans="1:9">
      <c r="E37" s="74" t="s">
        <v>432</v>
      </c>
      <c r="G37">
        <f>G36-G35</f>
        <v>57240.743333333332</v>
      </c>
      <c r="I37"/>
    </row>
    <row r="38" spans="1:9">
      <c r="I38"/>
    </row>
    <row r="39" spans="1:9">
      <c r="E39" s="13" t="s">
        <v>433</v>
      </c>
      <c r="G39">
        <f>I34*76.71</f>
        <v>62145.839399999997</v>
      </c>
      <c r="I39"/>
    </row>
    <row r="40" spans="1:9">
      <c r="E40" s="13" t="s">
        <v>434</v>
      </c>
      <c r="I40"/>
    </row>
    <row r="41" spans="1:9">
      <c r="E41" s="13" t="s">
        <v>436</v>
      </c>
      <c r="I41"/>
    </row>
    <row r="42" spans="1:9">
      <c r="G42">
        <f>G39*10/100</f>
        <v>6214.5839399999995</v>
      </c>
      <c r="I42"/>
    </row>
    <row r="49" spans="1:1">
      <c r="A49" s="75"/>
    </row>
    <row r="53" spans="1:1">
      <c r="A53" s="77"/>
    </row>
    <row r="55" spans="1:1">
      <c r="A55" s="77"/>
    </row>
    <row r="57" spans="1:1">
      <c r="A57" s="77"/>
    </row>
    <row r="77" spans="1:1">
      <c r="A77" s="75"/>
    </row>
    <row r="78" spans="1:1">
      <c r="A78" s="75"/>
    </row>
    <row r="79" spans="1:1">
      <c r="A79" s="75"/>
    </row>
    <row r="80" spans="1:1">
      <c r="A80" s="75"/>
    </row>
    <row r="81" spans="1:1">
      <c r="A81" s="7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F7E9-F855-B640-B84E-6C3C77721B83}">
  <dimension ref="A1:W43"/>
  <sheetViews>
    <sheetView workbookViewId="0">
      <selection activeCell="L21" sqref="L21"/>
    </sheetView>
  </sheetViews>
  <sheetFormatPr baseColWidth="10" defaultRowHeight="15"/>
  <cols>
    <col min="1" max="1" width="8.83203125" bestFit="1" customWidth="1"/>
    <col min="2" max="2" width="10.5" bestFit="1" customWidth="1"/>
    <col min="3" max="3" width="15.6640625" bestFit="1" customWidth="1"/>
    <col min="4" max="4" width="11.5" bestFit="1" customWidth="1"/>
    <col min="5" max="5" width="24.5" bestFit="1" customWidth="1"/>
    <col min="7" max="7" width="13.6640625" bestFit="1" customWidth="1"/>
    <col min="8" max="8" width="15.5" bestFit="1" customWidth="1"/>
    <col min="9" max="9" width="18.5" bestFit="1" customWidth="1"/>
    <col min="10" max="10" width="16.6640625" bestFit="1" customWidth="1"/>
    <col min="11" max="11" width="9.1640625" bestFit="1" customWidth="1"/>
    <col min="13" max="13" width="16.6640625" bestFit="1" customWidth="1"/>
    <col min="14" max="14" width="14.83203125" bestFit="1" customWidth="1"/>
    <col min="15" max="16" width="8.83203125" customWidth="1"/>
    <col min="17" max="17" width="13.6640625" bestFit="1" customWidth="1"/>
    <col min="18" max="18" width="47.1640625" customWidth="1"/>
    <col min="19" max="19" width="18.5" bestFit="1" customWidth="1"/>
    <col min="20" max="20" width="16.6640625" bestFit="1" customWidth="1"/>
    <col min="21" max="21" width="8.83203125" bestFit="1" customWidth="1"/>
  </cols>
  <sheetData>
    <row r="1" spans="1:21" ht="16">
      <c r="A1" s="80" t="s">
        <v>3</v>
      </c>
      <c r="B1" s="80" t="s">
        <v>457</v>
      </c>
      <c r="C1" s="80" t="s">
        <v>459</v>
      </c>
      <c r="D1" s="80" t="s">
        <v>458</v>
      </c>
      <c r="E1" s="80" t="s">
        <v>460</v>
      </c>
      <c r="G1" s="80" t="s">
        <v>462</v>
      </c>
      <c r="H1" s="80" t="s">
        <v>463</v>
      </c>
      <c r="I1" s="80" t="s">
        <v>464</v>
      </c>
      <c r="J1" s="80" t="s">
        <v>465</v>
      </c>
      <c r="K1" s="80" t="s">
        <v>466</v>
      </c>
      <c r="L1" s="80" t="s">
        <v>217</v>
      </c>
      <c r="M1" s="80" t="s">
        <v>467</v>
      </c>
      <c r="N1" s="80" t="s">
        <v>486</v>
      </c>
      <c r="Q1" s="80" t="s">
        <v>462</v>
      </c>
      <c r="R1" s="80" t="s">
        <v>463</v>
      </c>
      <c r="S1" s="80" t="s">
        <v>464</v>
      </c>
      <c r="T1" s="80" t="s">
        <v>465</v>
      </c>
      <c r="U1" s="80" t="s">
        <v>466</v>
      </c>
    </row>
    <row r="2" spans="1:21">
      <c r="A2" s="1">
        <v>43760</v>
      </c>
      <c r="B2">
        <v>10.592632999999999</v>
      </c>
      <c r="C2">
        <v>120.16</v>
      </c>
      <c r="D2">
        <v>15</v>
      </c>
      <c r="E2" t="s">
        <v>461</v>
      </c>
      <c r="G2" s="1">
        <v>42684</v>
      </c>
      <c r="H2">
        <v>6.9836999999999998</v>
      </c>
      <c r="I2">
        <v>78.8994</v>
      </c>
      <c r="J2">
        <v>551.01</v>
      </c>
      <c r="Q2" s="1">
        <v>43616</v>
      </c>
      <c r="R2">
        <v>1.5803199999999999</v>
      </c>
      <c r="S2">
        <v>113.09099999999999</v>
      </c>
      <c r="T2">
        <v>178.72</v>
      </c>
    </row>
    <row r="3" spans="1:21">
      <c r="A3" s="1"/>
      <c r="G3" s="1">
        <v>42863</v>
      </c>
      <c r="H3">
        <v>5.3132000000000001</v>
      </c>
      <c r="I3">
        <v>94.053600000000003</v>
      </c>
      <c r="J3">
        <v>499.73</v>
      </c>
      <c r="Q3" s="1">
        <v>43255</v>
      </c>
      <c r="R3">
        <v>1.0838369999999999</v>
      </c>
      <c r="S3">
        <v>95.890799999999999</v>
      </c>
      <c r="T3">
        <v>103.93</v>
      </c>
      <c r="U3" s="1">
        <v>43760</v>
      </c>
    </row>
    <row r="4" spans="1:21">
      <c r="G4" s="1">
        <v>42863</v>
      </c>
      <c r="H4">
        <v>5.3132000000000001</v>
      </c>
      <c r="I4">
        <v>94.053600000000003</v>
      </c>
      <c r="J4">
        <v>499.73</v>
      </c>
      <c r="Q4" s="1">
        <v>42880</v>
      </c>
      <c r="R4">
        <v>0.3972</v>
      </c>
      <c r="S4">
        <v>93.826099999999997</v>
      </c>
      <c r="T4">
        <v>37.270000000000003</v>
      </c>
    </row>
    <row r="5" spans="1:21">
      <c r="G5" s="1">
        <v>42880</v>
      </c>
      <c r="H5">
        <v>0.3972</v>
      </c>
      <c r="I5">
        <v>93.826099999999997</v>
      </c>
      <c r="J5">
        <v>37.270000000000003</v>
      </c>
      <c r="Q5" s="1"/>
    </row>
    <row r="6" spans="1:21">
      <c r="G6" s="1">
        <v>42894</v>
      </c>
      <c r="H6">
        <v>5.0789999999999997</v>
      </c>
      <c r="I6">
        <v>95.570700000000002</v>
      </c>
      <c r="J6">
        <v>485.41</v>
      </c>
      <c r="Q6" s="1"/>
    </row>
    <row r="7" spans="1:21">
      <c r="G7" s="1">
        <v>42894</v>
      </c>
      <c r="H7">
        <v>5.0789999999999997</v>
      </c>
      <c r="I7">
        <v>95.570700000000002</v>
      </c>
      <c r="J7">
        <v>485.41</v>
      </c>
      <c r="Q7" s="1"/>
    </row>
    <row r="8" spans="1:21">
      <c r="G8" s="1">
        <v>42922</v>
      </c>
      <c r="H8">
        <v>5.2263999999999999</v>
      </c>
      <c r="I8">
        <v>91.099900000000005</v>
      </c>
      <c r="J8">
        <v>476.13</v>
      </c>
      <c r="Q8" s="1"/>
    </row>
    <row r="9" spans="1:21">
      <c r="G9" s="1">
        <v>42922</v>
      </c>
      <c r="H9">
        <v>5.2263999999999999</v>
      </c>
      <c r="I9">
        <v>91.099900000000005</v>
      </c>
      <c r="J9">
        <v>476.13</v>
      </c>
      <c r="Q9" s="1"/>
    </row>
    <row r="10" spans="1:21">
      <c r="G10" s="1">
        <v>42955</v>
      </c>
      <c r="H10">
        <v>5.1432000000000002</v>
      </c>
      <c r="I10">
        <v>90.696399999999997</v>
      </c>
      <c r="J10">
        <v>466.47</v>
      </c>
      <c r="Q10" s="1"/>
    </row>
    <row r="11" spans="1:21">
      <c r="G11" s="1">
        <v>42955</v>
      </c>
      <c r="H11">
        <v>5.1432000000000002</v>
      </c>
      <c r="I11">
        <v>90.696399999999997</v>
      </c>
      <c r="J11">
        <v>466.47</v>
      </c>
      <c r="Q11" s="1"/>
    </row>
    <row r="12" spans="1:21">
      <c r="G12" s="1">
        <v>42985</v>
      </c>
      <c r="H12">
        <v>5.1806999999999999</v>
      </c>
      <c r="I12">
        <v>89.649699999999996</v>
      </c>
      <c r="J12">
        <v>464.45</v>
      </c>
      <c r="Q12" s="1"/>
    </row>
    <row r="13" spans="1:21">
      <c r="G13" s="1">
        <v>42985</v>
      </c>
      <c r="H13">
        <v>5.1806999999999999</v>
      </c>
      <c r="I13">
        <v>89.649699999999996</v>
      </c>
      <c r="J13">
        <v>464.45</v>
      </c>
      <c r="Q13" s="1"/>
    </row>
    <row r="14" spans="1:21">
      <c r="G14" s="1">
        <v>43017</v>
      </c>
      <c r="H14">
        <v>4.7986000000000004</v>
      </c>
      <c r="I14">
        <v>94.941299999999998</v>
      </c>
      <c r="J14">
        <v>455.59</v>
      </c>
      <c r="Q14" s="1"/>
    </row>
    <row r="15" spans="1:21">
      <c r="G15" s="1">
        <v>43047</v>
      </c>
      <c r="H15">
        <v>4.7103999999999999</v>
      </c>
      <c r="I15">
        <v>98.918400000000005</v>
      </c>
      <c r="J15">
        <v>465.95</v>
      </c>
      <c r="Q15" s="1"/>
    </row>
    <row r="16" spans="1:21">
      <c r="G16" s="1">
        <v>43077</v>
      </c>
      <c r="H16">
        <v>4.7695780000000001</v>
      </c>
      <c r="I16">
        <v>96.3733</v>
      </c>
      <c r="J16">
        <v>459.66</v>
      </c>
      <c r="Q16" s="1"/>
    </row>
    <row r="17" spans="7:23">
      <c r="G17" s="1">
        <v>43108</v>
      </c>
      <c r="H17">
        <v>4.7379369999999996</v>
      </c>
      <c r="I17">
        <v>96.738299999999995</v>
      </c>
      <c r="J17">
        <v>458.34</v>
      </c>
      <c r="Q17" s="1"/>
    </row>
    <row r="18" spans="7:23">
      <c r="G18" s="1">
        <v>43139</v>
      </c>
      <c r="H18">
        <v>5.1819160000000002</v>
      </c>
      <c r="I18">
        <v>85.489599999999996</v>
      </c>
      <c r="J18">
        <v>443</v>
      </c>
      <c r="Q18" s="81" t="s">
        <v>470</v>
      </c>
      <c r="R18" s="82"/>
      <c r="S18" s="82"/>
      <c r="T18" s="82"/>
      <c r="U18" s="82"/>
      <c r="V18" s="82"/>
      <c r="W18" s="82"/>
    </row>
    <row r="19" spans="7:23">
      <c r="G19" s="1">
        <v>43167</v>
      </c>
      <c r="H19">
        <v>5.0675280000000003</v>
      </c>
      <c r="I19">
        <v>86.933899999999994</v>
      </c>
      <c r="J19">
        <v>440.54</v>
      </c>
      <c r="Q19" s="83">
        <v>43763</v>
      </c>
      <c r="R19" s="84" t="s">
        <v>468</v>
      </c>
      <c r="S19" s="84" t="s">
        <v>469</v>
      </c>
      <c r="T19" s="83">
        <v>43763</v>
      </c>
      <c r="U19" s="84"/>
      <c r="V19" s="85">
        <v>97369.15</v>
      </c>
      <c r="W19" s="85">
        <v>109095.8</v>
      </c>
    </row>
    <row r="20" spans="7:23">
      <c r="G20" s="1">
        <v>43199</v>
      </c>
      <c r="H20">
        <v>4.9944889999999997</v>
      </c>
      <c r="I20">
        <v>87.466399999999993</v>
      </c>
      <c r="J20">
        <v>436.85</v>
      </c>
      <c r="Q20" s="83"/>
      <c r="R20" s="84"/>
      <c r="S20" s="84"/>
      <c r="T20" s="83"/>
      <c r="U20" s="84"/>
      <c r="V20" s="84"/>
      <c r="W20" s="85"/>
    </row>
    <row r="21" spans="7:23">
      <c r="G21" s="1">
        <v>43229</v>
      </c>
      <c r="H21">
        <v>5.0398019999999999</v>
      </c>
      <c r="I21">
        <v>96.640699999999995</v>
      </c>
      <c r="J21">
        <v>487.05</v>
      </c>
      <c r="Q21" s="83"/>
      <c r="R21" s="84"/>
      <c r="S21" s="84"/>
      <c r="T21" s="83"/>
      <c r="U21" s="84"/>
      <c r="V21" s="84"/>
      <c r="W21" s="85"/>
    </row>
    <row r="22" spans="7:23">
      <c r="G22" s="1">
        <v>43255</v>
      </c>
      <c r="H22">
        <v>1.0838369999999999</v>
      </c>
      <c r="I22">
        <v>95.890799999999999</v>
      </c>
      <c r="J22">
        <v>103.93</v>
      </c>
      <c r="Q22" s="1"/>
    </row>
    <row r="23" spans="7:23">
      <c r="G23" s="1">
        <v>43258</v>
      </c>
      <c r="H23">
        <v>4.9699489999999997</v>
      </c>
      <c r="I23">
        <v>99.699200000000005</v>
      </c>
      <c r="J23">
        <v>495.5</v>
      </c>
      <c r="Q23" s="1"/>
    </row>
    <row r="24" spans="7:23">
      <c r="G24" s="1">
        <v>43290</v>
      </c>
      <c r="H24">
        <v>4.8459159999999999</v>
      </c>
      <c r="I24">
        <v>100.9551</v>
      </c>
      <c r="J24">
        <v>489.22</v>
      </c>
      <c r="Q24" s="1"/>
    </row>
    <row r="25" spans="7:23">
      <c r="G25" s="1">
        <v>43320</v>
      </c>
      <c r="H25">
        <v>4.8494739999999998</v>
      </c>
      <c r="I25">
        <v>100.08920000000001</v>
      </c>
      <c r="J25">
        <v>485.38</v>
      </c>
      <c r="Q25" s="1"/>
    </row>
    <row r="26" spans="7:23">
      <c r="G26" s="1">
        <v>43350</v>
      </c>
      <c r="H26">
        <v>4.7271140000000003</v>
      </c>
      <c r="I26">
        <v>99.849500000000006</v>
      </c>
      <c r="J26">
        <v>472</v>
      </c>
      <c r="Q26" s="1"/>
    </row>
    <row r="27" spans="7:23">
      <c r="G27" s="1">
        <v>43382</v>
      </c>
      <c r="H27">
        <v>4.5449970000000004</v>
      </c>
      <c r="I27">
        <v>102.3785</v>
      </c>
      <c r="J27">
        <v>465.31</v>
      </c>
      <c r="Q27" s="1"/>
    </row>
    <row r="28" spans="7:23">
      <c r="G28" s="1">
        <v>43413</v>
      </c>
      <c r="H28">
        <v>4.918793</v>
      </c>
      <c r="I28">
        <v>94.8078</v>
      </c>
      <c r="J28">
        <v>466.34</v>
      </c>
      <c r="Q28" s="1"/>
    </row>
    <row r="29" spans="7:23">
      <c r="G29" s="1">
        <v>43441</v>
      </c>
      <c r="H29">
        <v>5.4935640000000001</v>
      </c>
      <c r="I29">
        <v>89.877899999999997</v>
      </c>
      <c r="J29">
        <v>493.75</v>
      </c>
      <c r="Q29" s="1"/>
    </row>
    <row r="30" spans="7:23">
      <c r="G30" s="1">
        <v>43474</v>
      </c>
      <c r="H30">
        <v>5.4914100000000001</v>
      </c>
      <c r="I30">
        <v>89.181100000000001</v>
      </c>
      <c r="J30">
        <v>489.73</v>
      </c>
      <c r="Q30" s="1"/>
    </row>
    <row r="31" spans="7:23">
      <c r="G31" s="1">
        <v>43504</v>
      </c>
      <c r="H31">
        <v>5.2319240000000002</v>
      </c>
      <c r="I31">
        <v>91.788399999999996</v>
      </c>
      <c r="J31">
        <v>480.23</v>
      </c>
      <c r="Q31" s="1"/>
    </row>
    <row r="32" spans="7:23">
      <c r="G32" s="1">
        <v>43532</v>
      </c>
      <c r="H32">
        <v>5.0892059999999999</v>
      </c>
      <c r="I32">
        <v>95.289900000000003</v>
      </c>
      <c r="J32">
        <v>484.95</v>
      </c>
      <c r="Q32" s="1"/>
    </row>
    <row r="33" spans="7:17">
      <c r="G33" s="1">
        <v>43563</v>
      </c>
      <c r="H33">
        <v>4.9730179999999997</v>
      </c>
      <c r="I33">
        <v>101.4957</v>
      </c>
      <c r="J33">
        <v>504.74</v>
      </c>
      <c r="Q33" s="1"/>
    </row>
    <row r="34" spans="7:17">
      <c r="G34" s="1">
        <v>43594</v>
      </c>
      <c r="H34">
        <v>4.7908530000000003</v>
      </c>
      <c r="I34">
        <v>111.1326</v>
      </c>
      <c r="J34">
        <v>532.41999999999996</v>
      </c>
      <c r="Q34" s="1"/>
    </row>
    <row r="35" spans="7:17">
      <c r="G35" s="1">
        <v>43616</v>
      </c>
      <c r="H35">
        <v>1.5803199999999999</v>
      </c>
      <c r="I35">
        <v>113.09099999999999</v>
      </c>
      <c r="J35">
        <v>178.72</v>
      </c>
      <c r="K35" s="1">
        <v>43760</v>
      </c>
      <c r="M35">
        <v>120.16</v>
      </c>
      <c r="Q35" s="1"/>
    </row>
    <row r="36" spans="7:17">
      <c r="G36" s="1">
        <v>43623</v>
      </c>
      <c r="H36">
        <v>4.7249610000000004</v>
      </c>
      <c r="I36">
        <v>113.148</v>
      </c>
      <c r="J36">
        <v>534.62</v>
      </c>
      <c r="K36" s="1">
        <v>43760</v>
      </c>
      <c r="M36">
        <v>120.16</v>
      </c>
      <c r="Q36" s="1"/>
    </row>
    <row r="37" spans="7:17">
      <c r="G37" s="1">
        <v>43654</v>
      </c>
      <c r="H37">
        <v>4.2873520000000003</v>
      </c>
      <c r="I37">
        <v>123.4538</v>
      </c>
      <c r="J37">
        <v>529.29</v>
      </c>
      <c r="K37" s="1">
        <v>43760</v>
      </c>
      <c r="M37">
        <v>120.16</v>
      </c>
      <c r="Q37" s="1"/>
    </row>
    <row r="38" spans="7:17">
      <c r="G38" s="1">
        <v>43685</v>
      </c>
      <c r="H38">
        <v>5.0156929999999997</v>
      </c>
      <c r="I38">
        <v>108.04089999999999</v>
      </c>
      <c r="J38">
        <v>541.9</v>
      </c>
      <c r="Q38" s="1"/>
    </row>
    <row r="39" spans="7:17">
      <c r="G39" s="1">
        <v>43717</v>
      </c>
      <c r="H39">
        <v>4.749536</v>
      </c>
      <c r="I39">
        <v>110.9982</v>
      </c>
      <c r="J39">
        <v>527.19000000000005</v>
      </c>
      <c r="K39" s="1">
        <v>43783</v>
      </c>
      <c r="Q39" s="1"/>
    </row>
    <row r="40" spans="7:17">
      <c r="G40" s="1">
        <v>43747</v>
      </c>
      <c r="H40">
        <v>5.1105739999999997</v>
      </c>
      <c r="I40">
        <v>105.3952</v>
      </c>
      <c r="J40">
        <f>H40*I40</f>
        <v>538.62996884480003</v>
      </c>
      <c r="Q40" s="1"/>
    </row>
    <row r="41" spans="7:17">
      <c r="G41" s="1">
        <v>43777</v>
      </c>
      <c r="H41">
        <v>4.2716479999999999</v>
      </c>
      <c r="I41">
        <v>122.9853</v>
      </c>
      <c r="J41">
        <f>H41*I41</f>
        <v>525.34991077439997</v>
      </c>
      <c r="K41" s="1">
        <v>43783</v>
      </c>
      <c r="Q41" s="1"/>
    </row>
    <row r="42" spans="7:17">
      <c r="G42" s="1">
        <v>43839</v>
      </c>
      <c r="H42">
        <v>4.2163120000000003</v>
      </c>
      <c r="I42">
        <v>122.9297</v>
      </c>
      <c r="J42">
        <f>H42*I42</f>
        <v>518.3099692664</v>
      </c>
      <c r="K42" s="1">
        <v>43867</v>
      </c>
      <c r="L42">
        <v>15</v>
      </c>
      <c r="M42">
        <v>124.6</v>
      </c>
      <c r="N42">
        <f>H42*M42-L42</f>
        <v>510.35247519999996</v>
      </c>
    </row>
    <row r="43" spans="7:17">
      <c r="G43" s="1">
        <v>43808</v>
      </c>
      <c r="H43">
        <v>4.3324699999999998</v>
      </c>
      <c r="I43">
        <v>121.9119</v>
      </c>
      <c r="J43">
        <f>H43*I43</f>
        <v>528.17964939299998</v>
      </c>
      <c r="K43" s="1">
        <v>43867</v>
      </c>
      <c r="M43">
        <v>124.6</v>
      </c>
      <c r="N43">
        <f>H43*M43-L43</f>
        <v>539.82576199999994</v>
      </c>
    </row>
  </sheetData>
  <autoFilter ref="G1:L39" xr:uid="{7AFC6836-E8DA-2F4C-A30A-48CE52DE2518}"/>
  <sortState xmlns:xlrd2="http://schemas.microsoft.com/office/spreadsheetml/2017/richdata2" ref="G2:M39">
    <sortCondition ref="G2:G3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1FCA-F565-3141-9575-A9B69266907A}">
  <dimension ref="A1:P38"/>
  <sheetViews>
    <sheetView zoomScale="115" workbookViewId="0">
      <selection activeCell="B6" sqref="B6:B8"/>
    </sheetView>
  </sheetViews>
  <sheetFormatPr baseColWidth="10" defaultRowHeight="15"/>
  <cols>
    <col min="3" max="3" width="14.33203125" bestFit="1" customWidth="1"/>
    <col min="6" max="6" width="27.1640625" bestFit="1" customWidth="1"/>
    <col min="8" max="8" width="21.6640625" bestFit="1" customWidth="1"/>
    <col min="11" max="11" width="6.1640625" bestFit="1" customWidth="1"/>
    <col min="12" max="12" width="11.83203125" bestFit="1" customWidth="1"/>
  </cols>
  <sheetData>
    <row r="1" spans="1:16">
      <c r="A1" s="52" t="s">
        <v>3</v>
      </c>
      <c r="B1" s="52" t="s">
        <v>4</v>
      </c>
      <c r="C1" s="52" t="s">
        <v>5</v>
      </c>
      <c r="D1" s="52" t="s">
        <v>6</v>
      </c>
      <c r="E1" s="52" t="s">
        <v>54</v>
      </c>
      <c r="F1" s="52" t="s">
        <v>18</v>
      </c>
      <c r="H1" t="s">
        <v>409</v>
      </c>
    </row>
    <row r="2" spans="1:16">
      <c r="B2">
        <v>18000</v>
      </c>
      <c r="C2" t="s">
        <v>372</v>
      </c>
      <c r="D2" t="s">
        <v>7</v>
      </c>
      <c r="E2" t="s">
        <v>372</v>
      </c>
      <c r="H2" t="s">
        <v>3</v>
      </c>
      <c r="I2" t="s">
        <v>4</v>
      </c>
      <c r="J2" t="s">
        <v>412</v>
      </c>
      <c r="K2" t="s">
        <v>411</v>
      </c>
      <c r="L2" t="s">
        <v>18</v>
      </c>
    </row>
    <row r="3" spans="1:16">
      <c r="B3">
        <v>40000</v>
      </c>
      <c r="C3" t="s">
        <v>372</v>
      </c>
      <c r="D3" t="s">
        <v>7</v>
      </c>
      <c r="E3" t="s">
        <v>372</v>
      </c>
      <c r="F3" t="s">
        <v>373</v>
      </c>
      <c r="H3" s="6">
        <v>43622</v>
      </c>
      <c r="I3">
        <v>4000</v>
      </c>
      <c r="K3">
        <v>4000</v>
      </c>
      <c r="L3" t="s">
        <v>410</v>
      </c>
      <c r="O3" t="s">
        <v>413</v>
      </c>
      <c r="P3">
        <f>SUM(I3:I560)</f>
        <v>16000</v>
      </c>
    </row>
    <row r="4" spans="1:16">
      <c r="B4">
        <v>-8200</v>
      </c>
      <c r="C4" t="s">
        <v>7</v>
      </c>
      <c r="D4" t="s">
        <v>374</v>
      </c>
      <c r="E4" t="s">
        <v>374</v>
      </c>
      <c r="H4" s="6">
        <v>43623</v>
      </c>
      <c r="I4">
        <v>800</v>
      </c>
      <c r="O4" t="s">
        <v>414</v>
      </c>
      <c r="P4">
        <f>SUM(K3:K560)</f>
        <v>15200</v>
      </c>
    </row>
    <row r="5" spans="1:16">
      <c r="A5" s="73">
        <v>43435</v>
      </c>
      <c r="B5">
        <v>-100000</v>
      </c>
      <c r="C5" t="s">
        <v>7</v>
      </c>
      <c r="D5" t="s">
        <v>374</v>
      </c>
      <c r="E5" t="s">
        <v>374</v>
      </c>
      <c r="H5" s="6">
        <v>43624</v>
      </c>
      <c r="O5" t="s">
        <v>415</v>
      </c>
      <c r="P5">
        <f>P3-P4</f>
        <v>800</v>
      </c>
    </row>
    <row r="6" spans="1:16">
      <c r="B6">
        <v>26000</v>
      </c>
      <c r="C6" t="s">
        <v>374</v>
      </c>
      <c r="D6" t="s">
        <v>7</v>
      </c>
      <c r="E6" t="s">
        <v>374</v>
      </c>
      <c r="F6" t="s">
        <v>406</v>
      </c>
      <c r="H6" s="6">
        <v>43625</v>
      </c>
    </row>
    <row r="7" spans="1:16">
      <c r="B7">
        <v>14000</v>
      </c>
      <c r="C7" t="s">
        <v>374</v>
      </c>
      <c r="D7" t="s">
        <v>7</v>
      </c>
      <c r="E7" t="s">
        <v>374</v>
      </c>
      <c r="F7" t="s">
        <v>408</v>
      </c>
      <c r="H7" s="6">
        <v>43626</v>
      </c>
      <c r="J7" t="s">
        <v>50</v>
      </c>
    </row>
    <row r="8" spans="1:16">
      <c r="B8">
        <v>20000</v>
      </c>
      <c r="C8" t="s">
        <v>374</v>
      </c>
      <c r="D8" t="s">
        <v>7</v>
      </c>
      <c r="E8" t="s">
        <v>374</v>
      </c>
      <c r="F8" t="s">
        <v>407</v>
      </c>
      <c r="H8" s="6">
        <v>43627</v>
      </c>
      <c r="I8">
        <v>800</v>
      </c>
    </row>
    <row r="9" spans="1:16">
      <c r="H9" s="6">
        <v>43628</v>
      </c>
      <c r="I9">
        <v>800</v>
      </c>
    </row>
    <row r="10" spans="1:16">
      <c r="H10" s="6">
        <v>43629</v>
      </c>
      <c r="I10">
        <v>800</v>
      </c>
    </row>
    <row r="11" spans="1:16">
      <c r="H11" s="6">
        <v>43630</v>
      </c>
      <c r="I11">
        <v>800</v>
      </c>
    </row>
    <row r="12" spans="1:16">
      <c r="H12" s="6">
        <v>43631</v>
      </c>
    </row>
    <row r="13" spans="1:16">
      <c r="H13" s="6">
        <v>43632</v>
      </c>
    </row>
    <row r="14" spans="1:16">
      <c r="H14" s="6">
        <v>43633</v>
      </c>
      <c r="I14">
        <v>800</v>
      </c>
    </row>
    <row r="15" spans="1:16">
      <c r="H15" s="6">
        <v>43634</v>
      </c>
      <c r="I15">
        <v>800</v>
      </c>
    </row>
    <row r="16" spans="1:16">
      <c r="H16" s="6">
        <v>43635</v>
      </c>
      <c r="I16">
        <v>800</v>
      </c>
    </row>
    <row r="17" spans="8:11">
      <c r="H17" s="6">
        <v>43636</v>
      </c>
      <c r="I17">
        <v>800</v>
      </c>
    </row>
    <row r="18" spans="8:11">
      <c r="H18" s="6">
        <v>43637</v>
      </c>
      <c r="J18" t="s">
        <v>50</v>
      </c>
    </row>
    <row r="19" spans="8:11">
      <c r="H19" s="6">
        <v>43638</v>
      </c>
    </row>
    <row r="20" spans="8:11">
      <c r="H20" s="6">
        <v>43639</v>
      </c>
    </row>
    <row r="21" spans="8:11">
      <c r="H21" s="6">
        <v>43640</v>
      </c>
      <c r="I21">
        <v>800</v>
      </c>
    </row>
    <row r="22" spans="8:11">
      <c r="H22" s="6">
        <v>43641</v>
      </c>
      <c r="I22">
        <v>800</v>
      </c>
    </row>
    <row r="23" spans="8:11">
      <c r="H23" s="6">
        <v>43642</v>
      </c>
      <c r="I23">
        <v>800</v>
      </c>
    </row>
    <row r="24" spans="8:11">
      <c r="H24" s="6">
        <v>43643</v>
      </c>
      <c r="I24">
        <v>800</v>
      </c>
    </row>
    <row r="25" spans="8:11">
      <c r="H25" s="6">
        <v>43644</v>
      </c>
      <c r="I25">
        <v>800</v>
      </c>
    </row>
    <row r="26" spans="8:11">
      <c r="H26" s="6">
        <v>43645</v>
      </c>
    </row>
    <row r="27" spans="8:11">
      <c r="H27" s="6">
        <v>43646</v>
      </c>
    </row>
    <row r="28" spans="8:11">
      <c r="H28" s="6">
        <v>43647</v>
      </c>
      <c r="J28" t="s">
        <v>50</v>
      </c>
    </row>
    <row r="29" spans="8:11">
      <c r="H29" s="6">
        <v>43648</v>
      </c>
      <c r="J29" t="s">
        <v>50</v>
      </c>
    </row>
    <row r="30" spans="8:11">
      <c r="H30" s="6">
        <v>43649</v>
      </c>
      <c r="I30">
        <v>800</v>
      </c>
      <c r="K30">
        <v>11200</v>
      </c>
    </row>
    <row r="31" spans="8:11">
      <c r="H31" s="6">
        <v>43650</v>
      </c>
    </row>
    <row r="32" spans="8:11">
      <c r="H32" s="6">
        <v>43651</v>
      </c>
    </row>
    <row r="33" spans="8:8">
      <c r="H33" s="6">
        <v>43652</v>
      </c>
    </row>
    <row r="34" spans="8:8">
      <c r="H34" s="6">
        <v>43653</v>
      </c>
    </row>
    <row r="35" spans="8:8">
      <c r="H35" s="6">
        <v>43654</v>
      </c>
    </row>
    <row r="36" spans="8:8">
      <c r="H36" s="6">
        <v>43655</v>
      </c>
    </row>
    <row r="37" spans="8:8">
      <c r="H37" s="6">
        <v>43656</v>
      </c>
    </row>
    <row r="38" spans="8:8">
      <c r="H38" s="6">
        <v>43657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4"/>
  <sheetViews>
    <sheetView workbookViewId="0">
      <selection activeCell="E110" sqref="E110"/>
    </sheetView>
  </sheetViews>
  <sheetFormatPr baseColWidth="10" defaultColWidth="8.83203125" defaultRowHeight="15"/>
  <cols>
    <col min="1" max="1" width="15.1640625" bestFit="1" customWidth="1"/>
    <col min="3" max="3" width="14.33203125" bestFit="1" customWidth="1"/>
    <col min="4" max="4" width="14.1640625" bestFit="1" customWidth="1"/>
    <col min="5" max="5" width="16.83203125" bestFit="1" customWidth="1"/>
    <col min="6" max="6" width="46.33203125" bestFit="1" customWidth="1"/>
    <col min="7" max="7" width="46" bestFit="1" customWidth="1"/>
  </cols>
  <sheetData>
    <row r="1" spans="1:6">
      <c r="A1" s="53" t="s">
        <v>3</v>
      </c>
      <c r="B1" s="53" t="s">
        <v>4</v>
      </c>
      <c r="C1" s="53" t="s">
        <v>5</v>
      </c>
      <c r="D1" s="53" t="s">
        <v>6</v>
      </c>
      <c r="E1" s="53" t="s">
        <v>54</v>
      </c>
      <c r="F1" s="53" t="s">
        <v>177</v>
      </c>
    </row>
    <row r="2" spans="1:6">
      <c r="A2" t="s">
        <v>0</v>
      </c>
      <c r="B2">
        <v>50000</v>
      </c>
      <c r="C2" t="s">
        <v>7</v>
      </c>
      <c r="D2" t="s">
        <v>9</v>
      </c>
      <c r="E2" t="s">
        <v>9</v>
      </c>
    </row>
    <row r="3" spans="1:6">
      <c r="A3" t="s">
        <v>0</v>
      </c>
      <c r="B3">
        <v>30000</v>
      </c>
      <c r="C3" t="s">
        <v>7</v>
      </c>
      <c r="D3" t="s">
        <v>11</v>
      </c>
      <c r="E3" t="s">
        <v>11</v>
      </c>
    </row>
    <row r="4" spans="1:6">
      <c r="A4" s="1">
        <v>40634</v>
      </c>
      <c r="B4">
        <v>100000</v>
      </c>
      <c r="C4" t="s">
        <v>7</v>
      </c>
      <c r="D4" t="s">
        <v>9</v>
      </c>
      <c r="E4" t="s">
        <v>9</v>
      </c>
    </row>
    <row r="5" spans="1:6">
      <c r="A5" s="1">
        <v>40645</v>
      </c>
      <c r="B5">
        <v>100000</v>
      </c>
      <c r="C5" t="s">
        <v>2</v>
      </c>
      <c r="D5" t="s">
        <v>7</v>
      </c>
      <c r="E5" t="s">
        <v>2</v>
      </c>
    </row>
    <row r="6" spans="1:6">
      <c r="A6" s="1">
        <v>40646</v>
      </c>
      <c r="B6">
        <v>100000</v>
      </c>
      <c r="C6" t="s">
        <v>7</v>
      </c>
      <c r="D6" t="s">
        <v>8</v>
      </c>
      <c r="E6" t="s">
        <v>8</v>
      </c>
    </row>
    <row r="7" spans="1:6">
      <c r="A7" s="1">
        <v>40668</v>
      </c>
      <c r="B7">
        <v>201000</v>
      </c>
      <c r="C7" t="s">
        <v>8</v>
      </c>
      <c r="D7" t="s">
        <v>7</v>
      </c>
      <c r="E7" t="s">
        <v>8</v>
      </c>
    </row>
    <row r="8" spans="1:6">
      <c r="A8" s="1">
        <v>40668</v>
      </c>
      <c r="B8">
        <v>100000</v>
      </c>
      <c r="C8" t="s">
        <v>7</v>
      </c>
      <c r="D8" t="s">
        <v>2</v>
      </c>
      <c r="E8" t="s">
        <v>2</v>
      </c>
    </row>
    <row r="9" spans="1:6">
      <c r="A9" s="1">
        <v>40669</v>
      </c>
      <c r="B9">
        <v>100000</v>
      </c>
      <c r="C9" t="s">
        <v>7</v>
      </c>
      <c r="D9" t="s">
        <v>2</v>
      </c>
      <c r="E9" t="s">
        <v>2</v>
      </c>
    </row>
    <row r="10" spans="1:6">
      <c r="A10" s="1">
        <v>40701</v>
      </c>
      <c r="B10">
        <v>200000</v>
      </c>
      <c r="C10" t="s">
        <v>2</v>
      </c>
      <c r="D10" t="s">
        <v>7</v>
      </c>
      <c r="E10" t="s">
        <v>2</v>
      </c>
    </row>
    <row r="11" spans="1:6">
      <c r="A11" s="1">
        <v>40706</v>
      </c>
      <c r="B11">
        <v>200000</v>
      </c>
      <c r="C11" t="s">
        <v>7</v>
      </c>
      <c r="D11" t="s">
        <v>9</v>
      </c>
      <c r="E11" t="s">
        <v>9</v>
      </c>
      <c r="F11" t="s">
        <v>252</v>
      </c>
    </row>
    <row r="12" spans="1:6">
      <c r="B12">
        <v>1500</v>
      </c>
      <c r="C12" t="s">
        <v>19</v>
      </c>
      <c r="D12" t="s">
        <v>7</v>
      </c>
      <c r="E12" t="s">
        <v>19</v>
      </c>
    </row>
    <row r="13" spans="1:6">
      <c r="A13" s="1">
        <v>40792</v>
      </c>
      <c r="B13">
        <v>1500</v>
      </c>
      <c r="C13" t="s">
        <v>7</v>
      </c>
      <c r="D13" t="s">
        <v>19</v>
      </c>
      <c r="E13" t="s">
        <v>19</v>
      </c>
    </row>
    <row r="14" spans="1:6">
      <c r="B14">
        <v>-500</v>
      </c>
      <c r="C14" t="s">
        <v>13</v>
      </c>
      <c r="D14" t="s">
        <v>7</v>
      </c>
      <c r="E14" t="s">
        <v>13</v>
      </c>
      <c r="F14" t="s">
        <v>20</v>
      </c>
    </row>
    <row r="15" spans="1:6">
      <c r="A15" s="1">
        <v>40644</v>
      </c>
      <c r="B15">
        <v>50000</v>
      </c>
      <c r="C15" t="s">
        <v>1</v>
      </c>
      <c r="D15" t="s">
        <v>9</v>
      </c>
      <c r="E15" t="s">
        <v>1</v>
      </c>
    </row>
    <row r="16" spans="1:6">
      <c r="A16" s="1">
        <v>40646</v>
      </c>
      <c r="B16">
        <v>250000</v>
      </c>
      <c r="C16" t="s">
        <v>10</v>
      </c>
      <c r="D16" t="s">
        <v>9</v>
      </c>
      <c r="E16" t="s">
        <v>10</v>
      </c>
    </row>
    <row r="17" spans="1:6">
      <c r="A17" s="1">
        <v>40756</v>
      </c>
      <c r="B17">
        <v>50000</v>
      </c>
      <c r="C17" t="s">
        <v>1</v>
      </c>
      <c r="D17" t="s">
        <v>7</v>
      </c>
      <c r="E17" t="s">
        <v>1</v>
      </c>
    </row>
    <row r="18" spans="1:6">
      <c r="A18" s="1">
        <v>40728</v>
      </c>
      <c r="B18">
        <v>20000</v>
      </c>
      <c r="C18" t="s">
        <v>2</v>
      </c>
      <c r="D18" t="s">
        <v>7</v>
      </c>
      <c r="E18" t="s">
        <v>2</v>
      </c>
      <c r="F18" t="s">
        <v>21</v>
      </c>
    </row>
    <row r="19" spans="1:6">
      <c r="A19" t="s">
        <v>22</v>
      </c>
      <c r="B19" t="s">
        <v>12</v>
      </c>
      <c r="C19" t="s">
        <v>13</v>
      </c>
      <c r="D19" t="s">
        <v>7</v>
      </c>
      <c r="E19" t="s">
        <v>13</v>
      </c>
      <c r="F19" t="s">
        <v>23</v>
      </c>
    </row>
    <row r="20" spans="1:6">
      <c r="B20">
        <v>100</v>
      </c>
      <c r="C20" t="s">
        <v>1</v>
      </c>
      <c r="D20" t="s">
        <v>7</v>
      </c>
      <c r="E20" t="s">
        <v>1</v>
      </c>
      <c r="F20" t="s">
        <v>15</v>
      </c>
    </row>
    <row r="21" spans="1:6">
      <c r="B21">
        <v>500</v>
      </c>
      <c r="C21" t="s">
        <v>16</v>
      </c>
      <c r="D21" t="s">
        <v>7</v>
      </c>
      <c r="E21" t="s">
        <v>180</v>
      </c>
      <c r="F21" t="s">
        <v>17</v>
      </c>
    </row>
    <row r="22" spans="1:6">
      <c r="A22" s="1">
        <v>40793</v>
      </c>
      <c r="B22">
        <v>10000</v>
      </c>
      <c r="C22" t="s">
        <v>1</v>
      </c>
      <c r="D22" t="s">
        <v>7</v>
      </c>
      <c r="E22" t="s">
        <v>1</v>
      </c>
    </row>
    <row r="23" spans="1:6">
      <c r="A23" s="1">
        <v>40793</v>
      </c>
      <c r="B23">
        <v>20000</v>
      </c>
      <c r="C23" t="s">
        <v>7</v>
      </c>
      <c r="D23" t="s">
        <v>2</v>
      </c>
      <c r="E23" t="s">
        <v>2</v>
      </c>
      <c r="F23" t="s">
        <v>24</v>
      </c>
    </row>
    <row r="24" spans="1:6">
      <c r="A24" s="1">
        <v>40822</v>
      </c>
      <c r="B24">
        <v>20000</v>
      </c>
      <c r="C24" t="s">
        <v>1</v>
      </c>
      <c r="D24" t="s">
        <v>7</v>
      </c>
      <c r="E24" t="s">
        <v>1</v>
      </c>
    </row>
    <row r="25" spans="1:6">
      <c r="A25" s="1" t="s">
        <v>34</v>
      </c>
      <c r="B25">
        <v>21000</v>
      </c>
      <c r="C25" t="s">
        <v>1</v>
      </c>
      <c r="D25" t="s">
        <v>7</v>
      </c>
      <c r="E25" t="s">
        <v>1</v>
      </c>
      <c r="F25" t="s">
        <v>25</v>
      </c>
    </row>
    <row r="26" spans="1:6">
      <c r="A26" s="1">
        <v>40819</v>
      </c>
      <c r="B26">
        <v>1000</v>
      </c>
      <c r="C26" t="s">
        <v>7</v>
      </c>
      <c r="D26" t="s">
        <v>2</v>
      </c>
      <c r="E26" t="s">
        <v>2</v>
      </c>
      <c r="F26" t="s">
        <v>30</v>
      </c>
    </row>
    <row r="27" spans="1:6">
      <c r="A27" s="1">
        <v>40819</v>
      </c>
      <c r="B27">
        <v>500</v>
      </c>
      <c r="C27" t="s">
        <v>7</v>
      </c>
      <c r="D27" t="s">
        <v>13</v>
      </c>
      <c r="E27" t="s">
        <v>13</v>
      </c>
      <c r="F27" t="s">
        <v>30</v>
      </c>
    </row>
    <row r="28" spans="1:6">
      <c r="A28" s="1">
        <v>40819</v>
      </c>
      <c r="B28">
        <v>500</v>
      </c>
      <c r="C28" t="s">
        <v>7</v>
      </c>
      <c r="D28" t="s">
        <v>27</v>
      </c>
      <c r="E28" t="s">
        <v>27</v>
      </c>
      <c r="F28" t="s">
        <v>30</v>
      </c>
    </row>
    <row r="29" spans="1:6">
      <c r="A29" s="1">
        <v>40819</v>
      </c>
      <c r="B29">
        <v>1000</v>
      </c>
      <c r="C29" t="s">
        <v>28</v>
      </c>
      <c r="D29" t="s">
        <v>7</v>
      </c>
      <c r="E29" t="s">
        <v>27</v>
      </c>
      <c r="F29" t="s">
        <v>29</v>
      </c>
    </row>
    <row r="30" spans="1:6">
      <c r="A30" s="1">
        <v>40819</v>
      </c>
      <c r="B30">
        <v>900</v>
      </c>
      <c r="C30" t="s">
        <v>7</v>
      </c>
      <c r="D30" t="s">
        <v>27</v>
      </c>
      <c r="E30" t="s">
        <v>27</v>
      </c>
      <c r="F30" t="s">
        <v>33</v>
      </c>
    </row>
    <row r="31" spans="1:6">
      <c r="A31" s="1">
        <v>40826</v>
      </c>
      <c r="B31">
        <v>20000</v>
      </c>
      <c r="C31" t="s">
        <v>7</v>
      </c>
      <c r="D31" t="s">
        <v>2</v>
      </c>
      <c r="E31" t="s">
        <v>2</v>
      </c>
      <c r="F31" t="s">
        <v>31</v>
      </c>
    </row>
    <row r="32" spans="1:6">
      <c r="A32" s="1">
        <v>40818</v>
      </c>
      <c r="B32">
        <v>19000</v>
      </c>
      <c r="C32" t="s">
        <v>7</v>
      </c>
      <c r="D32" t="s">
        <v>2</v>
      </c>
      <c r="E32" t="s">
        <v>2</v>
      </c>
      <c r="F32" t="s">
        <v>32</v>
      </c>
    </row>
    <row r="33" spans="1:6">
      <c r="A33" s="1">
        <v>40819</v>
      </c>
      <c r="B33">
        <v>1000</v>
      </c>
      <c r="C33" t="s">
        <v>7</v>
      </c>
      <c r="D33" t="s">
        <v>1</v>
      </c>
      <c r="E33" t="s">
        <v>1</v>
      </c>
      <c r="F33" t="s">
        <v>30</v>
      </c>
    </row>
    <row r="34" spans="1:6" ht="15" customHeight="1">
      <c r="A34" s="1">
        <v>41151</v>
      </c>
      <c r="B34">
        <v>-15960</v>
      </c>
      <c r="C34" t="s">
        <v>27</v>
      </c>
      <c r="D34" t="s">
        <v>28</v>
      </c>
      <c r="E34" t="s">
        <v>7</v>
      </c>
      <c r="F34" t="s">
        <v>38</v>
      </c>
    </row>
    <row r="35" spans="1:6">
      <c r="A35" s="1">
        <v>41163</v>
      </c>
      <c r="B35">
        <v>15960</v>
      </c>
      <c r="C35" t="s">
        <v>27</v>
      </c>
      <c r="D35" t="s">
        <v>7</v>
      </c>
      <c r="E35" t="s">
        <v>27</v>
      </c>
      <c r="F35" t="s">
        <v>38</v>
      </c>
    </row>
    <row r="36" spans="1:6">
      <c r="A36" t="s">
        <v>35</v>
      </c>
      <c r="B36">
        <v>-50000</v>
      </c>
      <c r="C36" t="s">
        <v>37</v>
      </c>
      <c r="D36" t="s">
        <v>7</v>
      </c>
      <c r="E36" t="s">
        <v>37</v>
      </c>
    </row>
    <row r="37" spans="1:6">
      <c r="A37" s="1">
        <v>41340</v>
      </c>
      <c r="B37">
        <v>20000</v>
      </c>
      <c r="C37" t="s">
        <v>7</v>
      </c>
      <c r="D37" t="s">
        <v>37</v>
      </c>
      <c r="E37" t="s">
        <v>37</v>
      </c>
    </row>
    <row r="38" spans="1:6">
      <c r="A38" s="5">
        <v>41180</v>
      </c>
      <c r="B38">
        <v>30000</v>
      </c>
      <c r="C38" t="s">
        <v>7</v>
      </c>
      <c r="D38" t="s">
        <v>37</v>
      </c>
      <c r="E38" t="s">
        <v>37</v>
      </c>
    </row>
    <row r="39" spans="1:6">
      <c r="A39" s="1">
        <v>41401</v>
      </c>
      <c r="B39">
        <v>5700</v>
      </c>
      <c r="C39" t="s">
        <v>7</v>
      </c>
      <c r="D39" t="s">
        <v>2</v>
      </c>
      <c r="E39" t="s">
        <v>2</v>
      </c>
      <c r="F39" t="s">
        <v>179</v>
      </c>
    </row>
    <row r="40" spans="1:6">
      <c r="A40" s="1">
        <v>41401</v>
      </c>
      <c r="B40">
        <v>-5700</v>
      </c>
      <c r="C40" t="s">
        <v>2</v>
      </c>
      <c r="D40" t="s">
        <v>7</v>
      </c>
      <c r="E40" t="s">
        <v>2</v>
      </c>
      <c r="F40" t="s">
        <v>179</v>
      </c>
    </row>
    <row r="41" spans="1:6">
      <c r="A41" s="1">
        <v>41406</v>
      </c>
      <c r="B41">
        <v>-20000</v>
      </c>
      <c r="C41" t="s">
        <v>180</v>
      </c>
      <c r="D41" t="s">
        <v>7</v>
      </c>
      <c r="E41" t="s">
        <v>180</v>
      </c>
    </row>
    <row r="42" spans="1:6">
      <c r="A42" s="1">
        <v>41413</v>
      </c>
      <c r="B42">
        <v>-4555</v>
      </c>
      <c r="C42" t="s">
        <v>36</v>
      </c>
      <c r="D42" t="s">
        <v>7</v>
      </c>
      <c r="E42" t="s">
        <v>36</v>
      </c>
      <c r="F42" t="s">
        <v>184</v>
      </c>
    </row>
    <row r="43" spans="1:6">
      <c r="A43" s="1">
        <v>41417</v>
      </c>
      <c r="B43">
        <v>18000</v>
      </c>
      <c r="C43" t="s">
        <v>7</v>
      </c>
      <c r="D43" t="s">
        <v>180</v>
      </c>
      <c r="E43" t="s">
        <v>180</v>
      </c>
    </row>
    <row r="44" spans="1:6">
      <c r="A44" s="1">
        <v>41431</v>
      </c>
      <c r="B44">
        <v>4555</v>
      </c>
      <c r="C44" t="s">
        <v>7</v>
      </c>
      <c r="D44" t="s">
        <v>36</v>
      </c>
      <c r="E44" t="s">
        <v>36</v>
      </c>
      <c r="F44" t="s">
        <v>184</v>
      </c>
    </row>
    <row r="45" spans="1:6">
      <c r="A45" s="1">
        <v>41431</v>
      </c>
      <c r="B45">
        <v>1500</v>
      </c>
      <c r="C45" t="s">
        <v>7</v>
      </c>
      <c r="D45" t="s">
        <v>180</v>
      </c>
      <c r="E45" t="s">
        <v>180</v>
      </c>
    </row>
    <row r="46" spans="1:6">
      <c r="A46" s="1">
        <v>41431</v>
      </c>
      <c r="B46">
        <v>500</v>
      </c>
      <c r="C46" t="s">
        <v>7</v>
      </c>
      <c r="D46" t="s">
        <v>180</v>
      </c>
      <c r="E46" t="s">
        <v>180</v>
      </c>
      <c r="F46" t="s">
        <v>185</v>
      </c>
    </row>
    <row r="47" spans="1:6">
      <c r="A47" s="1">
        <v>41413</v>
      </c>
      <c r="B47">
        <v>2900</v>
      </c>
      <c r="C47" t="s">
        <v>7</v>
      </c>
      <c r="D47" t="s">
        <v>181</v>
      </c>
      <c r="E47" t="s">
        <v>181</v>
      </c>
      <c r="F47" t="s">
        <v>182</v>
      </c>
    </row>
    <row r="48" spans="1:6">
      <c r="A48" s="1">
        <v>41412</v>
      </c>
      <c r="B48">
        <v>500</v>
      </c>
      <c r="C48" t="s">
        <v>7</v>
      </c>
      <c r="D48" t="s">
        <v>181</v>
      </c>
      <c r="E48" t="s">
        <v>181</v>
      </c>
      <c r="F48" t="s">
        <v>183</v>
      </c>
    </row>
    <row r="49" spans="1:6">
      <c r="A49" t="s">
        <v>35</v>
      </c>
      <c r="B49">
        <v>-150000</v>
      </c>
      <c r="C49" t="s">
        <v>13</v>
      </c>
      <c r="D49" t="s">
        <v>7</v>
      </c>
      <c r="E49" t="s">
        <v>13</v>
      </c>
    </row>
    <row r="50" spans="1:6">
      <c r="A50" s="1">
        <v>41365</v>
      </c>
      <c r="B50">
        <v>50000</v>
      </c>
      <c r="C50" t="s">
        <v>7</v>
      </c>
      <c r="D50" t="s">
        <v>13</v>
      </c>
      <c r="E50" t="s">
        <v>13</v>
      </c>
      <c r="F50" t="s">
        <v>178</v>
      </c>
    </row>
    <row r="51" spans="1:6">
      <c r="A51" s="1">
        <v>41387</v>
      </c>
      <c r="B51">
        <v>50000</v>
      </c>
      <c r="C51" t="s">
        <v>7</v>
      </c>
      <c r="D51" t="s">
        <v>13</v>
      </c>
      <c r="E51" t="s">
        <v>13</v>
      </c>
      <c r="F51" t="s">
        <v>178</v>
      </c>
    </row>
    <row r="52" spans="1:6">
      <c r="A52" s="1">
        <v>41391</v>
      </c>
      <c r="B52">
        <v>50000</v>
      </c>
      <c r="C52" t="s">
        <v>7</v>
      </c>
      <c r="D52" t="s">
        <v>13</v>
      </c>
      <c r="E52" t="s">
        <v>13</v>
      </c>
      <c r="F52" t="s">
        <v>178</v>
      </c>
    </row>
    <row r="53" spans="1:6">
      <c r="A53" t="s">
        <v>35</v>
      </c>
      <c r="B53">
        <v>-20000</v>
      </c>
      <c r="C53" t="s">
        <v>36</v>
      </c>
      <c r="D53" t="s">
        <v>7</v>
      </c>
      <c r="E53" t="s">
        <v>36</v>
      </c>
    </row>
    <row r="54" spans="1:6" ht="15" customHeight="1">
      <c r="A54" t="s">
        <v>39</v>
      </c>
      <c r="B54">
        <v>40000</v>
      </c>
      <c r="C54" t="s">
        <v>7</v>
      </c>
      <c r="D54" t="s">
        <v>36</v>
      </c>
      <c r="E54" t="s">
        <v>36</v>
      </c>
    </row>
    <row r="55" spans="1:6" ht="15" customHeight="1">
      <c r="A55" t="s">
        <v>39</v>
      </c>
      <c r="B55">
        <v>-30000</v>
      </c>
      <c r="C55" t="s">
        <v>36</v>
      </c>
      <c r="D55" t="s">
        <v>7</v>
      </c>
      <c r="E55" t="s">
        <v>36</v>
      </c>
    </row>
    <row r="56" spans="1:6" ht="15" customHeight="1">
      <c r="B56">
        <v>20000</v>
      </c>
      <c r="C56" t="s">
        <v>7</v>
      </c>
      <c r="D56" t="s">
        <v>36</v>
      </c>
      <c r="E56" t="s">
        <v>36</v>
      </c>
    </row>
    <row r="57" spans="1:6">
      <c r="B57">
        <v>-10000</v>
      </c>
      <c r="C57" t="s">
        <v>36</v>
      </c>
      <c r="D57" t="s">
        <v>7</v>
      </c>
      <c r="E57" t="s">
        <v>36</v>
      </c>
    </row>
    <row r="58" spans="1:6" ht="15" customHeight="1">
      <c r="B58">
        <v>-10000</v>
      </c>
      <c r="C58" t="s">
        <v>36</v>
      </c>
      <c r="D58" t="s">
        <v>7</v>
      </c>
      <c r="E58" t="s">
        <v>36</v>
      </c>
      <c r="F58" t="s">
        <v>40</v>
      </c>
    </row>
    <row r="59" spans="1:6" ht="15" customHeight="1">
      <c r="A59" s="1">
        <v>41159</v>
      </c>
      <c r="B59">
        <v>1000</v>
      </c>
      <c r="C59" t="s">
        <v>7</v>
      </c>
      <c r="D59" t="s">
        <v>36</v>
      </c>
      <c r="E59" t="s">
        <v>36</v>
      </c>
      <c r="F59" t="s">
        <v>51</v>
      </c>
    </row>
    <row r="60" spans="1:6" ht="15" customHeight="1">
      <c r="A60" s="1">
        <v>41714</v>
      </c>
      <c r="B60" s="11">
        <v>12500</v>
      </c>
      <c r="C60" t="s">
        <v>7</v>
      </c>
      <c r="D60" t="s">
        <v>36</v>
      </c>
      <c r="E60" t="s">
        <v>36</v>
      </c>
      <c r="F60" t="s">
        <v>224</v>
      </c>
    </row>
    <row r="61" spans="1:6" ht="15" customHeight="1">
      <c r="A61" s="1">
        <v>41714</v>
      </c>
      <c r="B61" s="11">
        <v>324</v>
      </c>
      <c r="C61" t="s">
        <v>7</v>
      </c>
      <c r="D61" t="s">
        <v>36</v>
      </c>
      <c r="E61" t="s">
        <v>36</v>
      </c>
      <c r="F61" t="s">
        <v>225</v>
      </c>
    </row>
    <row r="62" spans="1:6" ht="15" customHeight="1">
      <c r="A62" s="1">
        <v>41730</v>
      </c>
      <c r="B62">
        <v>-2000</v>
      </c>
      <c r="C62" t="s">
        <v>36</v>
      </c>
      <c r="D62" t="s">
        <v>7</v>
      </c>
      <c r="E62" t="s">
        <v>36</v>
      </c>
      <c r="F62" t="s">
        <v>230</v>
      </c>
    </row>
    <row r="63" spans="1:6">
      <c r="A63" s="1">
        <v>41765</v>
      </c>
      <c r="B63">
        <v>-1824</v>
      </c>
      <c r="C63" t="s">
        <v>36</v>
      </c>
      <c r="D63" t="s">
        <v>7</v>
      </c>
      <c r="E63" t="s">
        <v>36</v>
      </c>
      <c r="F63" t="s">
        <v>231</v>
      </c>
    </row>
    <row r="64" spans="1:6">
      <c r="A64" s="1">
        <v>41715</v>
      </c>
      <c r="B64" s="11">
        <v>3231</v>
      </c>
      <c r="C64" t="s">
        <v>7</v>
      </c>
      <c r="D64" t="s">
        <v>219</v>
      </c>
      <c r="E64" t="s">
        <v>219</v>
      </c>
      <c r="F64" t="s">
        <v>220</v>
      </c>
    </row>
    <row r="65" spans="1:6">
      <c r="A65" s="1">
        <v>41715</v>
      </c>
      <c r="B65" s="11">
        <v>3031</v>
      </c>
      <c r="C65" t="s">
        <v>7</v>
      </c>
      <c r="D65" t="s">
        <v>219</v>
      </c>
      <c r="E65" t="s">
        <v>219</v>
      </c>
      <c r="F65" t="s">
        <v>221</v>
      </c>
    </row>
    <row r="66" spans="1:6">
      <c r="A66" s="1">
        <v>41719</v>
      </c>
      <c r="B66">
        <v>7454</v>
      </c>
      <c r="C66" t="s">
        <v>7</v>
      </c>
      <c r="D66" t="s">
        <v>219</v>
      </c>
      <c r="E66" t="s">
        <v>219</v>
      </c>
      <c r="F66" t="s">
        <v>222</v>
      </c>
    </row>
    <row r="67" spans="1:6">
      <c r="A67" s="1">
        <v>41719</v>
      </c>
      <c r="B67">
        <v>814</v>
      </c>
      <c r="C67" t="s">
        <v>7</v>
      </c>
      <c r="D67" t="s">
        <v>219</v>
      </c>
      <c r="E67" t="s">
        <v>219</v>
      </c>
      <c r="F67" t="s">
        <v>223</v>
      </c>
    </row>
    <row r="68" spans="1:6">
      <c r="A68" s="1">
        <v>41731</v>
      </c>
      <c r="B68">
        <v>-125</v>
      </c>
      <c r="C68" t="s">
        <v>226</v>
      </c>
      <c r="D68" t="s">
        <v>7</v>
      </c>
      <c r="E68" t="s">
        <v>219</v>
      </c>
      <c r="F68" t="s">
        <v>227</v>
      </c>
    </row>
    <row r="69" spans="1:6">
      <c r="A69" s="1">
        <v>41804</v>
      </c>
      <c r="B69">
        <v>-14405</v>
      </c>
      <c r="C69" t="s">
        <v>219</v>
      </c>
      <c r="D69" t="s">
        <v>7</v>
      </c>
      <c r="E69" t="s">
        <v>219</v>
      </c>
      <c r="F69" t="s">
        <v>253</v>
      </c>
    </row>
    <row r="70" spans="1:6">
      <c r="A70" s="1">
        <v>42017</v>
      </c>
      <c r="B70">
        <v>10000</v>
      </c>
      <c r="C70" t="s">
        <v>7</v>
      </c>
      <c r="D70" t="s">
        <v>240</v>
      </c>
      <c r="E70" t="s">
        <v>240</v>
      </c>
      <c r="F70" t="s">
        <v>241</v>
      </c>
    </row>
    <row r="71" spans="1:6">
      <c r="A71" s="1">
        <v>42095</v>
      </c>
      <c r="B71">
        <v>-10000</v>
      </c>
      <c r="C71" t="s">
        <v>240</v>
      </c>
      <c r="D71" t="s">
        <v>7</v>
      </c>
      <c r="E71" t="s">
        <v>240</v>
      </c>
      <c r="F71" t="s">
        <v>248</v>
      </c>
    </row>
    <row r="72" spans="1:6">
      <c r="A72" s="1">
        <v>41999</v>
      </c>
      <c r="B72">
        <v>-1000</v>
      </c>
      <c r="C72" t="s">
        <v>26</v>
      </c>
      <c r="D72" t="s">
        <v>7</v>
      </c>
      <c r="E72" t="s">
        <v>26</v>
      </c>
      <c r="F72" t="s">
        <v>245</v>
      </c>
    </row>
    <row r="73" spans="1:6">
      <c r="A73" s="1">
        <v>42123</v>
      </c>
      <c r="B73">
        <v>51000</v>
      </c>
      <c r="C73" t="s">
        <v>7</v>
      </c>
      <c r="D73" t="s">
        <v>26</v>
      </c>
      <c r="E73" t="s">
        <v>26</v>
      </c>
      <c r="F73" t="s">
        <v>251</v>
      </c>
    </row>
    <row r="74" spans="1:6">
      <c r="A74" s="1">
        <v>42124</v>
      </c>
      <c r="B74">
        <v>-50000</v>
      </c>
      <c r="C74" t="s">
        <v>26</v>
      </c>
      <c r="D74" t="s">
        <v>7</v>
      </c>
      <c r="E74" t="s">
        <v>26</v>
      </c>
      <c r="F74" t="s">
        <v>248</v>
      </c>
    </row>
    <row r="75" spans="1:6">
      <c r="A75" s="1">
        <v>41947</v>
      </c>
      <c r="B75">
        <v>-2100</v>
      </c>
      <c r="C75" t="s">
        <v>26</v>
      </c>
      <c r="D75" t="s">
        <v>7</v>
      </c>
      <c r="E75" t="s">
        <v>26</v>
      </c>
      <c r="F75" t="s">
        <v>244</v>
      </c>
    </row>
    <row r="76" spans="1:6">
      <c r="A76" s="1">
        <v>41764</v>
      </c>
      <c r="B76">
        <v>5000</v>
      </c>
      <c r="C76" t="s">
        <v>7</v>
      </c>
      <c r="D76" t="s">
        <v>13</v>
      </c>
      <c r="E76" t="s">
        <v>13</v>
      </c>
      <c r="F76" t="s">
        <v>229</v>
      </c>
    </row>
    <row r="77" spans="1:6">
      <c r="B77">
        <v>-5000</v>
      </c>
      <c r="C77" t="s">
        <v>13</v>
      </c>
      <c r="D77" t="s">
        <v>7</v>
      </c>
      <c r="E77" t="s">
        <v>13</v>
      </c>
    </row>
    <row r="78" spans="1:6" ht="15" customHeight="1">
      <c r="A78" s="1">
        <v>41390</v>
      </c>
      <c r="B78">
        <v>-70000</v>
      </c>
      <c r="C78" t="s">
        <v>2</v>
      </c>
      <c r="D78" t="s">
        <v>7</v>
      </c>
      <c r="E78" t="s">
        <v>2</v>
      </c>
    </row>
    <row r="79" spans="1:6">
      <c r="A79" s="1">
        <v>41278</v>
      </c>
      <c r="B79">
        <v>20000</v>
      </c>
      <c r="C79" t="s">
        <v>7</v>
      </c>
      <c r="D79" t="s">
        <v>2</v>
      </c>
      <c r="E79" t="s">
        <v>2</v>
      </c>
    </row>
    <row r="80" spans="1:6">
      <c r="A80" s="1">
        <v>41640</v>
      </c>
      <c r="B80">
        <v>3000</v>
      </c>
      <c r="C80" t="s">
        <v>7</v>
      </c>
      <c r="D80" t="s">
        <v>2</v>
      </c>
      <c r="E80" t="s">
        <v>2</v>
      </c>
      <c r="F80" t="s">
        <v>218</v>
      </c>
    </row>
    <row r="81" spans="1:9">
      <c r="A81" s="1">
        <v>41787</v>
      </c>
      <c r="B81">
        <v>30000</v>
      </c>
      <c r="C81" t="s">
        <v>7</v>
      </c>
      <c r="D81" t="s">
        <v>2</v>
      </c>
      <c r="E81" t="s">
        <v>2</v>
      </c>
      <c r="F81" t="s">
        <v>35</v>
      </c>
    </row>
    <row r="82" spans="1:9">
      <c r="A82" s="1">
        <v>42102</v>
      </c>
      <c r="B82">
        <v>20000</v>
      </c>
      <c r="C82" t="s">
        <v>7</v>
      </c>
      <c r="D82" t="s">
        <v>2</v>
      </c>
      <c r="E82" t="s">
        <v>2</v>
      </c>
      <c r="F82" t="s">
        <v>249</v>
      </c>
    </row>
    <row r="83" spans="1:9" ht="15" customHeight="1">
      <c r="A83" t="s">
        <v>35</v>
      </c>
      <c r="B83">
        <v>-100000</v>
      </c>
      <c r="C83" t="s">
        <v>28</v>
      </c>
      <c r="D83" t="s">
        <v>7</v>
      </c>
      <c r="E83" t="s">
        <v>27</v>
      </c>
    </row>
    <row r="84" spans="1:9" ht="15" customHeight="1">
      <c r="A84" s="1">
        <v>41043</v>
      </c>
      <c r="B84">
        <v>12000</v>
      </c>
      <c r="C84" t="s">
        <v>7</v>
      </c>
      <c r="D84" t="s">
        <v>27</v>
      </c>
      <c r="E84" t="s">
        <v>27</v>
      </c>
      <c r="F84" t="s">
        <v>35</v>
      </c>
      <c r="I84" t="s">
        <v>190</v>
      </c>
    </row>
    <row r="85" spans="1:9" ht="15" customHeight="1">
      <c r="A85" s="1">
        <v>41116</v>
      </c>
      <c r="B85">
        <v>9000</v>
      </c>
      <c r="C85" t="s">
        <v>7</v>
      </c>
      <c r="D85" t="s">
        <v>27</v>
      </c>
      <c r="E85" t="s">
        <v>27</v>
      </c>
      <c r="F85" t="s">
        <v>35</v>
      </c>
    </row>
    <row r="86" spans="1:9" ht="15" customHeight="1">
      <c r="A86" s="1">
        <v>41191</v>
      </c>
      <c r="B86">
        <v>20000</v>
      </c>
      <c r="C86" t="s">
        <v>7</v>
      </c>
      <c r="D86" t="s">
        <v>27</v>
      </c>
      <c r="E86" t="s">
        <v>27</v>
      </c>
    </row>
    <row r="87" spans="1:9">
      <c r="A87" s="1">
        <v>41757</v>
      </c>
      <c r="B87">
        <v>40000</v>
      </c>
      <c r="C87" t="s">
        <v>7</v>
      </c>
      <c r="D87" t="s">
        <v>27</v>
      </c>
      <c r="E87" t="s">
        <v>27</v>
      </c>
      <c r="F87" t="s">
        <v>35</v>
      </c>
    </row>
    <row r="88" spans="1:9">
      <c r="A88" s="1">
        <v>42006</v>
      </c>
      <c r="B88">
        <v>-600</v>
      </c>
      <c r="C88" t="s">
        <v>27</v>
      </c>
      <c r="D88" t="s">
        <v>7</v>
      </c>
      <c r="E88" t="s">
        <v>27</v>
      </c>
      <c r="F88" t="s">
        <v>246</v>
      </c>
    </row>
    <row r="89" spans="1:9" ht="15" customHeight="1">
      <c r="A89" s="1">
        <v>42102</v>
      </c>
      <c r="B89">
        <v>10000</v>
      </c>
      <c r="C89" t="s">
        <v>7</v>
      </c>
      <c r="D89" t="s">
        <v>27</v>
      </c>
      <c r="E89" t="s">
        <v>27</v>
      </c>
      <c r="F89" t="s">
        <v>250</v>
      </c>
    </row>
    <row r="90" spans="1:9">
      <c r="A90" s="1">
        <v>42923</v>
      </c>
      <c r="B90">
        <v>-10000</v>
      </c>
      <c r="C90" t="s">
        <v>11</v>
      </c>
      <c r="D90" t="s">
        <v>7</v>
      </c>
      <c r="E90" t="s">
        <v>11</v>
      </c>
    </row>
    <row r="91" spans="1:9">
      <c r="A91" s="1">
        <v>43288</v>
      </c>
      <c r="B91">
        <v>-20000</v>
      </c>
      <c r="C91" t="s">
        <v>11</v>
      </c>
      <c r="D91" t="s">
        <v>7</v>
      </c>
      <c r="E91" t="s">
        <v>11</v>
      </c>
    </row>
    <row r="92" spans="1:9">
      <c r="A92" s="1">
        <v>42231</v>
      </c>
      <c r="B92">
        <v>1000</v>
      </c>
      <c r="C92" t="s">
        <v>7</v>
      </c>
      <c r="D92" t="s">
        <v>298</v>
      </c>
      <c r="E92" t="s">
        <v>298</v>
      </c>
    </row>
    <row r="93" spans="1:9">
      <c r="B93">
        <v>-850</v>
      </c>
      <c r="C93" t="s">
        <v>14</v>
      </c>
      <c r="D93" t="s">
        <v>7</v>
      </c>
      <c r="E93" t="s">
        <v>14</v>
      </c>
    </row>
    <row r="94" spans="1:9">
      <c r="A94" s="1">
        <v>41462</v>
      </c>
      <c r="B94">
        <v>510</v>
      </c>
      <c r="C94" t="s">
        <v>7</v>
      </c>
      <c r="D94" t="s">
        <v>186</v>
      </c>
      <c r="E94" t="s">
        <v>186</v>
      </c>
      <c r="F94" t="s">
        <v>187</v>
      </c>
    </row>
  </sheetData>
  <autoFilter ref="A1:G94" xr:uid="{495A481B-2FD4-1643-A889-6B4042C99C8F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5FC0-4E4E-FE4E-9D32-79BF7FC1E3C3}">
  <dimension ref="A1:S12"/>
  <sheetViews>
    <sheetView workbookViewId="0">
      <selection activeCell="H38" sqref="H38"/>
    </sheetView>
  </sheetViews>
  <sheetFormatPr baseColWidth="10" defaultRowHeight="15"/>
  <cols>
    <col min="1" max="1" width="9.83203125" bestFit="1" customWidth="1"/>
    <col min="2" max="2" width="20.6640625" bestFit="1" customWidth="1"/>
    <col min="3" max="3" width="17.6640625" bestFit="1" customWidth="1"/>
    <col min="4" max="4" width="9.1640625" bestFit="1" customWidth="1"/>
    <col min="5" max="5" width="6" bestFit="1" customWidth="1"/>
    <col min="7" max="7" width="9" bestFit="1" customWidth="1"/>
    <col min="14" max="14" width="20.6640625" bestFit="1" customWidth="1"/>
    <col min="15" max="15" width="17.6640625" bestFit="1" customWidth="1"/>
    <col min="18" max="18" width="15" bestFit="1" customWidth="1"/>
    <col min="19" max="19" width="13.1640625" bestFit="1" customWidth="1"/>
  </cols>
  <sheetData>
    <row r="1" spans="1:19">
      <c r="A1" s="110" t="s">
        <v>513</v>
      </c>
      <c r="B1" s="110"/>
      <c r="C1" s="110"/>
      <c r="D1" s="110"/>
      <c r="E1" s="110"/>
      <c r="F1" s="110"/>
      <c r="G1" s="110"/>
      <c r="M1" s="110" t="s">
        <v>514</v>
      </c>
      <c r="N1" s="110"/>
      <c r="O1" s="110"/>
      <c r="P1" s="110"/>
      <c r="Q1" s="110"/>
      <c r="R1" s="110"/>
      <c r="S1" s="110"/>
    </row>
    <row r="2" spans="1:19">
      <c r="A2" t="s">
        <v>497</v>
      </c>
      <c r="B2" t="s">
        <v>498</v>
      </c>
      <c r="C2" t="s">
        <v>499</v>
      </c>
      <c r="D2" s="93" t="s">
        <v>504</v>
      </c>
      <c r="E2" s="93" t="s">
        <v>505</v>
      </c>
      <c r="F2" s="93" t="s">
        <v>506</v>
      </c>
      <c r="M2" t="s">
        <v>497</v>
      </c>
      <c r="N2" t="s">
        <v>498</v>
      </c>
      <c r="O2" t="s">
        <v>499</v>
      </c>
      <c r="P2" s="93" t="s">
        <v>504</v>
      </c>
      <c r="Q2" s="93" t="s">
        <v>505</v>
      </c>
      <c r="R2" s="93" t="s">
        <v>506</v>
      </c>
    </row>
    <row r="3" spans="1:19">
      <c r="A3">
        <v>50</v>
      </c>
      <c r="B3">
        <v>175</v>
      </c>
      <c r="C3">
        <v>45</v>
      </c>
      <c r="D3">
        <v>39</v>
      </c>
      <c r="E3">
        <v>5</v>
      </c>
      <c r="F3">
        <v>6</v>
      </c>
      <c r="M3">
        <v>50</v>
      </c>
      <c r="N3">
        <v>175</v>
      </c>
      <c r="O3">
        <v>45</v>
      </c>
      <c r="P3">
        <v>39</v>
      </c>
      <c r="Q3">
        <v>5</v>
      </c>
      <c r="R3">
        <v>6</v>
      </c>
    </row>
    <row r="5" spans="1:19">
      <c r="A5" t="s">
        <v>500</v>
      </c>
      <c r="B5" t="s">
        <v>501</v>
      </c>
      <c r="M5" t="s">
        <v>500</v>
      </c>
      <c r="N5" t="s">
        <v>501</v>
      </c>
    </row>
    <row r="6" spans="1:19">
      <c r="B6" t="s">
        <v>510</v>
      </c>
      <c r="C6" t="s">
        <v>502</v>
      </c>
      <c r="D6" t="s">
        <v>503</v>
      </c>
      <c r="E6" t="s">
        <v>172</v>
      </c>
      <c r="F6" s="93" t="s">
        <v>507</v>
      </c>
      <c r="G6" s="93" t="s">
        <v>508</v>
      </c>
      <c r="N6" t="s">
        <v>510</v>
      </c>
      <c r="O6" t="s">
        <v>502</v>
      </c>
      <c r="P6" t="s">
        <v>503</v>
      </c>
      <c r="Q6" t="s">
        <v>172</v>
      </c>
      <c r="R6" s="93" t="s">
        <v>515</v>
      </c>
      <c r="S6" s="93" t="s">
        <v>516</v>
      </c>
    </row>
    <row r="7" spans="1:19">
      <c r="B7">
        <v>125</v>
      </c>
      <c r="C7">
        <v>42</v>
      </c>
      <c r="D7">
        <v>41</v>
      </c>
      <c r="E7">
        <v>42</v>
      </c>
      <c r="F7">
        <f>C7+D3</f>
        <v>81</v>
      </c>
      <c r="G7">
        <f>D7+F3</f>
        <v>47</v>
      </c>
      <c r="N7">
        <v>175</v>
      </c>
      <c r="O7">
        <v>58.4</v>
      </c>
      <c r="P7">
        <v>58.3</v>
      </c>
      <c r="Q7">
        <v>58.3</v>
      </c>
      <c r="R7">
        <f>O7-P3</f>
        <v>19.399999999999999</v>
      </c>
      <c r="S7">
        <f>P7-R3</f>
        <v>52.3</v>
      </c>
    </row>
    <row r="10" spans="1:19">
      <c r="A10" t="s">
        <v>509</v>
      </c>
      <c r="B10" t="s">
        <v>511</v>
      </c>
      <c r="C10" t="s">
        <v>512</v>
      </c>
      <c r="D10">
        <v>50</v>
      </c>
      <c r="M10" t="s">
        <v>509</v>
      </c>
      <c r="N10" t="s">
        <v>511</v>
      </c>
      <c r="O10" t="s">
        <v>512</v>
      </c>
      <c r="P10">
        <v>50</v>
      </c>
    </row>
    <row r="11" spans="1:19">
      <c r="B11" t="s">
        <v>510</v>
      </c>
      <c r="C11" t="s">
        <v>502</v>
      </c>
      <c r="D11" t="s">
        <v>503</v>
      </c>
      <c r="E11" t="s">
        <v>172</v>
      </c>
      <c r="F11" s="93" t="s">
        <v>507</v>
      </c>
      <c r="G11" s="93" t="s">
        <v>508</v>
      </c>
      <c r="H11" s="93"/>
      <c r="N11" t="s">
        <v>510</v>
      </c>
      <c r="O11" t="s">
        <v>502</v>
      </c>
      <c r="P11" t="s">
        <v>503</v>
      </c>
      <c r="Q11" t="s">
        <v>172</v>
      </c>
      <c r="R11" s="93" t="s">
        <v>515</v>
      </c>
      <c r="S11" s="93" t="s">
        <v>516</v>
      </c>
    </row>
    <row r="12" spans="1:19">
      <c r="B12">
        <v>175</v>
      </c>
      <c r="C12">
        <v>42</v>
      </c>
      <c r="D12">
        <v>91</v>
      </c>
      <c r="E12">
        <v>42</v>
      </c>
      <c r="F12">
        <f>C12+D3</f>
        <v>81</v>
      </c>
      <c r="G12">
        <f>D12-D10+F3</f>
        <v>47</v>
      </c>
      <c r="N12">
        <v>175</v>
      </c>
      <c r="O12">
        <v>58.4</v>
      </c>
      <c r="P12">
        <v>58.3</v>
      </c>
      <c r="Q12">
        <v>58.3</v>
      </c>
      <c r="R12">
        <f>O12-P3</f>
        <v>19.399999999999999</v>
      </c>
      <c r="S12">
        <f>P12+P3+Q3</f>
        <v>102.3</v>
      </c>
    </row>
  </sheetData>
  <mergeCells count="2">
    <mergeCell ref="A1:G1"/>
    <mergeCell ref="M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"/>
  <sheetViews>
    <sheetView workbookViewId="0">
      <selection activeCell="L29" sqref="L29"/>
    </sheetView>
  </sheetViews>
  <sheetFormatPr baseColWidth="10" defaultColWidth="8.83203125" defaultRowHeight="15"/>
  <cols>
    <col min="2" max="2" width="10.83203125" bestFit="1" customWidth="1"/>
    <col min="3" max="3" width="63.6640625" bestFit="1" customWidth="1"/>
    <col min="6" max="6" width="31.6640625" bestFit="1" customWidth="1"/>
    <col min="7" max="7" width="13.1640625" bestFit="1" customWidth="1"/>
    <col min="8" max="10" width="9.83203125" bestFit="1" customWidth="1"/>
  </cols>
  <sheetData>
    <row r="1" spans="1:10">
      <c r="E1" t="s">
        <v>48</v>
      </c>
      <c r="G1" t="s">
        <v>70</v>
      </c>
      <c r="H1" s="11">
        <f>SUM(D3:D10)</f>
        <v>22000.019999999997</v>
      </c>
    </row>
    <row r="2" spans="1:10">
      <c r="A2" t="s">
        <v>43</v>
      </c>
      <c r="B2" s="1">
        <v>41153</v>
      </c>
      <c r="C2" t="s">
        <v>41</v>
      </c>
      <c r="D2">
        <v>-66000</v>
      </c>
      <c r="H2" s="11">
        <f>D2+H1</f>
        <v>-43999.98</v>
      </c>
      <c r="I2" s="11">
        <v>-45629.86</v>
      </c>
    </row>
    <row r="3" spans="1:10">
      <c r="A3" t="s">
        <v>44</v>
      </c>
      <c r="B3" s="1">
        <v>41112</v>
      </c>
      <c r="C3" t="s">
        <v>46</v>
      </c>
      <c r="D3" s="4">
        <v>3666.67</v>
      </c>
      <c r="E3" s="4" t="s">
        <v>49</v>
      </c>
      <c r="F3" t="s">
        <v>47</v>
      </c>
      <c r="I3" s="11">
        <f>H2-I2</f>
        <v>1629.8799999999974</v>
      </c>
    </row>
    <row r="4" spans="1:10">
      <c r="A4" t="s">
        <v>43</v>
      </c>
      <c r="B4" s="1"/>
      <c r="C4" t="s">
        <v>69</v>
      </c>
      <c r="D4" s="4">
        <v>-3666.67</v>
      </c>
      <c r="E4" s="4"/>
      <c r="I4">
        <v>407.3</v>
      </c>
    </row>
    <row r="5" spans="1:10">
      <c r="A5" t="s">
        <v>44</v>
      </c>
      <c r="B5" s="1">
        <v>41143</v>
      </c>
      <c r="C5" s="3" t="s">
        <v>42</v>
      </c>
      <c r="D5" s="4">
        <v>3666.67</v>
      </c>
      <c r="E5" s="4" t="s">
        <v>50</v>
      </c>
      <c r="F5" t="s">
        <v>45</v>
      </c>
      <c r="I5" s="11">
        <v>1440</v>
      </c>
    </row>
    <row r="6" spans="1:10">
      <c r="A6" t="s">
        <v>44</v>
      </c>
      <c r="B6" s="3" t="s">
        <v>52</v>
      </c>
      <c r="C6" s="3" t="s">
        <v>53</v>
      </c>
      <c r="D6" s="4">
        <v>3666.67</v>
      </c>
      <c r="E6" t="s">
        <v>50</v>
      </c>
      <c r="F6" t="s">
        <v>45</v>
      </c>
      <c r="I6" s="11">
        <v>190</v>
      </c>
    </row>
    <row r="7" spans="1:10">
      <c r="A7" t="s">
        <v>44</v>
      </c>
      <c r="B7" s="5" t="s">
        <v>67</v>
      </c>
      <c r="C7" t="s">
        <v>68</v>
      </c>
      <c r="D7" s="11">
        <v>3666.67</v>
      </c>
      <c r="E7" t="s">
        <v>50</v>
      </c>
    </row>
    <row r="8" spans="1:10">
      <c r="B8" s="5"/>
      <c r="C8" t="s">
        <v>55</v>
      </c>
      <c r="D8" s="11">
        <v>3666.67</v>
      </c>
    </row>
    <row r="9" spans="1:10">
      <c r="A9" t="s">
        <v>44</v>
      </c>
      <c r="B9" s="3" t="s">
        <v>65</v>
      </c>
      <c r="C9" t="s">
        <v>66</v>
      </c>
      <c r="D9" s="11">
        <v>3666.67</v>
      </c>
      <c r="E9" t="s">
        <v>50</v>
      </c>
      <c r="J9" s="1">
        <v>41112</v>
      </c>
    </row>
    <row r="10" spans="1:10">
      <c r="A10" t="s">
        <v>44</v>
      </c>
      <c r="B10" t="s">
        <v>71</v>
      </c>
      <c r="C10" t="s">
        <v>72</v>
      </c>
      <c r="D10" s="11">
        <v>3666.67</v>
      </c>
      <c r="E10" t="s">
        <v>50</v>
      </c>
      <c r="J10" s="1">
        <v>41143</v>
      </c>
    </row>
    <row r="11" spans="1:10">
      <c r="J11" s="1">
        <v>41174</v>
      </c>
    </row>
    <row r="12" spans="1:10">
      <c r="J12" s="1">
        <v>41204</v>
      </c>
    </row>
    <row r="13" spans="1:10">
      <c r="J13" s="1">
        <v>41235</v>
      </c>
    </row>
    <row r="14" spans="1:10">
      <c r="J14" s="1">
        <v>41265</v>
      </c>
    </row>
    <row r="15" spans="1:10">
      <c r="B15" t="s">
        <v>73</v>
      </c>
      <c r="C15" t="s">
        <v>74</v>
      </c>
      <c r="D15" t="s">
        <v>75</v>
      </c>
      <c r="J15" s="1">
        <v>41296</v>
      </c>
    </row>
    <row r="16" spans="1:10">
      <c r="A16" t="s">
        <v>76</v>
      </c>
      <c r="B16" t="s">
        <v>77</v>
      </c>
      <c r="C16" t="s">
        <v>78</v>
      </c>
      <c r="D16" t="s">
        <v>79</v>
      </c>
      <c r="J16" s="1">
        <v>41327</v>
      </c>
    </row>
    <row r="17" spans="1:10">
      <c r="A17" t="s">
        <v>80</v>
      </c>
      <c r="B17" t="s">
        <v>81</v>
      </c>
      <c r="C17" t="s">
        <v>82</v>
      </c>
      <c r="D17" t="s">
        <v>81</v>
      </c>
      <c r="J17" s="1">
        <v>41355</v>
      </c>
    </row>
    <row r="18" spans="1:10">
      <c r="A18" t="s">
        <v>83</v>
      </c>
      <c r="B18" t="s">
        <v>84</v>
      </c>
      <c r="C18" t="s">
        <v>85</v>
      </c>
      <c r="D18" t="s">
        <v>81</v>
      </c>
      <c r="J18" s="1">
        <v>41386</v>
      </c>
    </row>
    <row r="19" spans="1:10">
      <c r="A19" t="s">
        <v>86</v>
      </c>
      <c r="B19" t="s">
        <v>87</v>
      </c>
      <c r="J19" s="1">
        <v>41416</v>
      </c>
    </row>
    <row r="20" spans="1:10">
      <c r="J20" s="1">
        <v>41447</v>
      </c>
    </row>
    <row r="21" spans="1:10">
      <c r="J21" s="1">
        <v>41477</v>
      </c>
    </row>
    <row r="22" spans="1:10">
      <c r="J22" s="1">
        <v>41508</v>
      </c>
    </row>
    <row r="23" spans="1:10">
      <c r="J23" s="1">
        <v>41539</v>
      </c>
    </row>
    <row r="24" spans="1:10">
      <c r="J24" s="1">
        <v>41569</v>
      </c>
    </row>
    <row r="25" spans="1:10">
      <c r="J25" s="1">
        <v>41600</v>
      </c>
    </row>
    <row r="26" spans="1:10">
      <c r="J26" s="1">
        <v>41630</v>
      </c>
    </row>
    <row r="27" spans="1:10">
      <c r="A27">
        <v>1250</v>
      </c>
    </row>
    <row r="28" spans="1:10">
      <c r="A28">
        <v>-500</v>
      </c>
    </row>
    <row r="29" spans="1:10">
      <c r="A29">
        <v>-500</v>
      </c>
    </row>
    <row r="30" spans="1:10">
      <c r="A30">
        <v>2876.61</v>
      </c>
    </row>
    <row r="31" spans="1:10">
      <c r="A31">
        <v>348</v>
      </c>
    </row>
    <row r="32" spans="1:10">
      <c r="A32">
        <v>675</v>
      </c>
    </row>
    <row r="33" spans="1:3">
      <c r="A33">
        <v>3245</v>
      </c>
    </row>
    <row r="34" spans="1:3">
      <c r="A34">
        <v>3245</v>
      </c>
    </row>
    <row r="35" spans="1:3">
      <c r="A35">
        <v>-4000</v>
      </c>
    </row>
    <row r="36" spans="1:3">
      <c r="A36">
        <v>210</v>
      </c>
    </row>
    <row r="37" spans="1:3">
      <c r="A37">
        <v>3356</v>
      </c>
    </row>
    <row r="38" spans="1:3">
      <c r="A38">
        <v>269.26</v>
      </c>
    </row>
    <row r="39" spans="1:3">
      <c r="A39">
        <v>675</v>
      </c>
    </row>
    <row r="40" spans="1:3">
      <c r="A40">
        <v>500</v>
      </c>
    </row>
    <row r="41" spans="1:3">
      <c r="A41">
        <v>2288.1</v>
      </c>
    </row>
    <row r="42" spans="1:3">
      <c r="A42">
        <v>1035</v>
      </c>
    </row>
    <row r="43" spans="1:3">
      <c r="A43">
        <f>SUM(A27:A42)</f>
        <v>14972.970000000001</v>
      </c>
      <c r="B43">
        <v>1946</v>
      </c>
      <c r="C43">
        <f>A43+B43</f>
        <v>16918.97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/>
  </sheetViews>
  <sheetFormatPr baseColWidth="10" defaultColWidth="8.83203125" defaultRowHeight="15"/>
  <cols>
    <col min="1" max="1" width="18.6640625" bestFit="1" customWidth="1"/>
    <col min="2" max="2" width="18.6640625" customWidth="1"/>
    <col min="4" max="4" width="26.1640625" bestFit="1" customWidth="1"/>
  </cols>
  <sheetData>
    <row r="1" spans="1:5">
      <c r="A1" t="s">
        <v>56</v>
      </c>
      <c r="B1" s="7" t="s">
        <v>62</v>
      </c>
      <c r="C1">
        <v>5000</v>
      </c>
      <c r="D1" s="6">
        <v>41486</v>
      </c>
    </row>
    <row r="2" spans="1:5">
      <c r="A2" t="s">
        <v>57</v>
      </c>
      <c r="B2" s="7" t="s">
        <v>61</v>
      </c>
      <c r="C2">
        <v>2000</v>
      </c>
      <c r="D2" s="6">
        <v>41364</v>
      </c>
    </row>
    <row r="3" spans="1:5">
      <c r="A3" t="s">
        <v>58</v>
      </c>
      <c r="B3" s="7" t="s">
        <v>60</v>
      </c>
      <c r="C3">
        <v>5000</v>
      </c>
      <c r="D3" s="6">
        <v>41333</v>
      </c>
    </row>
    <row r="4" spans="1:5">
      <c r="A4" s="8" t="s">
        <v>59</v>
      </c>
      <c r="B4" s="9" t="s">
        <v>63</v>
      </c>
      <c r="C4" s="8">
        <v>222.66</v>
      </c>
      <c r="D4" s="10">
        <v>41274</v>
      </c>
      <c r="E4" s="8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0"/>
  <sheetViews>
    <sheetView workbookViewId="0">
      <selection activeCell="M14" sqref="M5:M14"/>
    </sheetView>
  </sheetViews>
  <sheetFormatPr baseColWidth="10" defaultColWidth="8.83203125" defaultRowHeight="15"/>
  <cols>
    <col min="1" max="1" width="9.1640625" bestFit="1" customWidth="1"/>
    <col min="2" max="2" width="33.1640625" bestFit="1" customWidth="1"/>
    <col min="4" max="4" width="19.5" bestFit="1" customWidth="1"/>
    <col min="7" max="7" width="23.33203125" bestFit="1" customWidth="1"/>
    <col min="11" max="11" width="9.1640625" bestFit="1" customWidth="1"/>
    <col min="12" max="12" width="30.1640625" bestFit="1" customWidth="1"/>
    <col min="14" max="14" width="37.1640625" bestFit="1" customWidth="1"/>
  </cols>
  <sheetData>
    <row r="1" spans="1:14">
      <c r="F1" s="1">
        <v>42625</v>
      </c>
      <c r="G1" t="s">
        <v>311</v>
      </c>
      <c r="H1">
        <v>100000</v>
      </c>
      <c r="K1" s="1">
        <v>42627</v>
      </c>
      <c r="L1" t="s">
        <v>312</v>
      </c>
      <c r="M1">
        <v>-610000</v>
      </c>
    </row>
    <row r="2" spans="1:14">
      <c r="A2" s="1">
        <v>42675</v>
      </c>
      <c r="B2" t="s">
        <v>320</v>
      </c>
      <c r="C2">
        <v>-29500</v>
      </c>
      <c r="F2" s="1">
        <v>42625</v>
      </c>
      <c r="G2" t="s">
        <v>311</v>
      </c>
      <c r="H2">
        <v>100000</v>
      </c>
      <c r="K2" s="1">
        <v>42642</v>
      </c>
      <c r="L2" t="s">
        <v>312</v>
      </c>
      <c r="M2">
        <v>-610000</v>
      </c>
    </row>
    <row r="3" spans="1:14">
      <c r="B3" t="s">
        <v>344</v>
      </c>
      <c r="C3">
        <v>-12500</v>
      </c>
      <c r="F3" s="1">
        <v>42660</v>
      </c>
      <c r="G3" t="s">
        <v>311</v>
      </c>
      <c r="H3">
        <v>200000</v>
      </c>
      <c r="L3" s="68" t="s">
        <v>237</v>
      </c>
      <c r="M3" s="68">
        <f>SUM(M1:M2)</f>
        <v>-1220000</v>
      </c>
    </row>
    <row r="4" spans="1:14">
      <c r="B4" t="s">
        <v>321</v>
      </c>
      <c r="C4">
        <v>-12000</v>
      </c>
      <c r="G4" s="68" t="s">
        <v>237</v>
      </c>
      <c r="H4" s="68">
        <f>SUM(H1:H3)</f>
        <v>400000</v>
      </c>
    </row>
    <row r="5" spans="1:14">
      <c r="B5" t="s">
        <v>345</v>
      </c>
      <c r="C5">
        <v>-18000</v>
      </c>
      <c r="K5" s="1">
        <v>42614</v>
      </c>
      <c r="L5" t="s">
        <v>314</v>
      </c>
      <c r="M5">
        <v>-1000</v>
      </c>
    </row>
    <row r="6" spans="1:14">
      <c r="B6" t="s">
        <v>322</v>
      </c>
      <c r="C6">
        <v>-16500</v>
      </c>
      <c r="K6" s="1">
        <v>42623</v>
      </c>
      <c r="L6" t="s">
        <v>315</v>
      </c>
      <c r="M6">
        <v>-11500</v>
      </c>
    </row>
    <row r="7" spans="1:14">
      <c r="B7" t="s">
        <v>323</v>
      </c>
      <c r="C7">
        <v>-27000</v>
      </c>
      <c r="K7" s="1">
        <v>42689</v>
      </c>
      <c r="L7" t="s">
        <v>318</v>
      </c>
      <c r="M7">
        <v>-18590</v>
      </c>
    </row>
    <row r="8" spans="1:14">
      <c r="B8" t="s">
        <v>323</v>
      </c>
      <c r="C8">
        <v>-40000</v>
      </c>
      <c r="K8" s="1">
        <v>42689</v>
      </c>
      <c r="L8" t="s">
        <v>318</v>
      </c>
      <c r="M8">
        <v>-37180</v>
      </c>
    </row>
    <row r="9" spans="1:14">
      <c r="B9" t="s">
        <v>324</v>
      </c>
      <c r="C9">
        <v>-4000</v>
      </c>
      <c r="K9" s="1">
        <v>42689</v>
      </c>
      <c r="L9" t="s">
        <v>318</v>
      </c>
      <c r="M9">
        <v>-189618</v>
      </c>
    </row>
    <row r="10" spans="1:14">
      <c r="B10" t="s">
        <v>335</v>
      </c>
      <c r="C10">
        <f>-2*6900</f>
        <v>-13800</v>
      </c>
      <c r="D10" t="s">
        <v>342</v>
      </c>
      <c r="K10" s="1">
        <v>42689</v>
      </c>
      <c r="L10" t="s">
        <v>339</v>
      </c>
      <c r="M10">
        <v>-5000</v>
      </c>
      <c r="N10" t="s">
        <v>341</v>
      </c>
    </row>
    <row r="11" spans="1:14">
      <c r="B11" t="s">
        <v>336</v>
      </c>
      <c r="C11">
        <v>-470000</v>
      </c>
      <c r="K11" s="1">
        <v>42675</v>
      </c>
      <c r="L11" t="s">
        <v>319</v>
      </c>
      <c r="M11">
        <v>-15800</v>
      </c>
    </row>
    <row r="12" spans="1:14">
      <c r="B12" t="s">
        <v>337</v>
      </c>
      <c r="C12">
        <v>-62000</v>
      </c>
      <c r="K12" s="1">
        <v>42675</v>
      </c>
      <c r="L12" t="s">
        <v>340</v>
      </c>
      <c r="M12">
        <v>-2000</v>
      </c>
    </row>
    <row r="13" spans="1:14">
      <c r="B13" t="s">
        <v>343</v>
      </c>
      <c r="C13">
        <v>-2000</v>
      </c>
      <c r="L13" t="s">
        <v>335</v>
      </c>
      <c r="M13">
        <v>-12500</v>
      </c>
    </row>
    <row r="14" spans="1:14">
      <c r="B14" t="s">
        <v>346</v>
      </c>
      <c r="C14">
        <v>-35000</v>
      </c>
      <c r="K14" s="1">
        <v>42607</v>
      </c>
      <c r="L14" t="s">
        <v>313</v>
      </c>
      <c r="M14">
        <v>-4500</v>
      </c>
    </row>
    <row r="15" spans="1:14">
      <c r="L15" s="68" t="s">
        <v>237</v>
      </c>
      <c r="M15" s="68">
        <f>SUM(M5:M14)</f>
        <v>-297688</v>
      </c>
    </row>
    <row r="16" spans="1:14">
      <c r="B16" s="68" t="s">
        <v>237</v>
      </c>
      <c r="C16" s="68">
        <f>SUM(C2:C14)</f>
        <v>-742300</v>
      </c>
      <c r="G16" s="68" t="s">
        <v>347</v>
      </c>
      <c r="H16" s="68">
        <v>-4900000</v>
      </c>
    </row>
    <row r="18" spans="7:14">
      <c r="L18" t="s">
        <v>325</v>
      </c>
      <c r="M18">
        <v>-30000</v>
      </c>
      <c r="N18" t="s">
        <v>326</v>
      </c>
    </row>
    <row r="19" spans="7:14">
      <c r="L19" t="s">
        <v>325</v>
      </c>
      <c r="M19">
        <v>-3500</v>
      </c>
      <c r="N19" t="s">
        <v>327</v>
      </c>
    </row>
    <row r="20" spans="7:14">
      <c r="L20" t="s">
        <v>325</v>
      </c>
      <c r="M20">
        <v>-5600</v>
      </c>
      <c r="N20" t="s">
        <v>328</v>
      </c>
    </row>
    <row r="21" spans="7:14">
      <c r="L21" t="s">
        <v>325</v>
      </c>
      <c r="M21">
        <v>-25000</v>
      </c>
      <c r="N21" t="s">
        <v>330</v>
      </c>
    </row>
    <row r="22" spans="7:14">
      <c r="G22" s="68" t="s">
        <v>237</v>
      </c>
      <c r="H22" s="68">
        <f>SUM(C16,H16,M15,M3)</f>
        <v>-7159988</v>
      </c>
      <c r="L22" t="s">
        <v>325</v>
      </c>
      <c r="M22">
        <v>-15000</v>
      </c>
      <c r="N22" t="s">
        <v>329</v>
      </c>
    </row>
    <row r="23" spans="7:14">
      <c r="G23" s="68" t="s">
        <v>348</v>
      </c>
      <c r="H23" s="68">
        <f>H22+M28</f>
        <v>-7291462</v>
      </c>
      <c r="L23" t="s">
        <v>325</v>
      </c>
      <c r="M23">
        <v>-4000</v>
      </c>
      <c r="N23" t="s">
        <v>331</v>
      </c>
    </row>
    <row r="24" spans="7:14">
      <c r="L24" t="s">
        <v>325</v>
      </c>
      <c r="M24">
        <v>-23000</v>
      </c>
      <c r="N24" t="s">
        <v>332</v>
      </c>
    </row>
    <row r="25" spans="7:14">
      <c r="L25" t="s">
        <v>325</v>
      </c>
      <c r="M25">
        <v>-8874</v>
      </c>
      <c r="N25" t="s">
        <v>333</v>
      </c>
    </row>
    <row r="26" spans="7:14">
      <c r="L26" t="s">
        <v>325</v>
      </c>
      <c r="M26">
        <v>-11500</v>
      </c>
      <c r="N26" t="s">
        <v>334</v>
      </c>
    </row>
    <row r="27" spans="7:14">
      <c r="L27" t="s">
        <v>325</v>
      </c>
      <c r="M27">
        <v>-5000</v>
      </c>
      <c r="N27" t="s">
        <v>338</v>
      </c>
    </row>
    <row r="28" spans="7:14">
      <c r="L28" s="68" t="s">
        <v>237</v>
      </c>
      <c r="M28" s="68">
        <f>SUM(M18:M27)</f>
        <v>-131474</v>
      </c>
    </row>
    <row r="30" spans="7:14">
      <c r="L30" t="s">
        <v>335</v>
      </c>
      <c r="M30">
        <v>-10000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EC77-C555-E14C-BA2B-3669EC2D4675}">
  <dimension ref="A1:B4"/>
  <sheetViews>
    <sheetView workbookViewId="0">
      <selection activeCell="B5" sqref="B5"/>
    </sheetView>
  </sheetViews>
  <sheetFormatPr baseColWidth="10" defaultRowHeight="15"/>
  <sheetData>
    <row r="1" spans="1:2">
      <c r="A1" t="s">
        <v>487</v>
      </c>
      <c r="B1" t="s">
        <v>488</v>
      </c>
    </row>
    <row r="3" spans="1:2">
      <c r="A3" s="1">
        <v>43837</v>
      </c>
      <c r="B3">
        <v>8850</v>
      </c>
    </row>
    <row r="4" spans="1:2">
      <c r="A4" s="1">
        <v>43867</v>
      </c>
      <c r="B4">
        <v>9600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8E317-4D0B-444E-9B01-DBFDB082A773}">
  <dimension ref="A1:O35"/>
  <sheetViews>
    <sheetView zoomScaleNormal="100" workbookViewId="0">
      <selection activeCell="D17" sqref="D17"/>
    </sheetView>
  </sheetViews>
  <sheetFormatPr baseColWidth="10" defaultColWidth="8.83203125" defaultRowHeight="15"/>
  <cols>
    <col min="1" max="1" width="12.5" bestFit="1" customWidth="1"/>
    <col min="2" max="2" width="12.6640625" bestFit="1" customWidth="1"/>
    <col min="3" max="3" width="9.33203125" style="69" bestFit="1" customWidth="1"/>
    <col min="4" max="4" width="46.83203125" bestFit="1" customWidth="1"/>
    <col min="5" max="5" width="14.33203125" customWidth="1"/>
    <col min="6" max="6" width="10.83203125" bestFit="1" customWidth="1"/>
    <col min="7" max="7" width="13.83203125" customWidth="1"/>
    <col min="8" max="8" width="12" bestFit="1" customWidth="1"/>
    <col min="9" max="9" width="16.6640625" customWidth="1"/>
    <col min="10" max="10" width="51.6640625" bestFit="1" customWidth="1"/>
    <col min="11" max="11" width="10" bestFit="1" customWidth="1"/>
    <col min="13" max="13" width="9.33203125" customWidth="1"/>
    <col min="14" max="14" width="6.5" customWidth="1"/>
    <col min="15" max="15" width="13" bestFit="1" customWidth="1"/>
    <col min="16" max="16" width="10.83203125" bestFit="1" customWidth="1"/>
  </cols>
  <sheetData>
    <row r="1" spans="1:15" ht="32">
      <c r="A1" s="94" t="s">
        <v>358</v>
      </c>
      <c r="B1" s="94" t="s">
        <v>386</v>
      </c>
      <c r="C1" s="94" t="s">
        <v>3</v>
      </c>
      <c r="D1" s="94" t="s">
        <v>363</v>
      </c>
      <c r="E1" s="94" t="s">
        <v>517</v>
      </c>
      <c r="F1" s="94" t="s">
        <v>360</v>
      </c>
      <c r="G1" s="94" t="s">
        <v>518</v>
      </c>
      <c r="H1" s="95" t="s">
        <v>519</v>
      </c>
      <c r="I1" s="16"/>
      <c r="J1" s="96" t="s">
        <v>358</v>
      </c>
      <c r="K1" s="18" t="s">
        <v>522</v>
      </c>
      <c r="M1" s="16"/>
      <c r="O1" s="86" t="s">
        <v>473</v>
      </c>
    </row>
    <row r="2" spans="1:15">
      <c r="A2" s="16" t="s">
        <v>362</v>
      </c>
      <c r="B2" s="16" t="s">
        <v>362</v>
      </c>
      <c r="D2" s="16" t="s">
        <v>375</v>
      </c>
      <c r="E2" s="69">
        <v>672431779</v>
      </c>
      <c r="F2" s="16"/>
      <c r="G2" s="16">
        <v>970</v>
      </c>
      <c r="H2" s="69"/>
      <c r="I2" s="16"/>
      <c r="J2" s="87" t="s">
        <v>362</v>
      </c>
      <c r="K2" s="69">
        <v>45644</v>
      </c>
      <c r="M2" s="16"/>
      <c r="O2" s="78"/>
    </row>
    <row r="3" spans="1:15">
      <c r="A3" s="16" t="s">
        <v>362</v>
      </c>
      <c r="B3" s="16" t="s">
        <v>362</v>
      </c>
      <c r="D3" s="16" t="s">
        <v>376</v>
      </c>
      <c r="E3" s="69">
        <v>672441165</v>
      </c>
      <c r="F3" s="16"/>
      <c r="G3" s="16">
        <v>866</v>
      </c>
      <c r="H3" s="69"/>
      <c r="I3" s="16"/>
      <c r="J3" s="88" t="s">
        <v>362</v>
      </c>
      <c r="K3" s="69"/>
      <c r="M3" s="16"/>
      <c r="O3" s="78"/>
    </row>
    <row r="4" spans="1:15">
      <c r="A4" s="16" t="s">
        <v>362</v>
      </c>
      <c r="B4" s="16" t="s">
        <v>362</v>
      </c>
      <c r="D4" s="16" t="s">
        <v>377</v>
      </c>
      <c r="E4" s="69">
        <v>672445825</v>
      </c>
      <c r="F4" s="16"/>
      <c r="G4" s="16">
        <v>39072</v>
      </c>
      <c r="H4" s="69"/>
      <c r="I4" s="16"/>
      <c r="J4" s="89" t="s">
        <v>375</v>
      </c>
      <c r="K4" s="69">
        <v>970</v>
      </c>
      <c r="M4" s="16"/>
      <c r="O4" s="16"/>
    </row>
    <row r="5" spans="1:15">
      <c r="A5" s="16" t="s">
        <v>362</v>
      </c>
      <c r="B5" s="16" t="s">
        <v>362</v>
      </c>
      <c r="D5" s="16" t="s">
        <v>376</v>
      </c>
      <c r="E5" s="69">
        <v>672445826</v>
      </c>
      <c r="F5" s="16"/>
      <c r="G5" s="16">
        <v>4736</v>
      </c>
      <c r="H5" s="69"/>
      <c r="I5" s="16"/>
      <c r="J5" s="89" t="s">
        <v>377</v>
      </c>
      <c r="K5" s="69">
        <v>39072</v>
      </c>
      <c r="M5" s="16"/>
      <c r="O5" s="16"/>
    </row>
    <row r="6" spans="1:15">
      <c r="A6" s="16" t="s">
        <v>370</v>
      </c>
      <c r="B6" s="16"/>
      <c r="C6" s="69">
        <v>2007</v>
      </c>
      <c r="D6" s="16" t="s">
        <v>520</v>
      </c>
      <c r="E6" s="16"/>
      <c r="F6" s="16"/>
      <c r="G6" s="16">
        <v>30000</v>
      </c>
      <c r="H6" s="69">
        <v>132.12479999999999</v>
      </c>
      <c r="I6" s="16"/>
      <c r="J6" s="89" t="s">
        <v>376</v>
      </c>
      <c r="K6" s="69">
        <v>5602</v>
      </c>
      <c r="M6" s="16"/>
      <c r="O6" s="16"/>
    </row>
    <row r="7" spans="1:15">
      <c r="A7" s="16" t="s">
        <v>370</v>
      </c>
      <c r="B7" s="16"/>
      <c r="D7" s="16" t="s">
        <v>369</v>
      </c>
      <c r="E7" s="16"/>
      <c r="F7" s="16"/>
      <c r="G7" s="16">
        <v>90000</v>
      </c>
      <c r="H7" s="69"/>
      <c r="I7" s="16"/>
      <c r="J7" s="87" t="s">
        <v>370</v>
      </c>
      <c r="K7" s="69">
        <v>460000</v>
      </c>
      <c r="M7" s="16"/>
      <c r="O7" s="16"/>
    </row>
    <row r="8" spans="1:15">
      <c r="A8" s="16" t="s">
        <v>370</v>
      </c>
      <c r="B8" s="16" t="s">
        <v>387</v>
      </c>
      <c r="C8" s="1">
        <v>42883</v>
      </c>
      <c r="D8" t="s">
        <v>368</v>
      </c>
      <c r="F8" s="16" t="s">
        <v>378</v>
      </c>
      <c r="G8" s="16">
        <v>5000</v>
      </c>
      <c r="H8" s="69">
        <v>153.1217</v>
      </c>
      <c r="I8" s="16"/>
      <c r="J8" s="88" t="s">
        <v>387</v>
      </c>
      <c r="K8" s="69"/>
      <c r="M8" s="16"/>
      <c r="O8" s="90">
        <f>SUM(O9:O13)</f>
        <v>144445</v>
      </c>
    </row>
    <row r="9" spans="1:15">
      <c r="A9" s="16" t="s">
        <v>370</v>
      </c>
      <c r="B9" s="16" t="s">
        <v>387</v>
      </c>
      <c r="C9" s="1">
        <v>43054</v>
      </c>
      <c r="D9" t="s">
        <v>367</v>
      </c>
      <c r="F9" s="16" t="s">
        <v>378</v>
      </c>
      <c r="G9" s="16">
        <v>10000</v>
      </c>
      <c r="H9" s="69">
        <v>543.77380000000005</v>
      </c>
      <c r="I9" s="16"/>
      <c r="J9" s="89" t="s">
        <v>364</v>
      </c>
      <c r="K9" s="69">
        <v>25000</v>
      </c>
      <c r="M9" s="16"/>
      <c r="O9" s="16">
        <v>25596</v>
      </c>
    </row>
    <row r="10" spans="1:15">
      <c r="A10" s="16" t="s">
        <v>370</v>
      </c>
      <c r="B10" s="16" t="s">
        <v>387</v>
      </c>
      <c r="C10" s="1">
        <v>43054</v>
      </c>
      <c r="D10" t="s">
        <v>365</v>
      </c>
      <c r="F10" s="16" t="s">
        <v>378</v>
      </c>
      <c r="G10" s="16">
        <v>10000</v>
      </c>
      <c r="H10" s="69">
        <v>471.88510000000002</v>
      </c>
      <c r="I10" s="16"/>
      <c r="J10" s="89" t="s">
        <v>365</v>
      </c>
      <c r="K10" s="69">
        <v>50000</v>
      </c>
      <c r="M10" s="16"/>
      <c r="O10" s="16">
        <v>49993</v>
      </c>
    </row>
    <row r="11" spans="1:15">
      <c r="A11" s="16" t="s">
        <v>370</v>
      </c>
      <c r="B11" s="16" t="s">
        <v>387</v>
      </c>
      <c r="C11" s="1">
        <v>43078</v>
      </c>
      <c r="D11" s="16" t="s">
        <v>364</v>
      </c>
      <c r="F11" s="16" t="s">
        <v>378</v>
      </c>
      <c r="G11" s="16">
        <v>15000</v>
      </c>
      <c r="H11" s="69">
        <v>749.55780000000004</v>
      </c>
      <c r="I11" s="16"/>
      <c r="J11" s="89" t="s">
        <v>366</v>
      </c>
      <c r="K11" s="69">
        <v>25000</v>
      </c>
      <c r="M11" s="16"/>
      <c r="O11">
        <v>25935</v>
      </c>
    </row>
    <row r="12" spans="1:15">
      <c r="A12" s="16" t="s">
        <v>370</v>
      </c>
      <c r="B12" s="16" t="s">
        <v>387</v>
      </c>
      <c r="C12" s="1">
        <v>43166</v>
      </c>
      <c r="D12" s="16" t="s">
        <v>366</v>
      </c>
      <c r="F12" s="16" t="s">
        <v>378</v>
      </c>
      <c r="G12" s="16">
        <v>10000</v>
      </c>
      <c r="H12" s="69">
        <v>53.654299999999999</v>
      </c>
      <c r="I12" s="16"/>
      <c r="J12" s="89" t="s">
        <v>367</v>
      </c>
      <c r="K12" s="69">
        <v>10000</v>
      </c>
      <c r="O12" s="16">
        <v>9565</v>
      </c>
    </row>
    <row r="13" spans="1:15">
      <c r="A13" s="16" t="s">
        <v>370</v>
      </c>
      <c r="B13" s="16" t="s">
        <v>387</v>
      </c>
      <c r="C13" s="1">
        <v>43305</v>
      </c>
      <c r="D13" s="16" t="s">
        <v>368</v>
      </c>
      <c r="F13" s="16" t="s">
        <v>378</v>
      </c>
      <c r="G13" s="16">
        <v>5000</v>
      </c>
      <c r="H13" s="69">
        <v>153.1217</v>
      </c>
      <c r="I13" s="16"/>
      <c r="J13" s="89" t="s">
        <v>368</v>
      </c>
      <c r="K13" s="69">
        <v>35000</v>
      </c>
      <c r="O13" s="16">
        <v>33356</v>
      </c>
    </row>
    <row r="14" spans="1:15">
      <c r="A14" s="16" t="s">
        <v>370</v>
      </c>
      <c r="B14" s="16" t="s">
        <v>387</v>
      </c>
      <c r="C14" s="1">
        <v>43305</v>
      </c>
      <c r="D14" s="16" t="s">
        <v>365</v>
      </c>
      <c r="F14" s="16" t="s">
        <v>378</v>
      </c>
      <c r="G14" s="16">
        <v>10000</v>
      </c>
      <c r="H14" s="69">
        <v>471.88510000000002</v>
      </c>
      <c r="I14" s="16"/>
      <c r="J14" s="89" t="s">
        <v>485</v>
      </c>
      <c r="K14" s="69">
        <v>20000</v>
      </c>
    </row>
    <row r="15" spans="1:15">
      <c r="A15" s="16" t="s">
        <v>370</v>
      </c>
      <c r="B15" s="16" t="s">
        <v>387</v>
      </c>
      <c r="C15" s="1">
        <v>43311</v>
      </c>
      <c r="D15" s="16" t="s">
        <v>365</v>
      </c>
      <c r="F15" s="16" t="s">
        <v>378</v>
      </c>
      <c r="G15" s="16">
        <v>10000</v>
      </c>
      <c r="H15" s="69">
        <v>471.88510000000002</v>
      </c>
      <c r="I15" s="16"/>
      <c r="J15" s="89" t="s">
        <v>521</v>
      </c>
      <c r="K15" s="69">
        <v>175000</v>
      </c>
    </row>
    <row r="16" spans="1:15">
      <c r="A16" s="16" t="s">
        <v>370</v>
      </c>
      <c r="B16" s="16" t="s">
        <v>387</v>
      </c>
      <c r="C16" s="1">
        <v>43311</v>
      </c>
      <c r="D16" s="16" t="s">
        <v>368</v>
      </c>
      <c r="F16" s="16" t="s">
        <v>378</v>
      </c>
      <c r="G16" s="16">
        <v>10000</v>
      </c>
      <c r="H16" s="69">
        <v>153.1217</v>
      </c>
      <c r="J16" s="88" t="s">
        <v>471</v>
      </c>
      <c r="K16" s="69"/>
    </row>
    <row r="17" spans="1:15">
      <c r="A17" s="16" t="s">
        <v>370</v>
      </c>
      <c r="B17" s="16" t="s">
        <v>387</v>
      </c>
      <c r="C17" s="1">
        <v>43313</v>
      </c>
      <c r="D17" s="16" t="s">
        <v>364</v>
      </c>
      <c r="F17" s="16" t="s">
        <v>378</v>
      </c>
      <c r="G17" s="16">
        <v>10000</v>
      </c>
      <c r="H17" s="69">
        <v>749.55780000000004</v>
      </c>
      <c r="J17" s="89" t="s">
        <v>369</v>
      </c>
      <c r="K17" s="69">
        <v>90000</v>
      </c>
    </row>
    <row r="18" spans="1:15">
      <c r="A18" s="16" t="s">
        <v>370</v>
      </c>
      <c r="B18" s="16" t="s">
        <v>387</v>
      </c>
      <c r="C18" s="1">
        <v>43315</v>
      </c>
      <c r="D18" s="16" t="s">
        <v>368</v>
      </c>
      <c r="F18" s="16" t="s">
        <v>378</v>
      </c>
      <c r="G18" s="16">
        <v>15000</v>
      </c>
      <c r="H18" s="69">
        <v>153.1217</v>
      </c>
      <c r="J18" s="89" t="s">
        <v>520</v>
      </c>
      <c r="K18" s="69">
        <v>30000</v>
      </c>
      <c r="O18" s="90">
        <f>SUM(O19:O20)</f>
        <v>32884.5</v>
      </c>
    </row>
    <row r="19" spans="1:15">
      <c r="A19" s="16" t="s">
        <v>370</v>
      </c>
      <c r="B19" s="16" t="s">
        <v>387</v>
      </c>
      <c r="C19" s="1">
        <v>43318</v>
      </c>
      <c r="D19" s="16" t="s">
        <v>366</v>
      </c>
      <c r="F19" s="16" t="s">
        <v>378</v>
      </c>
      <c r="G19" s="16">
        <v>15000</v>
      </c>
      <c r="H19" s="69">
        <v>53.654299999999999</v>
      </c>
      <c r="J19" s="87" t="s">
        <v>474</v>
      </c>
      <c r="K19" s="69">
        <v>42593.1</v>
      </c>
      <c r="O19" s="16">
        <v>21468</v>
      </c>
    </row>
    <row r="20" spans="1:15">
      <c r="A20" s="16" t="s">
        <v>370</v>
      </c>
      <c r="B20" s="16" t="s">
        <v>387</v>
      </c>
      <c r="C20" s="1">
        <v>43434</v>
      </c>
      <c r="D20" s="16" t="s">
        <v>365</v>
      </c>
      <c r="E20" s="16"/>
      <c r="F20" s="16" t="s">
        <v>378</v>
      </c>
      <c r="G20" s="16">
        <v>20000</v>
      </c>
      <c r="H20" s="69">
        <v>471.88510000000002</v>
      </c>
      <c r="J20" s="88" t="s">
        <v>475</v>
      </c>
      <c r="K20" s="69"/>
      <c r="O20" s="16">
        <v>11416.5</v>
      </c>
    </row>
    <row r="21" spans="1:15">
      <c r="A21" s="16" t="s">
        <v>474</v>
      </c>
      <c r="B21" s="16" t="s">
        <v>475</v>
      </c>
      <c r="C21" s="1">
        <v>43595</v>
      </c>
      <c r="D21" s="16" t="s">
        <v>476</v>
      </c>
      <c r="G21" s="11">
        <v>19157.099999999999</v>
      </c>
      <c r="H21" s="69"/>
      <c r="J21" s="89" t="s">
        <v>476</v>
      </c>
      <c r="K21" s="69">
        <v>19157.099999999999</v>
      </c>
      <c r="O21" s="16"/>
    </row>
    <row r="22" spans="1:15">
      <c r="A22" s="16" t="s">
        <v>474</v>
      </c>
      <c r="B22" s="16" t="s">
        <v>475</v>
      </c>
      <c r="C22" s="1">
        <v>43321</v>
      </c>
      <c r="D22" s="16" t="s">
        <v>477</v>
      </c>
      <c r="G22" s="11">
        <v>23436</v>
      </c>
      <c r="H22" s="69"/>
      <c r="J22" s="89" t="s">
        <v>477</v>
      </c>
      <c r="K22" s="69">
        <v>23436</v>
      </c>
      <c r="O22" s="16"/>
    </row>
    <row r="23" spans="1:15">
      <c r="A23" s="16" t="s">
        <v>370</v>
      </c>
      <c r="B23" s="16" t="s">
        <v>387</v>
      </c>
      <c r="C23" s="1">
        <v>43866</v>
      </c>
      <c r="D23" s="16" t="s">
        <v>485</v>
      </c>
      <c r="F23" s="16" t="s">
        <v>378</v>
      </c>
      <c r="G23" s="16">
        <v>20000</v>
      </c>
      <c r="H23" s="69">
        <v>30.508600000000001</v>
      </c>
      <c r="J23" s="87" t="s">
        <v>472</v>
      </c>
      <c r="K23" s="69">
        <v>548237.1</v>
      </c>
    </row>
    <row r="24" spans="1:15">
      <c r="A24" s="16" t="s">
        <v>370</v>
      </c>
      <c r="B24" s="16" t="s">
        <v>387</v>
      </c>
      <c r="D24" s="16" t="s">
        <v>521</v>
      </c>
      <c r="F24" s="16" t="s">
        <v>378</v>
      </c>
      <c r="G24" s="16">
        <v>75000</v>
      </c>
      <c r="H24" s="69">
        <v>24.133900000000001</v>
      </c>
    </row>
    <row r="25" spans="1:15">
      <c r="A25" s="16" t="s">
        <v>370</v>
      </c>
      <c r="B25" s="16" t="s">
        <v>387</v>
      </c>
      <c r="D25" s="16" t="s">
        <v>521</v>
      </c>
      <c r="F25" s="16" t="s">
        <v>378</v>
      </c>
      <c r="G25" s="16">
        <v>100000</v>
      </c>
      <c r="H25" s="69">
        <v>24.422599999999999</v>
      </c>
    </row>
    <row r="26" spans="1:15">
      <c r="A26" s="16" t="s">
        <v>370</v>
      </c>
      <c r="B26" s="16" t="s">
        <v>387</v>
      </c>
      <c r="C26" s="1">
        <v>43973</v>
      </c>
      <c r="D26" s="16" t="s">
        <v>485</v>
      </c>
      <c r="F26" s="16" t="s">
        <v>378</v>
      </c>
      <c r="G26" s="16">
        <v>50000</v>
      </c>
      <c r="H26" s="69">
        <v>30.508600000000001</v>
      </c>
    </row>
    <row r="27" spans="1:15">
      <c r="H27" s="69"/>
    </row>
    <row r="28" spans="1:15">
      <c r="H28" s="69"/>
    </row>
    <row r="29" spans="1:15">
      <c r="H29" s="69"/>
    </row>
    <row r="35" spans="6:6">
      <c r="F35" s="16"/>
    </row>
  </sheetData>
  <autoFilter ref="A1:G25" xr:uid="{A0F573B7-297A-EA4B-8698-04F0361E7DE8}"/>
  <sortState xmlns:xlrd2="http://schemas.microsoft.com/office/spreadsheetml/2017/richdata2" ref="A8:G20">
    <sortCondition ref="C8:C20"/>
  </sortState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8"/>
  <sheetViews>
    <sheetView zoomScale="125" workbookViewId="0">
      <selection activeCell="E29" sqref="E29"/>
    </sheetView>
  </sheetViews>
  <sheetFormatPr baseColWidth="10" defaultColWidth="8.83203125" defaultRowHeight="15"/>
  <cols>
    <col min="1" max="1" width="13.5" bestFit="1" customWidth="1"/>
    <col min="2" max="2" width="12.6640625" bestFit="1" customWidth="1"/>
    <col min="3" max="3" width="13.5" style="69" customWidth="1"/>
    <col min="4" max="4" width="46.83203125" bestFit="1" customWidth="1"/>
    <col min="5" max="5" width="23.6640625" bestFit="1" customWidth="1"/>
    <col min="6" max="6" width="10.83203125" bestFit="1" customWidth="1"/>
    <col min="7" max="7" width="20" bestFit="1" customWidth="1"/>
    <col min="12" max="12" width="13.5" bestFit="1" customWidth="1"/>
    <col min="13" max="13" width="20" bestFit="1" customWidth="1"/>
    <col min="14" max="14" width="23.6640625" bestFit="1" customWidth="1"/>
    <col min="15" max="15" width="10.83203125" bestFit="1" customWidth="1"/>
  </cols>
  <sheetData>
    <row r="1" spans="1:12">
      <c r="A1" s="52" t="s">
        <v>358</v>
      </c>
      <c r="B1" s="52" t="s">
        <v>386</v>
      </c>
      <c r="C1" s="52" t="s">
        <v>3</v>
      </c>
      <c r="D1" s="52" t="s">
        <v>363</v>
      </c>
      <c r="E1" s="52" t="s">
        <v>361</v>
      </c>
      <c r="F1" s="52" t="s">
        <v>360</v>
      </c>
      <c r="G1" s="52" t="s">
        <v>359</v>
      </c>
      <c r="H1" s="16"/>
      <c r="I1" s="16"/>
      <c r="J1" s="52" t="s">
        <v>371</v>
      </c>
      <c r="K1" s="52" t="s">
        <v>237</v>
      </c>
      <c r="L1" s="16"/>
    </row>
    <row r="2" spans="1:12">
      <c r="A2" s="16" t="s">
        <v>362</v>
      </c>
      <c r="B2" s="16"/>
      <c r="D2" s="16" t="s">
        <v>375</v>
      </c>
      <c r="E2" s="69">
        <v>672431779</v>
      </c>
      <c r="F2" s="16"/>
      <c r="G2" s="16">
        <v>970</v>
      </c>
      <c r="H2" s="16"/>
      <c r="I2" s="16"/>
      <c r="J2" s="16" t="s">
        <v>362</v>
      </c>
      <c r="K2">
        <f>SUMIF($A$2:$A$100,J2,$G$2:$G$100)</f>
        <v>45644</v>
      </c>
      <c r="L2" s="16"/>
    </row>
    <row r="3" spans="1:12">
      <c r="A3" s="16" t="s">
        <v>362</v>
      </c>
      <c r="B3" s="16"/>
      <c r="D3" s="16" t="s">
        <v>376</v>
      </c>
      <c r="E3" s="69">
        <v>672441165</v>
      </c>
      <c r="F3" s="16"/>
      <c r="G3" s="16">
        <v>866</v>
      </c>
      <c r="H3" s="16"/>
      <c r="I3" s="16"/>
      <c r="J3" s="16" t="s">
        <v>370</v>
      </c>
      <c r="K3">
        <f>SUMIF($A$2:$A$100,J3,$G$2:$G$100)</f>
        <v>265000</v>
      </c>
      <c r="L3" s="16"/>
    </row>
    <row r="4" spans="1:12">
      <c r="A4" s="16" t="s">
        <v>362</v>
      </c>
      <c r="B4" s="16"/>
      <c r="D4" s="16" t="s">
        <v>377</v>
      </c>
      <c r="E4" s="69">
        <v>672445825</v>
      </c>
      <c r="F4" s="16"/>
      <c r="G4" s="16">
        <v>39072</v>
      </c>
      <c r="H4" s="16"/>
      <c r="I4" s="16"/>
      <c r="J4" s="16"/>
      <c r="K4" s="16"/>
      <c r="L4" s="16"/>
    </row>
    <row r="5" spans="1:12">
      <c r="A5" s="16" t="s">
        <v>362</v>
      </c>
      <c r="B5" s="16"/>
      <c r="D5" s="16" t="s">
        <v>376</v>
      </c>
      <c r="E5" s="69">
        <v>672445826</v>
      </c>
      <c r="F5" s="16"/>
      <c r="G5" s="16">
        <v>4736</v>
      </c>
      <c r="H5" s="16"/>
      <c r="I5" s="16"/>
      <c r="J5" s="16"/>
      <c r="K5" s="16"/>
      <c r="L5" s="16"/>
    </row>
    <row r="6" spans="1:12">
      <c r="A6" s="16" t="s">
        <v>370</v>
      </c>
      <c r="B6" s="16"/>
      <c r="D6" s="16" t="s">
        <v>191</v>
      </c>
      <c r="E6" s="16"/>
      <c r="F6" s="16"/>
      <c r="G6" s="16">
        <v>30000</v>
      </c>
      <c r="H6" s="16"/>
      <c r="I6" s="16"/>
      <c r="J6" s="16"/>
      <c r="K6" s="16"/>
      <c r="L6" s="16"/>
    </row>
    <row r="7" spans="1:12">
      <c r="A7" s="16" t="s">
        <v>370</v>
      </c>
      <c r="B7" s="16"/>
      <c r="D7" s="16" t="s">
        <v>369</v>
      </c>
      <c r="E7" s="16"/>
      <c r="F7" s="16"/>
      <c r="G7" s="16">
        <v>90000</v>
      </c>
      <c r="H7" s="16"/>
      <c r="I7" s="16"/>
      <c r="J7" s="16"/>
      <c r="K7" s="16"/>
      <c r="L7" s="16"/>
    </row>
    <row r="8" spans="1:12">
      <c r="A8" s="16" t="s">
        <v>370</v>
      </c>
      <c r="B8" s="16" t="s">
        <v>387</v>
      </c>
      <c r="D8" s="16" t="s">
        <v>364</v>
      </c>
      <c r="F8" s="16" t="s">
        <v>378</v>
      </c>
      <c r="G8" s="16">
        <v>10000</v>
      </c>
      <c r="H8" s="16"/>
      <c r="I8" s="16"/>
      <c r="J8" s="16"/>
      <c r="K8" s="16"/>
      <c r="L8" s="16"/>
    </row>
    <row r="9" spans="1:12">
      <c r="A9" s="16" t="s">
        <v>370</v>
      </c>
      <c r="B9" s="16" t="s">
        <v>387</v>
      </c>
      <c r="D9" s="16" t="s">
        <v>365</v>
      </c>
      <c r="F9" s="16" t="s">
        <v>378</v>
      </c>
      <c r="G9" s="16">
        <v>30000</v>
      </c>
      <c r="H9" s="16"/>
      <c r="I9" s="16"/>
      <c r="J9" s="16"/>
      <c r="K9" s="16"/>
      <c r="L9" s="16"/>
    </row>
    <row r="10" spans="1:12">
      <c r="A10" s="16" t="s">
        <v>370</v>
      </c>
      <c r="B10" s="16" t="s">
        <v>387</v>
      </c>
      <c r="D10" s="16" t="s">
        <v>366</v>
      </c>
      <c r="F10" s="16" t="s">
        <v>378</v>
      </c>
      <c r="G10" s="16">
        <v>10000</v>
      </c>
      <c r="H10" s="16"/>
      <c r="I10" s="16"/>
      <c r="J10" s="16"/>
      <c r="K10" s="16"/>
      <c r="L10" s="16"/>
    </row>
    <row r="11" spans="1:12">
      <c r="A11" s="16" t="s">
        <v>370</v>
      </c>
      <c r="B11" s="16" t="s">
        <v>387</v>
      </c>
      <c r="D11" s="16" t="s">
        <v>367</v>
      </c>
      <c r="F11" s="16" t="s">
        <v>378</v>
      </c>
      <c r="G11" s="16">
        <v>10000</v>
      </c>
      <c r="H11" s="16"/>
      <c r="I11" s="16"/>
      <c r="J11" s="16"/>
      <c r="K11" s="16"/>
      <c r="L11" s="16"/>
    </row>
    <row r="12" spans="1:12">
      <c r="A12" s="16" t="s">
        <v>370</v>
      </c>
      <c r="B12" s="16" t="s">
        <v>387</v>
      </c>
      <c r="D12" s="16" t="s">
        <v>368</v>
      </c>
      <c r="F12" s="16" t="s">
        <v>378</v>
      </c>
      <c r="G12" s="16">
        <v>25000</v>
      </c>
      <c r="H12" s="16"/>
      <c r="I12" s="16"/>
      <c r="J12" s="16"/>
      <c r="K12" s="16"/>
      <c r="L12" s="16"/>
    </row>
    <row r="13" spans="1:12">
      <c r="A13" s="16" t="s">
        <v>370</v>
      </c>
      <c r="B13" s="16" t="s">
        <v>387</v>
      </c>
      <c r="C13" s="1">
        <v>43312</v>
      </c>
      <c r="D13" s="16" t="s">
        <v>364</v>
      </c>
      <c r="F13" s="16" t="s">
        <v>378</v>
      </c>
      <c r="G13" s="16">
        <v>15000</v>
      </c>
      <c r="H13" s="16"/>
      <c r="I13" s="16"/>
      <c r="J13" s="16"/>
      <c r="K13" s="16"/>
      <c r="L13" s="16"/>
    </row>
    <row r="14" spans="1:12">
      <c r="A14" s="16" t="s">
        <v>370</v>
      </c>
      <c r="B14" s="16" t="s">
        <v>387</v>
      </c>
      <c r="C14" s="1">
        <v>43314</v>
      </c>
      <c r="D14" s="16" t="s">
        <v>368</v>
      </c>
      <c r="F14" s="16" t="s">
        <v>378</v>
      </c>
      <c r="G14" s="16">
        <v>10000</v>
      </c>
      <c r="H14" s="16"/>
      <c r="I14" s="16"/>
      <c r="J14" s="16"/>
      <c r="K14" s="16"/>
      <c r="L14" s="16"/>
    </row>
    <row r="15" spans="1:12">
      <c r="A15" s="16" t="s">
        <v>370</v>
      </c>
      <c r="B15" s="16" t="s">
        <v>387</v>
      </c>
      <c r="C15" s="1">
        <v>43318</v>
      </c>
      <c r="D15" s="16" t="s">
        <v>366</v>
      </c>
      <c r="F15" s="16" t="s">
        <v>378</v>
      </c>
      <c r="G15" s="16">
        <v>15000</v>
      </c>
      <c r="H15" s="16"/>
      <c r="I15" s="16"/>
      <c r="J15" s="16"/>
      <c r="K15" s="16"/>
      <c r="L15" s="16"/>
    </row>
    <row r="16" spans="1:12">
      <c r="A16" s="16" t="s">
        <v>370</v>
      </c>
      <c r="B16" s="16" t="s">
        <v>387</v>
      </c>
      <c r="C16" s="1">
        <v>43434</v>
      </c>
      <c r="D16" s="16" t="s">
        <v>365</v>
      </c>
      <c r="E16" s="16"/>
      <c r="F16" s="16" t="s">
        <v>378</v>
      </c>
      <c r="G16" s="16">
        <v>20000</v>
      </c>
      <c r="H16" s="16"/>
      <c r="I16" s="16"/>
      <c r="J16" s="16"/>
      <c r="K16" s="16"/>
      <c r="L16" s="16"/>
    </row>
    <row r="17" spans="1:12">
      <c r="A17" s="16"/>
      <c r="B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>
      <c r="A18" s="16"/>
      <c r="B18" s="16"/>
      <c r="D18" s="16"/>
      <c r="E18" s="16"/>
      <c r="F18" s="16"/>
      <c r="G18" s="16"/>
      <c r="H18" s="16"/>
      <c r="I18" s="16"/>
      <c r="J18" s="16"/>
      <c r="K18" s="16"/>
      <c r="L18" s="16"/>
    </row>
  </sheetData>
  <autoFilter ref="A1:G16" xr:uid="{A0F573B7-297A-EA4B-8698-04F0361E7DE8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P23"/>
  <sheetViews>
    <sheetView workbookViewId="0">
      <selection activeCell="O3" sqref="O3"/>
    </sheetView>
  </sheetViews>
  <sheetFormatPr baseColWidth="10" defaultColWidth="8.83203125" defaultRowHeight="15"/>
  <cols>
    <col min="1" max="1" width="15.1640625" style="7" bestFit="1" customWidth="1"/>
    <col min="2" max="2" width="29.83203125" bestFit="1" customWidth="1"/>
    <col min="8" max="8" width="18.1640625" style="7" bestFit="1" customWidth="1"/>
    <col min="9" max="9" width="12.33203125" style="7" bestFit="1" customWidth="1"/>
    <col min="10" max="10" width="24" style="7" bestFit="1" customWidth="1"/>
    <col min="15" max="15" width="15.1640625" bestFit="1" customWidth="1"/>
  </cols>
  <sheetData>
    <row r="1" spans="1:16" ht="17" thickTop="1" thickBot="1">
      <c r="A1" s="14" t="s">
        <v>129</v>
      </c>
      <c r="H1" s="14" t="s">
        <v>171</v>
      </c>
      <c r="O1" s="14" t="s">
        <v>379</v>
      </c>
    </row>
    <row r="2" spans="1:16" ht="16" thickTop="1">
      <c r="A2" s="7" t="s">
        <v>109</v>
      </c>
      <c r="B2" t="s">
        <v>89</v>
      </c>
      <c r="H2" s="7" t="s">
        <v>130</v>
      </c>
      <c r="I2" s="7" t="s">
        <v>131</v>
      </c>
      <c r="J2" s="7" t="s">
        <v>132</v>
      </c>
      <c r="O2" s="7" t="s">
        <v>380</v>
      </c>
      <c r="P2" t="s">
        <v>383</v>
      </c>
    </row>
    <row r="3" spans="1:16">
      <c r="A3" s="7" t="s">
        <v>110</v>
      </c>
      <c r="B3" t="s">
        <v>90</v>
      </c>
      <c r="H3" s="12" t="s">
        <v>158</v>
      </c>
      <c r="I3" s="12" t="s">
        <v>133</v>
      </c>
      <c r="J3" s="12" t="s">
        <v>134</v>
      </c>
      <c r="O3" s="7" t="s">
        <v>381</v>
      </c>
      <c r="P3" t="s">
        <v>384</v>
      </c>
    </row>
    <row r="4" spans="1:16">
      <c r="A4" s="7" t="s">
        <v>111</v>
      </c>
      <c r="B4" t="s">
        <v>91</v>
      </c>
      <c r="H4" s="12" t="s">
        <v>159</v>
      </c>
      <c r="I4" s="12" t="s">
        <v>135</v>
      </c>
      <c r="J4" s="12" t="s">
        <v>134</v>
      </c>
      <c r="O4" s="7" t="s">
        <v>382</v>
      </c>
      <c r="P4" t="s">
        <v>385</v>
      </c>
    </row>
    <row r="5" spans="1:16">
      <c r="A5" s="12" t="s">
        <v>88</v>
      </c>
      <c r="B5" s="13" t="s">
        <v>92</v>
      </c>
      <c r="H5" s="7" t="s">
        <v>160</v>
      </c>
      <c r="I5" s="7" t="s">
        <v>136</v>
      </c>
      <c r="J5" s="7" t="s">
        <v>137</v>
      </c>
      <c r="O5" s="7"/>
    </row>
    <row r="6" spans="1:16">
      <c r="A6" s="7" t="s">
        <v>112</v>
      </c>
      <c r="B6" t="s">
        <v>93</v>
      </c>
      <c r="H6" s="7" t="s">
        <v>161</v>
      </c>
      <c r="I6" s="7" t="s">
        <v>138</v>
      </c>
      <c r="J6" s="7" t="s">
        <v>139</v>
      </c>
    </row>
    <row r="7" spans="1:16">
      <c r="A7" s="7" t="s">
        <v>113</v>
      </c>
      <c r="B7" t="s">
        <v>94</v>
      </c>
      <c r="H7" s="7" t="s">
        <v>162</v>
      </c>
      <c r="I7" s="7" t="s">
        <v>140</v>
      </c>
      <c r="J7" s="7" t="s">
        <v>141</v>
      </c>
    </row>
    <row r="8" spans="1:16">
      <c r="A8" s="12" t="s">
        <v>114</v>
      </c>
      <c r="B8" s="13" t="s">
        <v>95</v>
      </c>
      <c r="H8" s="7" t="s">
        <v>163</v>
      </c>
      <c r="I8" s="7" t="s">
        <v>142</v>
      </c>
      <c r="J8" s="7" t="s">
        <v>143</v>
      </c>
    </row>
    <row r="9" spans="1:16">
      <c r="A9" s="12" t="s">
        <v>115</v>
      </c>
      <c r="B9" s="13" t="s">
        <v>255</v>
      </c>
      <c r="H9" s="7" t="s">
        <v>164</v>
      </c>
      <c r="I9" s="7" t="s">
        <v>144</v>
      </c>
      <c r="J9" s="7" t="s">
        <v>145</v>
      </c>
    </row>
    <row r="10" spans="1:16">
      <c r="A10" s="7" t="s">
        <v>116</v>
      </c>
      <c r="B10" t="s">
        <v>96</v>
      </c>
      <c r="H10" s="12" t="s">
        <v>165</v>
      </c>
      <c r="I10" s="12" t="s">
        <v>146</v>
      </c>
      <c r="J10" s="12" t="s">
        <v>147</v>
      </c>
    </row>
    <row r="11" spans="1:16">
      <c r="A11" s="7" t="s">
        <v>117</v>
      </c>
      <c r="B11" t="s">
        <v>97</v>
      </c>
      <c r="H11" s="12" t="s">
        <v>166</v>
      </c>
      <c r="I11" s="12" t="s">
        <v>148</v>
      </c>
      <c r="J11" s="12" t="s">
        <v>149</v>
      </c>
    </row>
    <row r="12" spans="1:16">
      <c r="A12" s="12" t="s">
        <v>118</v>
      </c>
      <c r="B12" s="13" t="s">
        <v>98</v>
      </c>
      <c r="H12" s="7" t="s">
        <v>167</v>
      </c>
      <c r="I12" s="7" t="s">
        <v>150</v>
      </c>
      <c r="J12" s="7" t="s">
        <v>151</v>
      </c>
    </row>
    <row r="13" spans="1:16">
      <c r="A13" s="7" t="s">
        <v>119</v>
      </c>
      <c r="B13" t="s">
        <v>99</v>
      </c>
      <c r="H13" s="12" t="s">
        <v>168</v>
      </c>
      <c r="I13" s="12" t="s">
        <v>152</v>
      </c>
      <c r="J13" s="12" t="s">
        <v>153</v>
      </c>
    </row>
    <row r="14" spans="1:16">
      <c r="A14" s="7" t="s">
        <v>120</v>
      </c>
      <c r="B14" t="s">
        <v>100</v>
      </c>
      <c r="H14" s="7" t="s">
        <v>169</v>
      </c>
      <c r="I14" s="7" t="s">
        <v>154</v>
      </c>
      <c r="J14" s="7" t="s">
        <v>155</v>
      </c>
    </row>
    <row r="15" spans="1:16">
      <c r="A15" s="7" t="s">
        <v>121</v>
      </c>
      <c r="B15" t="s">
        <v>101</v>
      </c>
      <c r="H15" s="7" t="s">
        <v>170</v>
      </c>
      <c r="I15" s="7" t="s">
        <v>156</v>
      </c>
      <c r="J15" s="7" t="s">
        <v>157</v>
      </c>
    </row>
    <row r="16" spans="1:16">
      <c r="A16" s="7" t="s">
        <v>122</v>
      </c>
      <c r="B16" t="s">
        <v>102</v>
      </c>
      <c r="H16" s="7" t="s">
        <v>257</v>
      </c>
      <c r="I16" s="7" t="s">
        <v>258</v>
      </c>
      <c r="J16" s="7" t="s">
        <v>259</v>
      </c>
    </row>
    <row r="17" spans="1:10">
      <c r="A17" s="12" t="s">
        <v>123</v>
      </c>
      <c r="B17" s="13" t="s">
        <v>103</v>
      </c>
      <c r="H17" s="7" t="s">
        <v>316</v>
      </c>
      <c r="I17" s="7" t="s">
        <v>138</v>
      </c>
      <c r="J17" s="7" t="s">
        <v>317</v>
      </c>
    </row>
    <row r="18" spans="1:10">
      <c r="A18" s="7" t="s">
        <v>124</v>
      </c>
      <c r="B18" t="s">
        <v>104</v>
      </c>
    </row>
    <row r="19" spans="1:10">
      <c r="A19" s="7" t="s">
        <v>125</v>
      </c>
      <c r="B19" t="s">
        <v>105</v>
      </c>
    </row>
    <row r="20" spans="1:10">
      <c r="A20" s="12" t="s">
        <v>126</v>
      </c>
      <c r="B20" s="13" t="s">
        <v>106</v>
      </c>
    </row>
    <row r="21" spans="1:10">
      <c r="A21" s="12" t="s">
        <v>127</v>
      </c>
      <c r="B21" s="13" t="s">
        <v>107</v>
      </c>
    </row>
    <row r="22" spans="1:10">
      <c r="A22" s="7" t="s">
        <v>128</v>
      </c>
      <c r="B22" t="s">
        <v>108</v>
      </c>
    </row>
    <row r="23" spans="1:10">
      <c r="A23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Standing</vt:lpstr>
      <vt:lpstr>History_Paisa</vt:lpstr>
      <vt:lpstr>Country Vacations</vt:lpstr>
      <vt:lpstr>Prepaid Cards</vt:lpstr>
      <vt:lpstr>Home AECS</vt:lpstr>
      <vt:lpstr>Chit</vt:lpstr>
      <vt:lpstr>Investments (2)</vt:lpstr>
      <vt:lpstr>Investments</vt:lpstr>
      <vt:lpstr>Account numbers</vt:lpstr>
      <vt:lpstr>Sal details - 2015</vt:lpstr>
      <vt:lpstr>Intlo Appu</vt:lpstr>
      <vt:lpstr>Earnings, Home</vt:lpstr>
      <vt:lpstr>Loans</vt:lpstr>
      <vt:lpstr>Nani Credit card EMI</vt:lpstr>
      <vt:lpstr>Loan for Bro</vt:lpstr>
      <vt:lpstr>Chiti pata</vt:lpstr>
      <vt:lpstr>SAP Shares</vt:lpstr>
      <vt:lpstr>SAP Shares 2</vt:lpstr>
      <vt:lpstr>Papai &amp; Tej</vt:lpstr>
      <vt:lpstr>Intlo appu sim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Nidamanuru, Anand</cp:lastModifiedBy>
  <dcterms:created xsi:type="dcterms:W3CDTF">2011-04-11T11:50:44Z</dcterms:created>
  <dcterms:modified xsi:type="dcterms:W3CDTF">2020-11-21T17:23:36Z</dcterms:modified>
</cp:coreProperties>
</file>