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codeName="ThisWorkbook" defaultThemeVersion="124226"/>
  <mc:AlternateContent xmlns:mc="http://schemas.openxmlformats.org/markup-compatibility/2006">
    <mc:Choice Requires="x15">
      <x15ac:absPath xmlns:x15ac="http://schemas.microsoft.com/office/spreadsheetml/2010/11/ac" url="V:\Safal Niveshak\Excel Sheet - Stock Analysis\"/>
    </mc:Choice>
  </mc:AlternateContent>
  <bookViews>
    <workbookView xWindow="-150" yWindow="180" windowWidth="20730" windowHeight="10100"/>
  </bookViews>
  <sheets>
    <sheet name="First Page" sheetId="22" r:id="rId1"/>
    <sheet name="Checklist" sheetId="20" r:id="rId2"/>
    <sheet name="Balance Sheet" sheetId="10" r:id="rId3"/>
    <sheet name="Common Size Bal. Sheet" sheetId="24" r:id="rId4"/>
    <sheet name="P &amp; L Account" sheetId="15" r:id="rId5"/>
    <sheet name="Common Size P&amp;L" sheetId="25" r:id="rId6"/>
    <sheet name="Cash Flow" sheetId="17" r:id="rId7"/>
    <sheet name="Ratios" sheetId="14" r:id="rId8"/>
    <sheet name="Valuations" sheetId="2" r:id="rId9"/>
    <sheet name="Quarterly" sheetId="27" r:id="rId10"/>
  </sheets>
  <externalReferences>
    <externalReference r:id="rId11"/>
  </externalReferences>
  <definedNames>
    <definedName name="discount">'[1]DCF Valuation'!$N$13:$N$16</definedName>
    <definedName name="Ticker">[1]Data!$A$2</definedName>
  </definedNames>
  <calcPr calcId="171027" calcMode="manual" iterateDelta="1E-4"/>
</workbook>
</file>

<file path=xl/calcChain.xml><?xml version="1.0" encoding="utf-8"?>
<calcChain xmlns="http://schemas.openxmlformats.org/spreadsheetml/2006/main">
  <c r="J15" i="14" l="1"/>
  <c r="I15" i="14"/>
  <c r="H15" i="14"/>
  <c r="G15" i="14"/>
  <c r="B23" i="22" s="1"/>
  <c r="F15" i="14"/>
  <c r="E15" i="14"/>
  <c r="D15" i="14"/>
  <c r="C15" i="14"/>
  <c r="B15" i="14"/>
  <c r="K15" i="14"/>
  <c r="B22" i="22"/>
  <c r="B21" i="22"/>
  <c r="B13" i="2" l="1"/>
  <c r="I8" i="27"/>
  <c r="L41" i="27" l="1"/>
  <c r="K41" i="27"/>
  <c r="J41" i="27"/>
  <c r="L37" i="27"/>
  <c r="K37" i="27"/>
  <c r="J37" i="27"/>
  <c r="I37" i="27"/>
  <c r="H37" i="27"/>
  <c r="G37" i="27"/>
  <c r="F37" i="27"/>
  <c r="E37" i="27"/>
  <c r="D37" i="27"/>
  <c r="C37" i="27"/>
  <c r="B37" i="27"/>
  <c r="L31" i="27"/>
  <c r="K31" i="27"/>
  <c r="J31" i="27"/>
  <c r="I31" i="27"/>
  <c r="H31" i="27"/>
  <c r="G31" i="27"/>
  <c r="F31" i="27"/>
  <c r="E31" i="27"/>
  <c r="D31" i="27"/>
  <c r="C31" i="27"/>
  <c r="B31" i="27"/>
  <c r="L25" i="27"/>
  <c r="K25" i="27"/>
  <c r="J25" i="27"/>
  <c r="I25" i="27"/>
  <c r="H25" i="27"/>
  <c r="G25" i="27"/>
  <c r="F25" i="27"/>
  <c r="E25" i="27"/>
  <c r="D25" i="27"/>
  <c r="C25" i="27"/>
  <c r="B25" i="27"/>
  <c r="J19" i="27"/>
  <c r="I19" i="27"/>
  <c r="H19" i="27"/>
  <c r="G19" i="27"/>
  <c r="F19" i="27"/>
  <c r="E19" i="27"/>
  <c r="D19" i="27"/>
  <c r="C19" i="27"/>
  <c r="B19" i="27"/>
  <c r="L19" i="27"/>
  <c r="K19" i="27"/>
  <c r="L33" i="27"/>
  <c r="K33" i="27"/>
  <c r="J33" i="27"/>
  <c r="I33" i="27"/>
  <c r="H33" i="27"/>
  <c r="G33" i="27"/>
  <c r="F33" i="27"/>
  <c r="L27" i="27"/>
  <c r="K27" i="27"/>
  <c r="J27" i="27"/>
  <c r="I27" i="27"/>
  <c r="H27" i="27"/>
  <c r="G27" i="27"/>
  <c r="F27" i="27"/>
  <c r="L21" i="27"/>
  <c r="K21" i="27"/>
  <c r="J21" i="27"/>
  <c r="I21" i="27"/>
  <c r="H21" i="27"/>
  <c r="G21" i="27"/>
  <c r="F21" i="27"/>
  <c r="L36" i="27"/>
  <c r="K36" i="27"/>
  <c r="J36" i="27"/>
  <c r="I36" i="27"/>
  <c r="H36" i="27"/>
  <c r="G36" i="27"/>
  <c r="F36" i="27"/>
  <c r="L30" i="27"/>
  <c r="K30" i="27"/>
  <c r="J30" i="27"/>
  <c r="I30" i="27"/>
  <c r="H30" i="27"/>
  <c r="G30" i="27"/>
  <c r="F30" i="27"/>
  <c r="L24" i="27"/>
  <c r="K24" i="27"/>
  <c r="J24" i="27"/>
  <c r="I24" i="27"/>
  <c r="H24" i="27"/>
  <c r="G24" i="27"/>
  <c r="F24" i="27"/>
  <c r="L18" i="27"/>
  <c r="K18" i="27"/>
  <c r="J18" i="27"/>
  <c r="I18" i="27"/>
  <c r="H18" i="27"/>
  <c r="G18" i="27"/>
  <c r="F18" i="27"/>
  <c r="K42" i="27"/>
  <c r="K34" i="27" s="1"/>
  <c r="J42" i="27"/>
  <c r="J28" i="27" s="1"/>
  <c r="I42" i="27"/>
  <c r="H42" i="27"/>
  <c r="H34" i="27" s="1"/>
  <c r="G42" i="27"/>
  <c r="G16" i="27" s="1"/>
  <c r="F42" i="27"/>
  <c r="E42" i="27"/>
  <c r="D42" i="27"/>
  <c r="C42" i="27"/>
  <c r="C16" i="27" s="1"/>
  <c r="B42" i="27"/>
  <c r="L42" i="27"/>
  <c r="L39" i="27" s="1"/>
  <c r="K15" i="27"/>
  <c r="J15" i="27"/>
  <c r="I15" i="27"/>
  <c r="H15" i="27"/>
  <c r="G15" i="27"/>
  <c r="F15" i="27"/>
  <c r="L15" i="27"/>
  <c r="K10" i="27"/>
  <c r="J10" i="27"/>
  <c r="I10" i="27"/>
  <c r="H10" i="27"/>
  <c r="G10" i="27"/>
  <c r="F10" i="27"/>
  <c r="E10" i="27"/>
  <c r="D10" i="27"/>
  <c r="C10" i="27"/>
  <c r="B10" i="27"/>
  <c r="L10" i="27"/>
  <c r="K7" i="27"/>
  <c r="J7" i="27"/>
  <c r="I7" i="27"/>
  <c r="H7" i="27"/>
  <c r="G7" i="27"/>
  <c r="F7" i="27"/>
  <c r="E7" i="27"/>
  <c r="D7" i="27"/>
  <c r="C7" i="27"/>
  <c r="B7" i="27"/>
  <c r="L7" i="27"/>
  <c r="L9" i="27"/>
  <c r="K9" i="27"/>
  <c r="J9" i="27"/>
  <c r="I9" i="27"/>
  <c r="H9" i="27"/>
  <c r="G9" i="27"/>
  <c r="F9" i="27"/>
  <c r="L6" i="27"/>
  <c r="K6" i="27"/>
  <c r="J6" i="27"/>
  <c r="I6" i="27"/>
  <c r="H6" i="27"/>
  <c r="G6" i="27"/>
  <c r="F6" i="27"/>
  <c r="K4" i="27"/>
  <c r="J4" i="27"/>
  <c r="I4" i="27"/>
  <c r="H4" i="27"/>
  <c r="G4" i="27"/>
  <c r="F4" i="27"/>
  <c r="L4" i="27"/>
  <c r="L34" i="27" l="1"/>
  <c r="L16" i="27"/>
  <c r="D16" i="27"/>
  <c r="C22" i="27"/>
  <c r="C28" i="27"/>
  <c r="C34" i="27"/>
  <c r="B28" i="27"/>
  <c r="D22" i="27"/>
  <c r="D28" i="27"/>
  <c r="D34" i="27"/>
  <c r="B22" i="27"/>
  <c r="B34" i="27"/>
  <c r="I28" i="27"/>
  <c r="B16" i="27"/>
  <c r="H16" i="27"/>
  <c r="G22" i="27"/>
  <c r="G28" i="27"/>
  <c r="G34" i="27"/>
  <c r="E16" i="27"/>
  <c r="E28" i="27"/>
  <c r="I34" i="27"/>
  <c r="I22" i="27"/>
  <c r="I16" i="27"/>
  <c r="E22" i="27"/>
  <c r="E34" i="27"/>
  <c r="J22" i="27"/>
  <c r="F16" i="27"/>
  <c r="J16" i="27"/>
  <c r="F22" i="27"/>
  <c r="F28" i="27"/>
  <c r="F34" i="27"/>
  <c r="J34" i="27"/>
  <c r="J39" i="27"/>
  <c r="H28" i="27"/>
  <c r="L28" i="27"/>
  <c r="K28" i="27"/>
  <c r="K22" i="27"/>
  <c r="H22" i="27"/>
  <c r="L22" i="27"/>
  <c r="K39" i="27"/>
  <c r="K16" i="27"/>
  <c r="B41" i="2"/>
  <c r="C41" i="2"/>
  <c r="D41" i="2"/>
  <c r="E41" i="2"/>
  <c r="F41" i="2"/>
  <c r="G41" i="2"/>
  <c r="H41" i="2"/>
  <c r="I41" i="2"/>
  <c r="J41" i="2"/>
  <c r="K41" i="2"/>
  <c r="B47" i="2" s="1"/>
  <c r="B50" i="2" s="1"/>
  <c r="M41" i="2"/>
  <c r="B42" i="2"/>
  <c r="C42" i="2"/>
  <c r="D42" i="2"/>
  <c r="E42" i="2"/>
  <c r="F42" i="2"/>
  <c r="G42" i="2"/>
  <c r="H42" i="2"/>
  <c r="I42" i="2"/>
  <c r="J42" i="2"/>
  <c r="K42" i="2"/>
  <c r="B43" i="2"/>
  <c r="C43" i="2"/>
  <c r="D43" i="2"/>
  <c r="E43" i="2"/>
  <c r="F43" i="2"/>
  <c r="G43" i="2"/>
  <c r="H43" i="2"/>
  <c r="I43" i="2"/>
  <c r="J43" i="2"/>
  <c r="K43" i="2"/>
  <c r="B51" i="2"/>
  <c r="B24" i="15"/>
  <c r="B13" i="15"/>
  <c r="B11" i="15"/>
  <c r="B8" i="15"/>
  <c r="L32" i="15"/>
  <c r="L19" i="15"/>
  <c r="L16" i="15"/>
  <c r="L15" i="15"/>
  <c r="L4" i="15"/>
  <c r="B10" i="15"/>
  <c r="B33" i="10"/>
  <c r="B19" i="10"/>
  <c r="B20" i="10" s="1"/>
  <c r="B27" i="10"/>
  <c r="B18" i="10"/>
  <c r="B12" i="10"/>
  <c r="J6" i="17"/>
  <c r="I6" i="17"/>
  <c r="H6" i="17"/>
  <c r="G6" i="17"/>
  <c r="F6" i="17"/>
  <c r="E6" i="17"/>
  <c r="D6" i="17"/>
  <c r="C6" i="17"/>
  <c r="B6" i="17"/>
  <c r="K6" i="17"/>
  <c r="C5" i="17"/>
  <c r="C24" i="15"/>
  <c r="D24" i="15"/>
  <c r="D21" i="15"/>
  <c r="C13" i="15"/>
  <c r="D13" i="15"/>
  <c r="C11" i="15"/>
  <c r="D11" i="15"/>
  <c r="C8" i="15"/>
  <c r="D8" i="15"/>
  <c r="C10" i="15"/>
  <c r="D10" i="15"/>
  <c r="C28" i="10"/>
  <c r="C27" i="10" s="1"/>
  <c r="C26" i="10" s="1"/>
  <c r="D28" i="10"/>
  <c r="D27" i="10" s="1"/>
  <c r="D26" i="10" s="1"/>
  <c r="C19" i="10"/>
  <c r="C20" i="10" s="1"/>
  <c r="D19" i="10"/>
  <c r="D20" i="10" s="1"/>
  <c r="D33" i="10"/>
  <c r="C33" i="10"/>
  <c r="C12" i="10"/>
  <c r="C18" i="10" s="1"/>
  <c r="D12" i="10"/>
  <c r="D18" i="10" s="1"/>
  <c r="E11" i="15"/>
  <c r="E13" i="15" s="1"/>
  <c r="E8" i="15"/>
  <c r="E24" i="15"/>
  <c r="E10" i="15"/>
  <c r="D36" i="10"/>
  <c r="C36" i="10"/>
  <c r="B36" i="10"/>
  <c r="K36" i="10"/>
  <c r="J36" i="10"/>
  <c r="I36" i="10"/>
  <c r="H36" i="10"/>
  <c r="G36" i="10"/>
  <c r="F36" i="10"/>
  <c r="E36" i="10"/>
  <c r="E33" i="10"/>
  <c r="E28" i="10"/>
  <c r="E27" i="10" s="1"/>
  <c r="E26" i="10" s="1"/>
  <c r="E12" i="10"/>
  <c r="E11" i="10" s="1"/>
  <c r="E19" i="10"/>
  <c r="E20" i="10" s="1"/>
  <c r="F24" i="15"/>
  <c r="G24" i="15"/>
  <c r="F21" i="15"/>
  <c r="F11" i="15"/>
  <c r="G11" i="15"/>
  <c r="F13" i="15"/>
  <c r="G13" i="15"/>
  <c r="G12" i="25" s="1"/>
  <c r="E5" i="2"/>
  <c r="J4" i="14"/>
  <c r="I4" i="14"/>
  <c r="K4" i="14"/>
  <c r="J29" i="14"/>
  <c r="K29" i="14"/>
  <c r="J12" i="14"/>
  <c r="I12" i="14"/>
  <c r="K12" i="14"/>
  <c r="K32" i="15"/>
  <c r="J32" i="15"/>
  <c r="J33" i="15" s="1"/>
  <c r="I32" i="15"/>
  <c r="K33" i="15"/>
  <c r="I33" i="15"/>
  <c r="H11" i="15"/>
  <c r="H13" i="15" s="1"/>
  <c r="I11" i="15"/>
  <c r="I13" i="15" s="1"/>
  <c r="H24" i="15"/>
  <c r="I24" i="15"/>
  <c r="J9" i="14"/>
  <c r="K9" i="14"/>
  <c r="K28" i="25"/>
  <c r="K27" i="25"/>
  <c r="J27" i="25"/>
  <c r="I27" i="25"/>
  <c r="H27" i="25"/>
  <c r="G27" i="25"/>
  <c r="F27" i="25"/>
  <c r="E27" i="25"/>
  <c r="D27" i="25"/>
  <c r="C27" i="25"/>
  <c r="B27" i="25"/>
  <c r="K26" i="25"/>
  <c r="J26" i="25"/>
  <c r="I26" i="25"/>
  <c r="H26" i="25"/>
  <c r="G26" i="25"/>
  <c r="F26" i="25"/>
  <c r="E26" i="25"/>
  <c r="D26" i="25"/>
  <c r="C26" i="25"/>
  <c r="B26" i="25"/>
  <c r="K25" i="25"/>
  <c r="K24" i="25"/>
  <c r="J24" i="25"/>
  <c r="D24" i="25"/>
  <c r="K23" i="25"/>
  <c r="J23" i="25"/>
  <c r="I23" i="25"/>
  <c r="H23" i="25"/>
  <c r="G23" i="25"/>
  <c r="F23" i="25"/>
  <c r="E23" i="25"/>
  <c r="D23" i="25"/>
  <c r="C23" i="25"/>
  <c r="B23" i="25"/>
  <c r="K22" i="25"/>
  <c r="J22" i="25"/>
  <c r="I22" i="25"/>
  <c r="H22" i="25"/>
  <c r="G22" i="25"/>
  <c r="F22" i="25"/>
  <c r="E22" i="25"/>
  <c r="D22" i="25"/>
  <c r="C22" i="25"/>
  <c r="B22" i="25"/>
  <c r="K21" i="25"/>
  <c r="K20" i="25"/>
  <c r="J20" i="25"/>
  <c r="I20" i="25"/>
  <c r="H20" i="25"/>
  <c r="G20" i="25"/>
  <c r="F20" i="25"/>
  <c r="E20" i="25"/>
  <c r="D20" i="25"/>
  <c r="C20" i="25"/>
  <c r="B20" i="25"/>
  <c r="K19" i="25"/>
  <c r="J19" i="25"/>
  <c r="I19" i="25"/>
  <c r="H19" i="25"/>
  <c r="G19" i="25"/>
  <c r="F19" i="25"/>
  <c r="E19" i="25"/>
  <c r="D19" i="25"/>
  <c r="C19" i="25"/>
  <c r="B19" i="25"/>
  <c r="K18" i="25"/>
  <c r="K17" i="25"/>
  <c r="J17" i="25"/>
  <c r="I17" i="25"/>
  <c r="H17" i="25"/>
  <c r="G17" i="25"/>
  <c r="F17" i="25"/>
  <c r="E17" i="25"/>
  <c r="D17" i="25"/>
  <c r="C17" i="25"/>
  <c r="B17" i="25"/>
  <c r="K16" i="25"/>
  <c r="J16" i="25"/>
  <c r="I16" i="25"/>
  <c r="H16" i="25"/>
  <c r="G16" i="25"/>
  <c r="F16" i="25"/>
  <c r="E16" i="25"/>
  <c r="D16" i="25"/>
  <c r="C16" i="25"/>
  <c r="B16" i="25"/>
  <c r="K15" i="25"/>
  <c r="K14" i="25"/>
  <c r="J14" i="25"/>
  <c r="K13" i="25"/>
  <c r="K12" i="25"/>
  <c r="J12" i="25"/>
  <c r="F12" i="25"/>
  <c r="D12" i="25"/>
  <c r="C12" i="25"/>
  <c r="B12" i="25"/>
  <c r="K11" i="25"/>
  <c r="J11" i="25"/>
  <c r="I11" i="25"/>
  <c r="H11" i="25"/>
  <c r="G11" i="25"/>
  <c r="F11" i="25"/>
  <c r="E11" i="25"/>
  <c r="D11" i="25"/>
  <c r="C11" i="25"/>
  <c r="B11" i="25"/>
  <c r="K10" i="25"/>
  <c r="J10" i="25"/>
  <c r="I10" i="25"/>
  <c r="H10" i="25"/>
  <c r="G10" i="25"/>
  <c r="F10" i="25"/>
  <c r="E10" i="25"/>
  <c r="D10" i="25"/>
  <c r="C10" i="25"/>
  <c r="B10" i="25"/>
  <c r="K9" i="25"/>
  <c r="J9" i="25"/>
  <c r="I9" i="25"/>
  <c r="H9" i="25"/>
  <c r="G9" i="25"/>
  <c r="F9" i="25"/>
  <c r="E9" i="25"/>
  <c r="D9" i="25"/>
  <c r="C9" i="25"/>
  <c r="B9" i="25"/>
  <c r="K8" i="25"/>
  <c r="J8" i="25"/>
  <c r="I8" i="25"/>
  <c r="H8" i="25"/>
  <c r="G8" i="25"/>
  <c r="F8" i="25"/>
  <c r="E8" i="25"/>
  <c r="D8" i="25"/>
  <c r="C8" i="25"/>
  <c r="B8" i="25"/>
  <c r="K7" i="25"/>
  <c r="J7" i="25"/>
  <c r="I7" i="25"/>
  <c r="H7" i="25"/>
  <c r="G7" i="25"/>
  <c r="F7" i="25"/>
  <c r="E7" i="25"/>
  <c r="D7" i="25"/>
  <c r="C7" i="25"/>
  <c r="B7" i="25"/>
  <c r="I6" i="25"/>
  <c r="H6" i="25"/>
  <c r="G6" i="25"/>
  <c r="F6" i="25"/>
  <c r="E6" i="25"/>
  <c r="D6" i="25"/>
  <c r="C6" i="25"/>
  <c r="B6" i="25"/>
  <c r="J6" i="25"/>
  <c r="K6" i="25"/>
  <c r="G14" i="15"/>
  <c r="G13" i="25" s="1"/>
  <c r="F14" i="15"/>
  <c r="F13" i="25" s="1"/>
  <c r="D14" i="15"/>
  <c r="D13" i="25" s="1"/>
  <c r="C14" i="15"/>
  <c r="C13" i="25" s="1"/>
  <c r="B14" i="15"/>
  <c r="B13" i="25" s="1"/>
  <c r="K14" i="15"/>
  <c r="J14" i="15"/>
  <c r="J13" i="25" s="1"/>
  <c r="I25" i="15"/>
  <c r="I24" i="25" s="1"/>
  <c r="H25" i="15"/>
  <c r="H24" i="25" s="1"/>
  <c r="G25" i="15"/>
  <c r="G24" i="25" s="1"/>
  <c r="F25" i="15"/>
  <c r="F24" i="25" s="1"/>
  <c r="E25" i="15"/>
  <c r="E24" i="25" s="1"/>
  <c r="D25" i="15"/>
  <c r="C25" i="15"/>
  <c r="C24" i="25" s="1"/>
  <c r="B25" i="15"/>
  <c r="B24" i="25" s="1"/>
  <c r="J24" i="15"/>
  <c r="J25" i="15" s="1"/>
  <c r="K24" i="15"/>
  <c r="K25" i="15" s="1"/>
  <c r="J11" i="15"/>
  <c r="J13" i="15" s="1"/>
  <c r="K11" i="15"/>
  <c r="K13" i="15" s="1"/>
  <c r="I15" i="15"/>
  <c r="I14" i="25" s="1"/>
  <c r="H15" i="15"/>
  <c r="H14" i="25" s="1"/>
  <c r="G15" i="15"/>
  <c r="G9" i="14" s="1"/>
  <c r="F15" i="15"/>
  <c r="F14" i="25" s="1"/>
  <c r="E15" i="15"/>
  <c r="E14" i="25" s="1"/>
  <c r="D15" i="15"/>
  <c r="D9" i="14" s="1"/>
  <c r="C15" i="15"/>
  <c r="C14" i="25" s="1"/>
  <c r="B15" i="15"/>
  <c r="B9" i="14" s="1"/>
  <c r="I26" i="10"/>
  <c r="H26" i="10"/>
  <c r="G26" i="10"/>
  <c r="F26" i="10"/>
  <c r="B26" i="10"/>
  <c r="K26" i="10"/>
  <c r="J26" i="10"/>
  <c r="J19" i="10"/>
  <c r="K19" i="10"/>
  <c r="I11" i="10"/>
  <c r="H11" i="10"/>
  <c r="G11" i="10"/>
  <c r="F11" i="10"/>
  <c r="D11" i="10"/>
  <c r="C11" i="10"/>
  <c r="B11" i="10"/>
  <c r="K11" i="10"/>
  <c r="J11" i="10"/>
  <c r="B52" i="2" l="1"/>
  <c r="L41" i="2"/>
  <c r="B14" i="25"/>
  <c r="E18" i="10"/>
  <c r="C9" i="14"/>
  <c r="D14" i="25"/>
  <c r="E14" i="15"/>
  <c r="E13" i="25" s="1"/>
  <c r="E12" i="25"/>
  <c r="E9" i="14"/>
  <c r="G14" i="25"/>
  <c r="F9" i="14"/>
  <c r="I12" i="25"/>
  <c r="I14" i="15"/>
  <c r="I13" i="25" s="1"/>
  <c r="H12" i="25"/>
  <c r="H14" i="15"/>
  <c r="H13" i="25" s="1"/>
  <c r="H9" i="14"/>
  <c r="I9" i="14"/>
  <c r="K15" i="15"/>
  <c r="J15" i="15"/>
  <c r="B15" i="22" l="1"/>
  <c r="B12" i="2" l="1"/>
  <c r="B5" i="2"/>
  <c r="K9" i="17" l="1"/>
  <c r="B19" i="22"/>
  <c r="J33" i="14"/>
  <c r="F33" i="14"/>
  <c r="E33" i="14"/>
  <c r="D33" i="14"/>
  <c r="C33" i="14"/>
  <c r="J9" i="17"/>
  <c r="I9" i="17"/>
  <c r="H9" i="17"/>
  <c r="G9" i="17"/>
  <c r="F9" i="17"/>
  <c r="E9" i="17"/>
  <c r="D9" i="17"/>
  <c r="C9" i="17"/>
  <c r="B9" i="17"/>
  <c r="K33" i="14"/>
  <c r="I33" i="14" l="1"/>
  <c r="G33" i="14"/>
  <c r="H33" i="14"/>
  <c r="J23" i="14" l="1"/>
  <c r="I23" i="14"/>
  <c r="H23" i="14"/>
  <c r="G23" i="14"/>
  <c r="F23" i="14"/>
  <c r="E23" i="14"/>
  <c r="D23" i="14"/>
  <c r="C23" i="14"/>
  <c r="B23" i="14"/>
  <c r="J22" i="14"/>
  <c r="I22" i="14"/>
  <c r="H22" i="14"/>
  <c r="G22" i="14"/>
  <c r="F22" i="14"/>
  <c r="E22" i="14"/>
  <c r="D22" i="14"/>
  <c r="C22" i="14"/>
  <c r="B22" i="14"/>
  <c r="J21" i="14"/>
  <c r="I21" i="14"/>
  <c r="H21" i="14"/>
  <c r="G21" i="14"/>
  <c r="F21" i="14"/>
  <c r="E21" i="14"/>
  <c r="D21" i="14"/>
  <c r="C21" i="14"/>
  <c r="B21" i="14"/>
  <c r="K23" i="14"/>
  <c r="K22" i="14"/>
  <c r="K21" i="14"/>
  <c r="K17" i="10" l="1"/>
  <c r="J17" i="10"/>
  <c r="I17" i="10"/>
  <c r="H17" i="10"/>
  <c r="G17" i="10"/>
  <c r="F17" i="10"/>
  <c r="E17" i="10"/>
  <c r="D17" i="10"/>
  <c r="C17" i="10"/>
  <c r="B17" i="10"/>
  <c r="E44" i="10" l="1"/>
  <c r="E35" i="24" s="1"/>
  <c r="B44" i="10"/>
  <c r="F44" i="10"/>
  <c r="F35" i="24" s="1"/>
  <c r="J44" i="10"/>
  <c r="D44" i="10"/>
  <c r="H44" i="10"/>
  <c r="H35" i="24" s="1"/>
  <c r="I44" i="10"/>
  <c r="I35" i="24" s="1"/>
  <c r="C35" i="24"/>
  <c r="C44" i="10"/>
  <c r="G44" i="10"/>
  <c r="K44" i="10"/>
  <c r="K35" i="24" s="1"/>
  <c r="K18" i="14"/>
  <c r="K34" i="14"/>
  <c r="K35" i="14"/>
  <c r="J18" i="14"/>
  <c r="J35" i="14"/>
  <c r="J34" i="14"/>
  <c r="I35" i="14"/>
  <c r="I18" i="14"/>
  <c r="I34" i="14"/>
  <c r="H18" i="14"/>
  <c r="H35" i="14"/>
  <c r="H34" i="14"/>
  <c r="G35" i="14"/>
  <c r="G18" i="14"/>
  <c r="G34" i="14"/>
  <c r="F18" i="14"/>
  <c r="F35" i="14"/>
  <c r="F34" i="14"/>
  <c r="E35" i="14"/>
  <c r="E34" i="14"/>
  <c r="E18" i="14"/>
  <c r="D18" i="14"/>
  <c r="D35" i="14"/>
  <c r="D34" i="14"/>
  <c r="C35" i="14"/>
  <c r="C18" i="14"/>
  <c r="C34" i="14"/>
  <c r="B18" i="14"/>
  <c r="B35" i="14"/>
  <c r="B34" i="14"/>
  <c r="J26" i="14"/>
  <c r="I26" i="14"/>
  <c r="H26" i="14"/>
  <c r="G26" i="14"/>
  <c r="F26" i="14"/>
  <c r="E26" i="14"/>
  <c r="D26" i="14"/>
  <c r="C26" i="14"/>
  <c r="K26" i="14"/>
  <c r="J41" i="24" l="1"/>
  <c r="J39" i="24"/>
  <c r="J37" i="24"/>
  <c r="J32" i="24"/>
  <c r="J30" i="24"/>
  <c r="J28" i="24"/>
  <c r="J26" i="24"/>
  <c r="J27" i="24"/>
  <c r="J36" i="24"/>
  <c r="J31" i="24"/>
  <c r="J29" i="24"/>
  <c r="J25" i="24"/>
  <c r="J40" i="24"/>
  <c r="J38" i="24"/>
  <c r="J33" i="24"/>
  <c r="J35" i="24"/>
  <c r="C41" i="24"/>
  <c r="C39" i="24"/>
  <c r="C37" i="24"/>
  <c r="C32" i="24"/>
  <c r="C30" i="24"/>
  <c r="C40" i="24"/>
  <c r="C36" i="24"/>
  <c r="C31" i="24"/>
  <c r="C27" i="24"/>
  <c r="C26" i="24"/>
  <c r="C38" i="24"/>
  <c r="C33" i="24"/>
  <c r="C29" i="24"/>
  <c r="C28" i="24"/>
  <c r="C25" i="24"/>
  <c r="H40" i="24"/>
  <c r="H38" i="24"/>
  <c r="H36" i="24"/>
  <c r="H33" i="24"/>
  <c r="H31" i="24"/>
  <c r="H29" i="24"/>
  <c r="H27" i="24"/>
  <c r="H41" i="24"/>
  <c r="H37" i="24"/>
  <c r="H32" i="24"/>
  <c r="H26" i="24"/>
  <c r="H28" i="24"/>
  <c r="H39" i="24"/>
  <c r="H30" i="24"/>
  <c r="H25" i="24"/>
  <c r="H43" i="24" s="1"/>
  <c r="F41" i="24"/>
  <c r="F39" i="24"/>
  <c r="F37" i="24"/>
  <c r="F32" i="24"/>
  <c r="F30" i="24"/>
  <c r="F28" i="24"/>
  <c r="F26" i="24"/>
  <c r="F38" i="24"/>
  <c r="F33" i="24"/>
  <c r="F29" i="24"/>
  <c r="F25" i="24"/>
  <c r="F43" i="24" s="1"/>
  <c r="F40" i="24"/>
  <c r="F36" i="24"/>
  <c r="F31" i="24"/>
  <c r="F27" i="24"/>
  <c r="G41" i="24"/>
  <c r="G39" i="24"/>
  <c r="G37" i="24"/>
  <c r="G32" i="24"/>
  <c r="G30" i="24"/>
  <c r="G40" i="24"/>
  <c r="G38" i="24"/>
  <c r="G33" i="24"/>
  <c r="G29" i="24"/>
  <c r="G36" i="24"/>
  <c r="G31" i="24"/>
  <c r="G27" i="24"/>
  <c r="G26" i="24"/>
  <c r="G28" i="24"/>
  <c r="G25" i="24"/>
  <c r="D40" i="24"/>
  <c r="D38" i="24"/>
  <c r="D36" i="24"/>
  <c r="D33" i="24"/>
  <c r="D31" i="24"/>
  <c r="D29" i="24"/>
  <c r="D27" i="24"/>
  <c r="D26" i="24"/>
  <c r="D41" i="24"/>
  <c r="D39" i="24"/>
  <c r="D30" i="24"/>
  <c r="D28" i="24"/>
  <c r="D37" i="24"/>
  <c r="D32" i="24"/>
  <c r="D25" i="24"/>
  <c r="B41" i="24"/>
  <c r="B39" i="24"/>
  <c r="B37" i="24"/>
  <c r="B32" i="24"/>
  <c r="B30" i="24"/>
  <c r="B28" i="24"/>
  <c r="B26" i="24"/>
  <c r="B40" i="24"/>
  <c r="B36" i="24"/>
  <c r="B31" i="24"/>
  <c r="B25" i="24"/>
  <c r="B27" i="24"/>
  <c r="B38" i="24"/>
  <c r="B33" i="24"/>
  <c r="B29" i="24"/>
  <c r="G35" i="24"/>
  <c r="D35" i="24"/>
  <c r="B35" i="24"/>
  <c r="K41" i="24"/>
  <c r="K39" i="24"/>
  <c r="K37" i="24"/>
  <c r="K32" i="24"/>
  <c r="K30" i="24"/>
  <c r="K40" i="24"/>
  <c r="K36" i="24"/>
  <c r="K31" i="24"/>
  <c r="K28" i="24"/>
  <c r="K27" i="24"/>
  <c r="K38" i="24"/>
  <c r="K33" i="24"/>
  <c r="K29" i="24"/>
  <c r="K26" i="24"/>
  <c r="K25" i="24"/>
  <c r="K43" i="24" s="1"/>
  <c r="C43" i="24"/>
  <c r="I40" i="24"/>
  <c r="I38" i="24"/>
  <c r="I36" i="24"/>
  <c r="I33" i="24"/>
  <c r="I31" i="24"/>
  <c r="I29" i="24"/>
  <c r="I41" i="24"/>
  <c r="I37" i="24"/>
  <c r="I32" i="24"/>
  <c r="I26" i="24"/>
  <c r="I28" i="24"/>
  <c r="I27" i="24"/>
  <c r="I39" i="24"/>
  <c r="I30" i="24"/>
  <c r="I25" i="24"/>
  <c r="I43" i="24" s="1"/>
  <c r="E40" i="24"/>
  <c r="E38" i="24"/>
  <c r="E36" i="24"/>
  <c r="E33" i="24"/>
  <c r="E31" i="24"/>
  <c r="E29" i="24"/>
  <c r="E41" i="24"/>
  <c r="E39" i="24"/>
  <c r="E30" i="24"/>
  <c r="E28" i="24"/>
  <c r="E27" i="24"/>
  <c r="E37" i="24"/>
  <c r="E32" i="24"/>
  <c r="E26" i="24"/>
  <c r="E25" i="24"/>
  <c r="E43" i="24" s="1"/>
  <c r="K16" i="15"/>
  <c r="K19" i="15" s="1"/>
  <c r="J16" i="15"/>
  <c r="J15" i="25" s="1"/>
  <c r="B43" i="24" l="1"/>
  <c r="G43" i="24"/>
  <c r="D43" i="24"/>
  <c r="J43" i="24"/>
  <c r="K10" i="14"/>
  <c r="K11" i="14"/>
  <c r="K22" i="15"/>
  <c r="K26" i="15" s="1"/>
  <c r="I16" i="15"/>
  <c r="J10" i="14"/>
  <c r="J19" i="15"/>
  <c r="K36" i="14"/>
  <c r="K27" i="14"/>
  <c r="J22" i="15" l="1"/>
  <c r="J18" i="25"/>
  <c r="J27" i="14"/>
  <c r="I15" i="25"/>
  <c r="I19" i="15"/>
  <c r="I10" i="14"/>
  <c r="K28" i="14"/>
  <c r="J6" i="14"/>
  <c r="J16" i="14" s="1"/>
  <c r="J36" i="14"/>
  <c r="J11" i="14"/>
  <c r="K29" i="15"/>
  <c r="K6" i="14"/>
  <c r="H16" i="15"/>
  <c r="H15" i="25" s="1"/>
  <c r="J26" i="15" l="1"/>
  <c r="J25" i="25" s="1"/>
  <c r="J21" i="25"/>
  <c r="J28" i="14"/>
  <c r="I18" i="25"/>
  <c r="K30" i="15"/>
  <c r="I36" i="14"/>
  <c r="I22" i="15"/>
  <c r="J29" i="15"/>
  <c r="J28" i="25" s="1"/>
  <c r="I11" i="14"/>
  <c r="K16" i="14"/>
  <c r="G16" i="15"/>
  <c r="G15" i="25" s="1"/>
  <c r="H10" i="14"/>
  <c r="I27" i="14"/>
  <c r="H19" i="15"/>
  <c r="H22" i="15" l="1"/>
  <c r="H18" i="25"/>
  <c r="I26" i="15"/>
  <c r="I25" i="25" s="1"/>
  <c r="I21" i="25"/>
  <c r="J30" i="15"/>
  <c r="I6" i="14"/>
  <c r="I16" i="14" s="1"/>
  <c r="H27" i="14"/>
  <c r="I28" i="14"/>
  <c r="H36" i="14"/>
  <c r="H11" i="14"/>
  <c r="F16" i="15"/>
  <c r="F15" i="25" s="1"/>
  <c r="G10" i="14"/>
  <c r="G19" i="15"/>
  <c r="G22" i="15" l="1"/>
  <c r="G18" i="25"/>
  <c r="I29" i="15"/>
  <c r="I28" i="25" s="1"/>
  <c r="H26" i="15"/>
  <c r="H25" i="25" s="1"/>
  <c r="H21" i="25"/>
  <c r="I30" i="15"/>
  <c r="G27" i="14"/>
  <c r="G36" i="14"/>
  <c r="G11" i="14"/>
  <c r="F19" i="15"/>
  <c r="F10" i="14"/>
  <c r="H6" i="14"/>
  <c r="H16" i="14" s="1"/>
  <c r="E16" i="15"/>
  <c r="E15" i="25" s="1"/>
  <c r="H28" i="14"/>
  <c r="K7" i="10"/>
  <c r="I7" i="10"/>
  <c r="H7" i="10"/>
  <c r="G7" i="10"/>
  <c r="F7" i="10"/>
  <c r="E7" i="10"/>
  <c r="D7" i="10"/>
  <c r="B7" i="10"/>
  <c r="C7" i="10"/>
  <c r="J7" i="10"/>
  <c r="F22" i="15" l="1"/>
  <c r="F18" i="25"/>
  <c r="G26" i="15"/>
  <c r="G25" i="25" s="1"/>
  <c r="G21" i="25"/>
  <c r="J23" i="10"/>
  <c r="K23" i="10"/>
  <c r="K6" i="24" s="1"/>
  <c r="G5" i="14"/>
  <c r="G23" i="10"/>
  <c r="G6" i="24" s="1"/>
  <c r="H5" i="14"/>
  <c r="H23" i="10"/>
  <c r="H6" i="24" s="1"/>
  <c r="E5" i="14"/>
  <c r="E23" i="10"/>
  <c r="I5" i="14"/>
  <c r="I23" i="10"/>
  <c r="D5" i="14"/>
  <c r="D23" i="10"/>
  <c r="C5" i="14"/>
  <c r="C23" i="10"/>
  <c r="F5" i="14"/>
  <c r="F23" i="10"/>
  <c r="B5" i="14"/>
  <c r="B23" i="10"/>
  <c r="J5" i="14"/>
  <c r="K5" i="14"/>
  <c r="H29" i="15"/>
  <c r="K32" i="14"/>
  <c r="K17" i="14"/>
  <c r="D16" i="15"/>
  <c r="D15" i="25" s="1"/>
  <c r="G6" i="14"/>
  <c r="G16" i="14" s="1"/>
  <c r="E19" i="15"/>
  <c r="E18" i="25" s="1"/>
  <c r="E10" i="14"/>
  <c r="F36" i="14"/>
  <c r="F11" i="14"/>
  <c r="F27" i="14"/>
  <c r="G28" i="14"/>
  <c r="C32" i="14"/>
  <c r="D32" i="14"/>
  <c r="F32" i="14"/>
  <c r="H17" i="14"/>
  <c r="H32" i="14"/>
  <c r="B32" i="14"/>
  <c r="E32" i="14"/>
  <c r="G32" i="14"/>
  <c r="I17" i="14"/>
  <c r="I32" i="14"/>
  <c r="J17" i="14"/>
  <c r="J32" i="14"/>
  <c r="B6" i="24" l="1"/>
  <c r="B14" i="24"/>
  <c r="B13" i="24"/>
  <c r="B12" i="24"/>
  <c r="C14" i="24"/>
  <c r="C13" i="24"/>
  <c r="C12" i="24"/>
  <c r="D13" i="24"/>
  <c r="D14" i="24"/>
  <c r="D12" i="24"/>
  <c r="E14" i="24"/>
  <c r="E13" i="24"/>
  <c r="E12" i="24"/>
  <c r="E6" i="24"/>
  <c r="H28" i="25"/>
  <c r="I29" i="14"/>
  <c r="H32" i="15"/>
  <c r="F26" i="15"/>
  <c r="F25" i="25" s="1"/>
  <c r="F21" i="25"/>
  <c r="I13" i="24"/>
  <c r="I12" i="24"/>
  <c r="I4" i="24"/>
  <c r="I14" i="24"/>
  <c r="I5" i="24"/>
  <c r="I20" i="24"/>
  <c r="I19" i="24"/>
  <c r="I18" i="24"/>
  <c r="I17" i="24"/>
  <c r="I8" i="24"/>
  <c r="I11" i="24"/>
  <c r="I10" i="24"/>
  <c r="I16" i="24"/>
  <c r="I46" i="10"/>
  <c r="J20" i="24"/>
  <c r="J13" i="24"/>
  <c r="J11" i="24"/>
  <c r="J8" i="24"/>
  <c r="J5" i="24"/>
  <c r="J14" i="24"/>
  <c r="J17" i="24"/>
  <c r="J4" i="24"/>
  <c r="J12" i="24"/>
  <c r="J19" i="24"/>
  <c r="J18" i="24"/>
  <c r="J10" i="24"/>
  <c r="J16" i="24"/>
  <c r="J46" i="10"/>
  <c r="K17" i="24"/>
  <c r="K5" i="24"/>
  <c r="K14" i="24"/>
  <c r="K19" i="24"/>
  <c r="K18" i="24"/>
  <c r="K8" i="24"/>
  <c r="K13" i="24"/>
  <c r="K20" i="24"/>
  <c r="K12" i="24"/>
  <c r="K11" i="24"/>
  <c r="K4" i="24"/>
  <c r="K10" i="24"/>
  <c r="K16" i="24"/>
  <c r="K46" i="10"/>
  <c r="C20" i="24"/>
  <c r="C11" i="24"/>
  <c r="C4" i="24"/>
  <c r="C18" i="24"/>
  <c r="C8" i="24"/>
  <c r="C17" i="24"/>
  <c r="C5" i="24"/>
  <c r="C19" i="24"/>
  <c r="C10" i="24"/>
  <c r="C16" i="24"/>
  <c r="C46" i="10"/>
  <c r="F20" i="24"/>
  <c r="F18" i="24"/>
  <c r="F13" i="24"/>
  <c r="F11" i="24"/>
  <c r="F8" i="24"/>
  <c r="F5" i="24"/>
  <c r="F4" i="24"/>
  <c r="F17" i="24"/>
  <c r="F19" i="24"/>
  <c r="F10" i="24"/>
  <c r="F14" i="24"/>
  <c r="F12" i="24"/>
  <c r="F16" i="24"/>
  <c r="F46" i="10"/>
  <c r="D19" i="24"/>
  <c r="D17" i="24"/>
  <c r="D5" i="24"/>
  <c r="D20" i="24"/>
  <c r="D18" i="24"/>
  <c r="D8" i="24"/>
  <c r="D11" i="24"/>
  <c r="D4" i="24"/>
  <c r="D10" i="24"/>
  <c r="D16" i="24"/>
  <c r="D46" i="10"/>
  <c r="E5" i="24"/>
  <c r="E18" i="24"/>
  <c r="E17" i="24"/>
  <c r="E8" i="24"/>
  <c r="E20" i="24"/>
  <c r="E19" i="24"/>
  <c r="E11" i="24"/>
  <c r="E4" i="24"/>
  <c r="E10" i="24"/>
  <c r="E16" i="24"/>
  <c r="E46" i="10"/>
  <c r="G19" i="24"/>
  <c r="G18" i="24"/>
  <c r="G8" i="24"/>
  <c r="G20" i="24"/>
  <c r="G12" i="24"/>
  <c r="G11" i="24"/>
  <c r="G4" i="24"/>
  <c r="G17" i="24"/>
  <c r="G5" i="24"/>
  <c r="G14" i="24"/>
  <c r="G13" i="24"/>
  <c r="G10" i="24"/>
  <c r="G16" i="24"/>
  <c r="G46" i="10"/>
  <c r="F6" i="24"/>
  <c r="I6" i="24"/>
  <c r="B20" i="24"/>
  <c r="B18" i="24"/>
  <c r="B11" i="24"/>
  <c r="B8" i="24"/>
  <c r="B5" i="24"/>
  <c r="B4" i="24"/>
  <c r="B19" i="24"/>
  <c r="B10" i="24"/>
  <c r="B17" i="24"/>
  <c r="B16" i="24"/>
  <c r="B46" i="10"/>
  <c r="H19" i="24"/>
  <c r="H17" i="24"/>
  <c r="H14" i="24"/>
  <c r="H12" i="24"/>
  <c r="H20" i="24"/>
  <c r="H11" i="24"/>
  <c r="H4" i="24"/>
  <c r="H13" i="24"/>
  <c r="H18" i="24"/>
  <c r="H8" i="24"/>
  <c r="H5" i="24"/>
  <c r="H10" i="24"/>
  <c r="H16" i="24"/>
  <c r="H46" i="10"/>
  <c r="C6" i="24"/>
  <c r="J6" i="24"/>
  <c r="D6" i="24"/>
  <c r="H30" i="15"/>
  <c r="F28" i="14"/>
  <c r="E22" i="15"/>
  <c r="G29" i="15"/>
  <c r="G17" i="14"/>
  <c r="E27" i="14"/>
  <c r="B20" i="22"/>
  <c r="C16" i="15"/>
  <c r="F6" i="14"/>
  <c r="E36" i="14"/>
  <c r="E11" i="14"/>
  <c r="D19" i="15"/>
  <c r="D18" i="25" s="1"/>
  <c r="D10" i="14"/>
  <c r="B32" i="2"/>
  <c r="C25" i="2"/>
  <c r="C24" i="2"/>
  <c r="C23" i="2"/>
  <c r="C22" i="2"/>
  <c r="C21" i="2"/>
  <c r="C20" i="2"/>
  <c r="C19" i="2"/>
  <c r="C18" i="2"/>
  <c r="C17" i="2"/>
  <c r="C16" i="2"/>
  <c r="B16" i="2" s="1"/>
  <c r="D16" i="2" s="1"/>
  <c r="D27" i="14" l="1"/>
  <c r="C15" i="25"/>
  <c r="E26" i="15"/>
  <c r="E25" i="25" s="1"/>
  <c r="E21" i="25"/>
  <c r="H12" i="14"/>
  <c r="H33" i="15"/>
  <c r="G28" i="25"/>
  <c r="G32" i="15"/>
  <c r="H29" i="14"/>
  <c r="F22" i="24"/>
  <c r="B22" i="24"/>
  <c r="E22" i="24"/>
  <c r="D22" i="24"/>
  <c r="K22" i="24"/>
  <c r="G22" i="24"/>
  <c r="I22" i="24"/>
  <c r="J22" i="24"/>
  <c r="H22" i="24"/>
  <c r="C22" i="24"/>
  <c r="G30" i="15"/>
  <c r="E28" i="14"/>
  <c r="D22" i="15"/>
  <c r="F29" i="15"/>
  <c r="F16" i="14"/>
  <c r="F17" i="14"/>
  <c r="D11" i="14"/>
  <c r="D36" i="14"/>
  <c r="E6" i="14"/>
  <c r="C10" i="14"/>
  <c r="C19" i="15"/>
  <c r="B17" i="2"/>
  <c r="D17" i="2" s="1"/>
  <c r="C22" i="15" l="1"/>
  <c r="C18" i="25"/>
  <c r="D26" i="15"/>
  <c r="D25" i="25" s="1"/>
  <c r="D21" i="25"/>
  <c r="H4" i="14"/>
  <c r="G29" i="14"/>
  <c r="G12" i="14"/>
  <c r="G33" i="15"/>
  <c r="F28" i="25"/>
  <c r="F32" i="15"/>
  <c r="F30" i="15"/>
  <c r="B16" i="15"/>
  <c r="E29" i="15"/>
  <c r="C36" i="14"/>
  <c r="C11" i="14"/>
  <c r="E16" i="14"/>
  <c r="E17" i="14"/>
  <c r="D28" i="14"/>
  <c r="D6" i="14"/>
  <c r="B18" i="2"/>
  <c r="D18" i="2" s="1"/>
  <c r="B15" i="25" l="1"/>
  <c r="C26" i="15"/>
  <c r="C25" i="25" s="1"/>
  <c r="C21" i="25"/>
  <c r="E28" i="25"/>
  <c r="E32" i="15"/>
  <c r="G4" i="14"/>
  <c r="F29" i="14"/>
  <c r="F12" i="14"/>
  <c r="F33" i="15"/>
  <c r="E30" i="15"/>
  <c r="B19" i="15"/>
  <c r="C27" i="14"/>
  <c r="B10" i="14"/>
  <c r="D29" i="15"/>
  <c r="C6" i="14"/>
  <c r="D16" i="14"/>
  <c r="D17" i="14"/>
  <c r="B19" i="2"/>
  <c r="D19" i="2" s="1"/>
  <c r="C28" i="14" l="1"/>
  <c r="B18" i="25"/>
  <c r="D28" i="25"/>
  <c r="D32" i="15"/>
  <c r="E12" i="14"/>
  <c r="E29" i="14"/>
  <c r="E33" i="15"/>
  <c r="F4" i="14"/>
  <c r="D30" i="15"/>
  <c r="B36" i="14"/>
  <c r="B22" i="15"/>
  <c r="B21" i="25" s="1"/>
  <c r="B11" i="14"/>
  <c r="C29" i="15"/>
  <c r="C16" i="14"/>
  <c r="C17" i="14"/>
  <c r="B20" i="2"/>
  <c r="D20" i="2" s="1"/>
  <c r="C28" i="25" l="1"/>
  <c r="C32" i="15"/>
  <c r="D33" i="15"/>
  <c r="D29" i="14"/>
  <c r="D12" i="14"/>
  <c r="E4" i="14"/>
  <c r="B6" i="14"/>
  <c r="B17" i="14" s="1"/>
  <c r="B26" i="15"/>
  <c r="B25" i="25" s="1"/>
  <c r="C30" i="15"/>
  <c r="B16" i="14"/>
  <c r="B21" i="2"/>
  <c r="D21" i="2" s="1"/>
  <c r="B29" i="15" l="1"/>
  <c r="B32" i="15" s="1"/>
  <c r="D4" i="14"/>
  <c r="C12" i="14"/>
  <c r="C33" i="15"/>
  <c r="B22" i="2"/>
  <c r="D22" i="2" s="1"/>
  <c r="C29" i="14" l="1"/>
  <c r="B30" i="15"/>
  <c r="B28" i="25"/>
  <c r="B12" i="14"/>
  <c r="B33" i="15"/>
  <c r="C4" i="14"/>
  <c r="B23" i="2"/>
  <c r="D23" i="2" s="1"/>
  <c r="B4" i="14" l="1"/>
  <c r="B24" i="2"/>
  <c r="D24" i="2" s="1"/>
  <c r="B25" i="2" l="1"/>
  <c r="D25" i="2" s="1"/>
  <c r="B29" i="2" l="1"/>
  <c r="B28" i="2"/>
  <c r="B30" i="2" s="1"/>
  <c r="B31" i="2" l="1"/>
  <c r="B33" i="2" s="1"/>
  <c r="E4" i="2" l="1"/>
  <c r="E6" i="2" s="1"/>
</calcChain>
</file>

<file path=xl/comments1.xml><?xml version="1.0" encoding="utf-8"?>
<comments xmlns="http://schemas.openxmlformats.org/spreadsheetml/2006/main">
  <authors>
    <author>Vishal</author>
  </authors>
  <commentList>
    <comment ref="A12" authorId="0" shapeId="0">
      <text>
        <r>
          <rPr>
            <b/>
            <sz val="9"/>
            <color indexed="81"/>
            <rFont val="Tahoma"/>
            <charset val="1"/>
          </rPr>
          <t xml:space="preserve">Vishal: </t>
        </r>
        <r>
          <rPr>
            <sz val="9"/>
            <color indexed="81"/>
            <rFont val="Tahoma"/>
            <family val="2"/>
          </rPr>
          <t>For years prior to FY11, this includes only the "Term Loan" component from secured and unsecured loans. Rest goes to "Short-Term Borrowings" under the "Current Liabilities" head below.</t>
        </r>
      </text>
    </comment>
    <comment ref="A41" authorId="0" shapeId="0">
      <text>
        <r>
          <rPr>
            <b/>
            <sz val="9"/>
            <color indexed="81"/>
            <rFont val="Tahoma"/>
            <family val="2"/>
          </rPr>
          <t xml:space="preserve">Vishal: </t>
        </r>
        <r>
          <rPr>
            <sz val="9"/>
            <color indexed="81"/>
            <rFont val="Tahoma"/>
            <family val="2"/>
          </rPr>
          <t xml:space="preserve">For years prior to FY11, this only includes "Advances recoverable in cash or in kind or for value to be received". Rest included in "Long Term L&amp;A" under "Non-Current Assets" above.
</t>
        </r>
      </text>
    </comment>
  </commentList>
</comments>
</file>

<file path=xl/comments2.xml><?xml version="1.0" encoding="utf-8"?>
<comments xmlns="http://schemas.openxmlformats.org/spreadsheetml/2006/main">
  <authors>
    <author>Vishal</author>
  </authors>
  <commentList>
    <comment ref="A11" authorId="0" shapeId="0">
      <text>
        <r>
          <rPr>
            <b/>
            <sz val="9"/>
            <color indexed="81"/>
            <rFont val="Tahoma"/>
            <family val="2"/>
          </rPr>
          <t xml:space="preserve">Vishal: </t>
        </r>
        <r>
          <rPr>
            <sz val="9"/>
            <color indexed="81"/>
            <rFont val="Tahoma"/>
            <family val="2"/>
          </rPr>
          <t xml:space="preserve">Includes items like -
1. Consumption of stores and spares
2. Power and fuel
3. Job work charges
Note - These are found in the "Other Expenses" Schedule
</t>
        </r>
      </text>
    </comment>
  </commentList>
</comments>
</file>

<file path=xl/comments3.xml><?xml version="1.0" encoding="utf-8"?>
<comments xmlns="http://schemas.openxmlformats.org/spreadsheetml/2006/main">
  <authors>
    <author>Safal Niveshak</author>
    <author>Vishal</author>
  </authors>
  <commentList>
    <comment ref="A4" authorId="0" shapeId="0">
      <text>
        <r>
          <rPr>
            <b/>
            <sz val="9"/>
            <color indexed="81"/>
            <rFont val="Tahoma"/>
            <family val="2"/>
          </rPr>
          <t xml:space="preserve">Safal Niveshak: </t>
        </r>
        <r>
          <rPr>
            <sz val="9"/>
            <color indexed="81"/>
            <rFont val="Tahoma"/>
            <family val="2"/>
          </rPr>
          <t xml:space="preserve">"Diluted" means using the latest number of shares that reflects all bonus, stock splits, and new stock issuances of the past.
</t>
        </r>
        <r>
          <rPr>
            <b/>
            <sz val="9"/>
            <color indexed="81"/>
            <rFont val="Tahoma"/>
            <family val="2"/>
          </rPr>
          <t xml:space="preserve">
Note: </t>
        </r>
        <r>
          <rPr>
            <i/>
            <sz val="9"/>
            <color indexed="81"/>
            <rFont val="Tahoma"/>
            <family val="2"/>
          </rPr>
          <t>This number is adjusted for Exceptional Items</t>
        </r>
      </text>
    </comment>
    <comment ref="A9" authorId="0" shapeId="0">
      <text>
        <r>
          <rPr>
            <b/>
            <sz val="9"/>
            <color indexed="81"/>
            <rFont val="Tahoma"/>
            <family val="2"/>
          </rPr>
          <t xml:space="preserve">Safal Niveshak: </t>
        </r>
        <r>
          <rPr>
            <sz val="9"/>
            <color indexed="81"/>
            <rFont val="Tahoma"/>
            <family val="2"/>
          </rPr>
          <t>Gross profit margin represents the percent of total sales that the company retains after incurring the direct costs associated with producing the goods and services sold. The higher the percentage, the more the company retains on each rupee of sales to service its other costs and obligations.</t>
        </r>
        <r>
          <rPr>
            <b/>
            <sz val="9"/>
            <color indexed="81"/>
            <rFont val="Tahoma"/>
            <family val="2"/>
          </rPr>
          <t xml:space="preserve">
Gross Margin = (Total Sales - Cost of Goods Sold) / Total Sales
</t>
        </r>
        <r>
          <rPr>
            <sz val="9"/>
            <color indexed="81"/>
            <rFont val="Tahoma"/>
            <family val="2"/>
          </rPr>
          <t>For a company, the purpose of gross margins is to determine the value of incremental sales, and to guide pricing and promotion decision. For investors, higher gross margins vis-a-vis competitors means the company has pricing power, which indicates moat.</t>
        </r>
      </text>
    </comment>
    <comment ref="A10" authorId="1" shapeId="0">
      <text>
        <r>
          <rPr>
            <b/>
            <sz val="9"/>
            <color indexed="81"/>
            <rFont val="Tahoma"/>
            <charset val="1"/>
          </rPr>
          <t xml:space="preserve">Safal Niveshak: </t>
        </r>
        <r>
          <rPr>
            <sz val="9"/>
            <color indexed="81"/>
            <rFont val="Tahoma"/>
            <family val="2"/>
          </rPr>
          <t xml:space="preserve">EBITDA stands for "Earnings Before Interest, Tax, Depreciation &amp; Amortization. EBITDA margins is also known as "Operating Margin" and measures a company's operating profitability - how must profits a company earns after paying off its operational costs and before providing for depreciation and paying interest and tax. It's good to compare this number within the industry.
</t>
        </r>
      </text>
    </comment>
    <comment ref="A12" authorId="1" shapeId="0">
      <text>
        <r>
          <rPr>
            <b/>
            <sz val="9"/>
            <color indexed="81"/>
            <rFont val="Tahoma"/>
            <family val="2"/>
          </rPr>
          <t xml:space="preserve">Safal Niveshak: Net Profit Margin = Net profit / Sales
</t>
        </r>
        <r>
          <rPr>
            <i/>
            <sz val="9"/>
            <color indexed="81"/>
            <rFont val="Tahoma"/>
            <family val="2"/>
          </rPr>
          <t>(Net profit is adjusted for exceptional items)</t>
        </r>
        <r>
          <rPr>
            <sz val="9"/>
            <color indexed="81"/>
            <rFont val="Tahoma"/>
            <family val="2"/>
          </rPr>
          <t xml:space="preserve">
It measures how much out of every dollar of sales a company actually keeps in earnings.
NPM is very useful when comparing companies in similar industries. A higher profit margin indicates a more profitable company that has better control over its costs compared to its competitors.</t>
        </r>
      </text>
    </comment>
    <comment ref="A16" authorId="1" shapeId="0">
      <text>
        <r>
          <rPr>
            <b/>
            <sz val="9"/>
            <color indexed="81"/>
            <rFont val="Tahoma"/>
            <family val="2"/>
          </rPr>
          <t xml:space="preserve">Safal Niveshak:
ROCE  =NOPAT / Capital Employed
</t>
        </r>
        <r>
          <rPr>
            <i/>
            <sz val="9"/>
            <color indexed="81"/>
            <rFont val="Tahoma"/>
            <family val="2"/>
          </rPr>
          <t>NOPAT = EBIT * (1-Tax)
Capital Employed = Fixed Assets + Working Capital</t>
        </r>
      </text>
    </comment>
    <comment ref="A17" authorId="1" shapeId="0">
      <text>
        <r>
          <rPr>
            <b/>
            <sz val="9"/>
            <color indexed="81"/>
            <rFont val="Tahoma"/>
            <family val="2"/>
          </rPr>
          <t xml:space="preserve">Safal Niveshak: </t>
        </r>
        <r>
          <rPr>
            <sz val="9"/>
            <color indexed="81"/>
            <rFont val="Tahoma"/>
            <family val="2"/>
          </rPr>
          <t>ROIC is used to assess a company's efficiency at allocating the capital under its control to profitable investments. It gives a sense of how well a company is using its money to generate returns.</t>
        </r>
      </text>
    </comment>
    <comment ref="A18" authorId="1" shapeId="0">
      <text>
        <r>
          <rPr>
            <b/>
            <sz val="9"/>
            <color indexed="81"/>
            <rFont val="Tahoma"/>
            <family val="2"/>
          </rPr>
          <t xml:space="preserve">Safal Niveshak: </t>
        </r>
        <r>
          <rPr>
            <sz val="9"/>
            <color indexed="81"/>
            <rFont val="Tahoma"/>
            <family val="2"/>
          </rPr>
          <t>Also known as "Working Capital Turnover Ratio", it measures how much of sales is generated for every rupee of working capital employed. This provides some useful information as to how effectively a company is using its working capital to generate sales.
Working Cap. Turnover = Working Capital / Sales
Working Capital = Current Assets / Current Liabilities
In general, the higher the working capital turnover, the better because it means that the company is generating a lot of sales compared to the money it uses to fund the sales.</t>
        </r>
      </text>
    </comment>
    <comment ref="A21" authorId="1" shapeId="0">
      <text>
        <r>
          <rPr>
            <b/>
            <sz val="9"/>
            <color indexed="81"/>
            <rFont val="Tahoma"/>
            <family val="2"/>
          </rPr>
          <t xml:space="preserve">Safal Niveshak: </t>
        </r>
        <r>
          <rPr>
            <sz val="9"/>
            <color indexed="81"/>
            <rFont val="Tahoma"/>
            <family val="2"/>
          </rPr>
          <t xml:space="preserve">It is also known as DSO or Days Sales Outstanding, and measures the average number of days a company takes to collect money after a sale has been made. Here's a simple formula...
</t>
        </r>
        <r>
          <rPr>
            <b/>
            <sz val="9"/>
            <color indexed="81"/>
            <rFont val="Tahoma"/>
            <family val="2"/>
          </rPr>
          <t xml:space="preserve">DSO = (Trade Receivables / Sales) x 365
</t>
        </r>
        <r>
          <rPr>
            <sz val="9"/>
            <color indexed="81"/>
            <rFont val="Tahoma"/>
            <family val="2"/>
          </rPr>
          <t xml:space="preserve">
A low DSO number means that it takes a company fewer days to collect its trade receivable. A high DSO number shows that a company is selling its product to customers on credit and taking longer to collect money. 
Due to the high importance of cash in running a business, it is in a company's best interest to collect outstanding receivables as quickly as possible. By quickly turning sales into cash, a company has the chance to put the cash to use again - ideally, to reinvest and make more sales. The DSO can be used to determine whether a company is trying to disguise weak sales, or is generally being ineffective at bringing money in.</t>
        </r>
      </text>
    </comment>
    <comment ref="A22" authorId="1" shapeId="0">
      <text>
        <r>
          <rPr>
            <b/>
            <sz val="9"/>
            <color indexed="81"/>
            <rFont val="Tahoma"/>
            <family val="2"/>
          </rPr>
          <t xml:space="preserve">Safal Niveshak: </t>
        </r>
        <r>
          <rPr>
            <sz val="9"/>
            <color indexed="81"/>
            <rFont val="Tahoma"/>
            <family val="2"/>
          </rPr>
          <t xml:space="preserve">Also known as "Days Sales of Inventory" or DSI, it measures how long it takes a company to turn its inventory (including goods that are work in progress, if applicable) into sales. Generally, the lower the DSI the better, but it is important to note that the average DSI varies from one industry to another.
</t>
        </r>
        <r>
          <rPr>
            <b/>
            <sz val="9"/>
            <color indexed="81"/>
            <rFont val="Tahoma"/>
            <family val="2"/>
          </rPr>
          <t xml:space="preserve">DSI = (Inventories / Sales) x 365
</t>
        </r>
        <r>
          <rPr>
            <sz val="9"/>
            <color indexed="81"/>
            <rFont val="Tahoma"/>
            <family val="2"/>
          </rPr>
          <t xml:space="preserve">
DSI basically represents the process of turning raw materials or finished goods into cash.</t>
        </r>
      </text>
    </comment>
    <comment ref="A23" authorId="1" shapeId="0">
      <text>
        <r>
          <rPr>
            <b/>
            <sz val="9"/>
            <color indexed="81"/>
            <rFont val="Tahoma"/>
            <family val="2"/>
          </rPr>
          <t xml:space="preserve">Safal Niveshak: </t>
        </r>
        <r>
          <rPr>
            <sz val="9"/>
            <color indexed="81"/>
            <rFont val="Tahoma"/>
            <family val="2"/>
          </rPr>
          <t>It is also known as "Days Payable Outstanding" or DPO, and is an indicator of how long a company is taking to pay its trade creditors. The formula is…</t>
        </r>
        <r>
          <rPr>
            <b/>
            <sz val="9"/>
            <color indexed="81"/>
            <rFont val="Tahoma"/>
            <family val="2"/>
          </rPr>
          <t xml:space="preserve">
DPO = (Trade Payables / Sales) x 365</t>
        </r>
      </text>
    </comment>
    <comment ref="A34" authorId="1" shapeId="0">
      <text>
        <r>
          <rPr>
            <b/>
            <sz val="9"/>
            <color indexed="81"/>
            <rFont val="Tahoma"/>
            <family val="2"/>
          </rPr>
          <t xml:space="preserve">Safal Niveshak: </t>
        </r>
        <r>
          <rPr>
            <sz val="9"/>
            <color indexed="81"/>
            <rFont val="Tahoma"/>
            <family val="2"/>
          </rPr>
          <t>Current Ratio measures the</t>
        </r>
        <r>
          <rPr>
            <b/>
            <sz val="9"/>
            <color indexed="81"/>
            <rFont val="Tahoma"/>
            <family val="2"/>
          </rPr>
          <t xml:space="preserve"> </t>
        </r>
        <r>
          <rPr>
            <sz val="9"/>
            <color indexed="81"/>
            <rFont val="Tahoma"/>
            <family val="2"/>
          </rPr>
          <t xml:space="preserve">liquidity of a company, or its ability to pay short-term obligations. 
</t>
        </r>
        <r>
          <rPr>
            <b/>
            <sz val="9"/>
            <color indexed="81"/>
            <rFont val="Tahoma"/>
            <family val="2"/>
          </rPr>
          <t>Current Ratio = Current Assets / Current Liabilities</t>
        </r>
        <r>
          <rPr>
            <sz val="9"/>
            <color indexed="81"/>
            <rFont val="Tahoma"/>
            <family val="2"/>
          </rPr>
          <t xml:space="preserve">
The ratio is mainly used to give an idea of the company's ability to pay back its short-term liabilities (debt and payables) with its short-term assets (cash, inventory, receivables). The higher the current ratio, the more capable the company is of paying its obligations. A ratio under 1 suggests that the company would be unable to pay off its obligations if they came due at that point.
While this shows the company is not in good financial health, it does not necessarily mean that it will go bankrupt - as there are many ways to access financing - but it is definitely not a good sign.
The current ratio can give a sense of the efficiency of a company's operating cycle or its ability to turn its product into cash. Companies that have trouble getting paid on their receivables or have long inventory turnover can run into liquidity problems because they are unable to alleviate their obligations.</t>
        </r>
      </text>
    </comment>
    <comment ref="A35" authorId="1" shapeId="0">
      <text>
        <r>
          <rPr>
            <b/>
            <sz val="9"/>
            <color indexed="81"/>
            <rFont val="Tahoma"/>
            <family val="2"/>
          </rPr>
          <t>Safal Niveshak:</t>
        </r>
        <r>
          <rPr>
            <sz val="9"/>
            <color indexed="81"/>
            <rFont val="Tahoma"/>
            <family val="2"/>
          </rPr>
          <t xml:space="preserve"> Also known as "Acid Test Ratio", it is an indicator of a company's short-term liquidity. The quick ratio measures a company's ability to meet its short-term obligations with its most liquid assets. The higher the quick ratio, the better the position of the company.
</t>
        </r>
        <r>
          <rPr>
            <b/>
            <sz val="9"/>
            <color indexed="81"/>
            <rFont val="Tahoma"/>
            <family val="2"/>
          </rPr>
          <t xml:space="preserve">Quick Ratio = (Current Assets - Inventories) / Current Liabilities 
</t>
        </r>
        <r>
          <rPr>
            <sz val="9"/>
            <color indexed="81"/>
            <rFont val="Tahoma"/>
            <family val="2"/>
          </rPr>
          <t xml:space="preserve">
The quick ratio is a more conservative metric than current ratio because it excludes inventory from current assets. Inventory is excluded because some companies have difficulty turning their inventory into cash. In the event that short-term obligations need to be paid off immediately, there are situations in which the current ratio would overestimate a company's short-term financial strength.</t>
        </r>
      </text>
    </comment>
    <comment ref="A36" authorId="1" shapeId="0">
      <text>
        <r>
          <rPr>
            <b/>
            <sz val="9"/>
            <color indexed="81"/>
            <rFont val="Tahoma"/>
            <family val="2"/>
          </rPr>
          <t>Safal Niveshak:</t>
        </r>
        <r>
          <rPr>
            <sz val="9"/>
            <color indexed="81"/>
            <rFont val="Tahoma"/>
            <family val="2"/>
          </rPr>
          <t xml:space="preserve"> This ratio determines how easily a company can pay interest on its outstanding debt.
</t>
        </r>
        <r>
          <rPr>
            <b/>
            <sz val="9"/>
            <color indexed="81"/>
            <rFont val="Tahoma"/>
            <family val="2"/>
          </rPr>
          <t xml:space="preserve">Interest Coverage Ratio = Earnings before interest and taxes or EBIT  / Interest expenses
</t>
        </r>
        <r>
          <rPr>
            <sz val="9"/>
            <color indexed="81"/>
            <rFont val="Tahoma"/>
            <family val="2"/>
          </rPr>
          <t xml:space="preserve">
The lower the ratio, the more the company is burdened by debt expense. When a company's interest coverage ratio is 1.5 or lower, its ability to meet interest expenses may be questionable. An interest coverage ratio below 1 indicates the company is not generating sufficient revenues to satisfy interest expenses.</t>
        </r>
      </text>
    </comment>
  </commentList>
</comments>
</file>

<file path=xl/comments4.xml><?xml version="1.0" encoding="utf-8"?>
<comments xmlns="http://schemas.openxmlformats.org/spreadsheetml/2006/main">
  <authors>
    <author>Vishal</author>
    <author>Safal Niveshak</author>
  </authors>
  <commentList>
    <comment ref="A5" authorId="0" shapeId="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t>
        </r>
      </text>
    </comment>
    <comment ref="A7" authorId="0" shapeId="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in Cells B9 and B10 below.
</t>
        </r>
      </text>
    </comment>
    <comment ref="A8" authorId="0" shapeId="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9" authorId="0" shapeId="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15% discount rate for all kind of businesses (safe or risky).
</t>
        </r>
        <r>
          <rPr>
            <sz val="9"/>
            <color indexed="81"/>
            <rFont val="Tahoma"/>
            <family val="2"/>
          </rPr>
          <t>Also, do not adjust the entire risk of a investment in its discount rate. In other words, if a stock is a "riskier" investment that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10" authorId="0" shapeId="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3" authorId="1" shapeId="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 ref="A46" authorId="0" shapeId="0">
      <text>
        <r>
          <rPr>
            <b/>
            <sz val="9"/>
            <color indexed="81"/>
            <rFont val="Tahoma"/>
            <family val="2"/>
          </rPr>
          <t>Vishal:</t>
        </r>
        <r>
          <rPr>
            <sz val="9"/>
            <color indexed="81"/>
            <rFont val="Tahoma"/>
            <family val="2"/>
          </rPr>
          <t xml:space="preserve"> Highest EPS growth you should accord to a high quality business is 15% p.a.
</t>
        </r>
      </text>
    </comment>
    <comment ref="A49" authorId="0" shapeId="0">
      <text>
        <r>
          <rPr>
            <b/>
            <sz val="9"/>
            <color indexed="81"/>
            <rFont val="Tahoma"/>
            <family val="2"/>
          </rPr>
          <t xml:space="preserve">Vishal: </t>
        </r>
        <r>
          <rPr>
            <sz val="9"/>
            <color indexed="81"/>
            <rFont val="Tahoma"/>
            <family val="2"/>
          </rPr>
          <t xml:space="preserve">Maximum P/E you should accord to a high-quality business is 20x.
</t>
        </r>
      </text>
    </comment>
  </commentList>
</comments>
</file>

<file path=xl/sharedStrings.xml><?xml version="1.0" encoding="utf-8"?>
<sst xmlns="http://schemas.openxmlformats.org/spreadsheetml/2006/main" count="460" uniqueCount="248">
  <si>
    <t>1-5</t>
  </si>
  <si>
    <t>6-10</t>
  </si>
  <si>
    <t>Year</t>
  </si>
  <si>
    <t>Growth</t>
  </si>
  <si>
    <t>Terminal Year</t>
  </si>
  <si>
    <t>Share Capital</t>
  </si>
  <si>
    <t>Minority Interest</t>
  </si>
  <si>
    <t>Inventories</t>
  </si>
  <si>
    <t>Other Current Assets</t>
  </si>
  <si>
    <t>Current Liabilities</t>
  </si>
  <si>
    <t>Shareholder's Funds / Equity</t>
  </si>
  <si>
    <t>Inventory Days</t>
  </si>
  <si>
    <t>Years</t>
  </si>
  <si>
    <t>Number of Shares</t>
  </si>
  <si>
    <t>Total PV of Cash Flows</t>
  </si>
  <si>
    <t>Terminal Value</t>
  </si>
  <si>
    <t>PV of Year 1-10 Cash Flows</t>
  </si>
  <si>
    <t>FCF</t>
  </si>
  <si>
    <t>Present Value</t>
  </si>
  <si>
    <t>Final Calculations</t>
  </si>
  <si>
    <t>Initial Cash Flow</t>
  </si>
  <si>
    <t>FCF Growth Rate</t>
  </si>
  <si>
    <t>Discount Rate</t>
  </si>
  <si>
    <t>Terminal Growth Rate</t>
  </si>
  <si>
    <t>Net Debt Level</t>
  </si>
  <si>
    <t>DCF Value / Share (Rs)</t>
  </si>
  <si>
    <t>Operational &amp; Financial Ratios</t>
  </si>
  <si>
    <t>Performance Ratios</t>
  </si>
  <si>
    <t>Efficiency Ratios</t>
  </si>
  <si>
    <t>Financial Stability Ratios</t>
  </si>
  <si>
    <t>Profitability Ratios</t>
  </si>
  <si>
    <t>Total Debt/Equity (x)</t>
  </si>
  <si>
    <t>Current Ratio (x)</t>
  </si>
  <si>
    <t>Quick Ratio (x)</t>
  </si>
  <si>
    <t>Interest Cover (x)</t>
  </si>
  <si>
    <t>Tax Rate (%)</t>
  </si>
  <si>
    <t>EBITDA Margin (%)</t>
  </si>
  <si>
    <t>EBIT Margin (%)</t>
  </si>
  <si>
    <t>Net Profit Margin (%)</t>
  </si>
  <si>
    <t>Return on Equity (%)</t>
  </si>
  <si>
    <t>Return on Capital Employed (%)</t>
  </si>
  <si>
    <t>Return on Invested Capital (%)</t>
  </si>
  <si>
    <t>Sales/Working Capital (x)</t>
  </si>
  <si>
    <t>Receivable Days</t>
  </si>
  <si>
    <t>Payable Days</t>
  </si>
  <si>
    <t>Net Sales Growth (%)</t>
  </si>
  <si>
    <t>EBITDA Growth (%)</t>
  </si>
  <si>
    <t>PAT Growth (%)</t>
  </si>
  <si>
    <t>Net Sales</t>
  </si>
  <si>
    <t>Employee Cost</t>
  </si>
  <si>
    <t>Other Manufacturing Expenses</t>
  </si>
  <si>
    <t>Other Income</t>
  </si>
  <si>
    <t>Depreciation</t>
  </si>
  <si>
    <t>Exceptional Income / Expenses</t>
  </si>
  <si>
    <t>Profit Before Tax</t>
  </si>
  <si>
    <t>Profit After Tax</t>
  </si>
  <si>
    <t>Share of Associate</t>
  </si>
  <si>
    <t>Expenditure</t>
  </si>
  <si>
    <t>Operating Profit / EBITDA</t>
  </si>
  <si>
    <t>Profit Before Interest &amp; Tax (PBIT)</t>
  </si>
  <si>
    <t>PBIT Growth (%)</t>
  </si>
  <si>
    <t>Debt Burden (x)</t>
  </si>
  <si>
    <t>Reserves &amp; Surplus</t>
  </si>
  <si>
    <t>Non-Current Liabilities</t>
  </si>
  <si>
    <t>Long-Term Borrowings</t>
  </si>
  <si>
    <t>Trade Payables</t>
  </si>
  <si>
    <t>SOURCES OF FUNDS / EQUITY &amp; LIABILITIES</t>
  </si>
  <si>
    <t>APPLICATION OF FUNDS / ASSETS</t>
  </si>
  <si>
    <t>Short-Term Borrowings</t>
  </si>
  <si>
    <t>Non-Current Assets</t>
  </si>
  <si>
    <t>Tangible Assets</t>
  </si>
  <si>
    <t>Intangible Assets</t>
  </si>
  <si>
    <t>Non-Current Investments</t>
  </si>
  <si>
    <t>Current Assets</t>
  </si>
  <si>
    <t>Current Investments</t>
  </si>
  <si>
    <t>Trade Receivables</t>
  </si>
  <si>
    <t>Short-Term Provisions</t>
  </si>
  <si>
    <t>Other Current Liabilities</t>
  </si>
  <si>
    <t>Short-Term Loans and Advances</t>
  </si>
  <si>
    <t>Cash and Bank Balance</t>
  </si>
  <si>
    <t>Net cash (used in) / generated from operating activities</t>
  </si>
  <si>
    <t>Payment for purchase of fixed assets</t>
  </si>
  <si>
    <t>Net cash (used in) / generated from investing activities</t>
  </si>
  <si>
    <t>Net cash (used in) / generated from financing activities</t>
  </si>
  <si>
    <t>Net increase in cash and cash equivalents</t>
  </si>
  <si>
    <t>Free Cash Flow</t>
  </si>
  <si>
    <t>Shares Outstanding (Crore)</t>
  </si>
  <si>
    <t>CAGR</t>
  </si>
  <si>
    <t>Gross Margin (%)</t>
  </si>
  <si>
    <t>Capital Work-in-Progress</t>
  </si>
  <si>
    <t>Consumer monopoly or commodity?</t>
  </si>
  <si>
    <t>Is the company conservatively financed?</t>
  </si>
  <si>
    <t>Are earnings strong and do they show an upward trend?</t>
  </si>
  <si>
    <t>Does the company stick with what it knows?</t>
  </si>
  <si>
    <t>Has the company been buying back its shares?</t>
  </si>
  <si>
    <t>Have retained earnings been invested well?</t>
  </si>
  <si>
    <t>Is the company’s return on equity above average?</t>
  </si>
  <si>
    <t>Is the company free to adjust prices to inflation?</t>
  </si>
  <si>
    <t>Does the company need to constantly reinvest in capital?</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</si>
  <si>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</si>
  <si>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</si>
  <si>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Gross Profit</t>
  </si>
  <si>
    <t>Parameter</t>
  </si>
  <si>
    <t>Explanation</t>
  </si>
  <si>
    <t>Conclusion</t>
  </si>
  <si>
    <t>Never Forget</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</si>
  <si>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</si>
  <si>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Diluted EPS (Rs)</t>
  </si>
  <si>
    <t>Source - Buffettology by Mary Buffett &amp; David Clark</t>
  </si>
  <si>
    <t>Year / Rs Crore</t>
  </si>
  <si>
    <t>Growth Ratios</t>
  </si>
  <si>
    <t>Industry</t>
  </si>
  <si>
    <t>Company</t>
  </si>
  <si>
    <t>Current Stock Price (Rs)</t>
  </si>
  <si>
    <t>No. of Shares (Crore)</t>
  </si>
  <si>
    <t>Parameters</t>
  </si>
  <si>
    <t>Details</t>
  </si>
  <si>
    <t>Key Financials (Last 10-Years)</t>
  </si>
  <si>
    <t>Market Capitalization (Rs Crore)</t>
  </si>
  <si>
    <t>Face Value (Rs)</t>
  </si>
  <si>
    <t>Diluted Earnings Per Share (Rs)</t>
  </si>
  <si>
    <t>Diluted Book Value Per Share (Rs)</t>
  </si>
  <si>
    <t>(Don't touch any cell on this sheet, as all are calculated figures)</t>
  </si>
  <si>
    <t>(Enter values only in red cells)</t>
  </si>
  <si>
    <t>Figures in Rs Crore | Enter values only in red cells</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</si>
  <si>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</si>
  <si>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Rising earnings serve as a good catalyst for stock prices. So seek companies with strong, consistent, and expanding earnings (profits). Seek companies with 5/10 year earnings per share growth greater than 25% (alongwith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</si>
  <si>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</si>
  <si>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Seek companies where earnings have risen as retained earnings (earnings after paying dividends) have been employed profitably. A great way to screen for such companies is by looking at those that have had consistent earnings and strong return on equity in the past.</t>
  </si>
  <si>
    <t>Consider it a positive sign when a company is able to earn above-average (better than competitors) returns on equity without employing much debt. Average return on equity for Indian companies over the last 10 years is approximately 16%. Thus, seek companies that earn atleast this much (16%) or more than this. Again, consistency is the key here.</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</si>
  <si>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</si>
  <si>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</si>
  <si>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Buffett Checklist - Read, Remember, Follow!</t>
  </si>
  <si>
    <r>
      <rPr>
        <b/>
        <sz val="15"/>
        <color rgb="FFC00000"/>
        <rFont val="Arial"/>
        <family val="2"/>
      </rPr>
      <t xml:space="preserve">Remember!            </t>
    </r>
    <r>
      <rPr>
        <b/>
        <sz val="12"/>
        <color theme="1"/>
        <rFont val="Arial"/>
        <family val="2"/>
      </rPr>
      <t xml:space="preserve">                                   What counts in the long run is the increase in "per share value", not overall growth or size of a business.</t>
    </r>
  </si>
  <si>
    <r>
      <rPr>
        <b/>
        <sz val="15"/>
        <color rgb="FFC00000"/>
        <rFont val="Arial"/>
        <family val="2"/>
      </rPr>
      <t xml:space="preserve">Remember!                                                           </t>
    </r>
    <r>
      <rPr>
        <b/>
        <sz val="12"/>
        <color theme="1"/>
        <rFont val="Arial"/>
        <family val="2"/>
      </rPr>
      <t>Gross margins suggest pricing power. Higher = Better, but also invites competition. So watch out for consistency.</t>
    </r>
  </si>
  <si>
    <r>
      <rPr>
        <b/>
        <sz val="15"/>
        <color rgb="FFC00000"/>
        <rFont val="Arial"/>
        <family val="2"/>
      </rPr>
      <t xml:space="preserve">Remember!                                                                    </t>
    </r>
    <r>
      <rPr>
        <b/>
        <sz val="12"/>
        <color theme="1"/>
        <rFont val="Arial"/>
        <family val="2"/>
      </rPr>
      <t xml:space="preserve">    Cash flow, not reported earnings, is what determines a company's long-term value.</t>
    </r>
  </si>
  <si>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</si>
  <si>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That's what is called "pricing power". Companies with moat (as seen from other screening metrics as suggested above (like high ROE, high grow margins, low debt etc.) are able to adjust prices to inflation without the risk of losing significant volume sales.</t>
  </si>
  <si>
    <t>www.safalniveshak.com</t>
  </si>
  <si>
    <r>
      <rPr>
        <b/>
        <sz val="15"/>
        <color rgb="FFC00000"/>
        <rFont val="Arial"/>
        <family val="2"/>
      </rPr>
      <t xml:space="preserve">Warning!            </t>
    </r>
    <r>
      <rPr>
        <b/>
        <sz val="12"/>
        <color theme="1"/>
        <rFont val="Arial"/>
        <family val="2"/>
      </rPr>
      <t xml:space="preserve">                                                                                                 Excel can be a wonderful tool to analyze the past. But it can be a weapon of mass destruction to predict the future! So be very careful of what you are getting into. Here, garbage in will always equal garbage out.</t>
    </r>
  </si>
  <si>
    <r>
      <rPr>
        <b/>
        <sz val="15"/>
        <color rgb="FFC00000"/>
        <rFont val="Arial"/>
        <family val="2"/>
      </rPr>
      <t xml:space="preserve">Remember!                                                                                                                         </t>
    </r>
    <r>
      <rPr>
        <b/>
        <sz val="12"/>
        <color theme="1"/>
        <rFont val="Arial"/>
        <family val="2"/>
      </rPr>
      <t>Focus on decisions, not outcomes. Look for disconfirming evidence. Calculate. Pray!</t>
    </r>
  </si>
  <si>
    <r>
      <rPr>
        <b/>
        <sz val="15"/>
        <color rgb="FFC00000"/>
        <rFont val="Arial"/>
        <family val="2"/>
      </rPr>
      <t xml:space="preserve">Remember! </t>
    </r>
    <r>
      <rPr>
        <sz val="15"/>
        <color rgb="FFC00000"/>
        <rFont val="Arial"/>
        <family val="2"/>
      </rPr>
      <t xml:space="preserve"> </t>
    </r>
    <r>
      <rPr>
        <sz val="12"/>
        <color theme="1"/>
        <rFont val="Arial"/>
        <family val="2"/>
      </rPr>
      <t xml:space="preserve">                                                   </t>
    </r>
    <r>
      <rPr>
        <b/>
        <sz val="12"/>
        <color theme="1"/>
        <rFont val="Arial"/>
        <family val="2"/>
      </rPr>
      <t xml:space="preserve">ROE = Efficiency in allocating capital, which is a CEO's #1 job. Higher = Better. Look for consistency. </t>
    </r>
  </si>
  <si>
    <t>Profit After Tax (PAT)</t>
  </si>
  <si>
    <t>CAGR (10-Yr)</t>
  </si>
  <si>
    <t>CAGR (5-Yr)</t>
  </si>
  <si>
    <t>Earnings per Share (Rs )</t>
  </si>
  <si>
    <t>Net Profit Margin</t>
  </si>
  <si>
    <t>Return on Equity</t>
  </si>
  <si>
    <t>CMP (Rs)</t>
  </si>
  <si>
    <t>Esti. CAGR Return in 10 Years</t>
  </si>
  <si>
    <t>Focus on decisions, not outcomes. Look for disconfirming evidence.</t>
  </si>
  <si>
    <r>
      <rPr>
        <b/>
        <u/>
        <sz val="12"/>
        <color theme="1"/>
        <rFont val="Arial"/>
        <family val="2"/>
      </rPr>
      <t>Note:</t>
    </r>
    <r>
      <rPr>
        <u/>
        <sz val="12"/>
        <color theme="10"/>
        <rFont val="Arial"/>
        <family val="2"/>
      </rPr>
      <t xml:space="preserve"> See the explanation of DCF here</t>
    </r>
  </si>
  <si>
    <t>Trends</t>
  </si>
  <si>
    <t>FY16</t>
  </si>
  <si>
    <t>FY15</t>
  </si>
  <si>
    <t>FY10</t>
  </si>
  <si>
    <t>FY11</t>
  </si>
  <si>
    <t>FY12</t>
  </si>
  <si>
    <t>FY13</t>
  </si>
  <si>
    <t>FY14</t>
  </si>
  <si>
    <t>FY09</t>
  </si>
  <si>
    <t>FY08</t>
  </si>
  <si>
    <t>FY07</t>
  </si>
  <si>
    <r>
      <t xml:space="preserve">DCF Value </t>
    </r>
    <r>
      <rPr>
        <b/>
        <i/>
        <sz val="12"/>
        <color theme="1"/>
        <rFont val="Arial"/>
        <family val="2"/>
      </rPr>
      <t>(As calculated in cell B33)</t>
    </r>
  </si>
  <si>
    <t>Basic Company Details</t>
  </si>
  <si>
    <t>Havell's</t>
  </si>
  <si>
    <t>Electricals</t>
  </si>
  <si>
    <t>Havells India Ltd. - Balance Sheet</t>
  </si>
  <si>
    <t>Havells India Ltd. - P&amp;L Account</t>
  </si>
  <si>
    <t>Havells India Ltd. - Cash Flow Statement</t>
  </si>
  <si>
    <t>Havells India Ltd. - Key Ratios</t>
  </si>
  <si>
    <t>Expected Return Model - Havells India Ltd.</t>
  </si>
  <si>
    <t>Deferred Tax Liabilities</t>
  </si>
  <si>
    <t>Other Long-Term Liabilities</t>
  </si>
  <si>
    <t>Long-Term Provisions</t>
  </si>
  <si>
    <t>TOTAL ASSETS</t>
  </si>
  <si>
    <t>Goodwill on Consolidation</t>
  </si>
  <si>
    <t>Deferred Tax Assets</t>
  </si>
  <si>
    <t>Long-Term Loans and Advances</t>
  </si>
  <si>
    <t>Other Non-Current Assets</t>
  </si>
  <si>
    <t>TOTAL LIABILITIES</t>
  </si>
  <si>
    <r>
      <t xml:space="preserve">ASSETS </t>
    </r>
    <r>
      <rPr>
        <b/>
        <i/>
        <sz val="12"/>
        <color theme="0"/>
        <rFont val="Arial"/>
        <family val="2"/>
      </rPr>
      <t>minus</t>
    </r>
    <r>
      <rPr>
        <b/>
        <sz val="12"/>
        <color theme="0"/>
        <rFont val="Arial"/>
        <family val="2"/>
      </rPr>
      <t xml:space="preserve"> LIABILITIES</t>
    </r>
  </si>
  <si>
    <t>Cost of Material Consumed</t>
  </si>
  <si>
    <t>Purchase of Traded Goods</t>
  </si>
  <si>
    <t>Change in Inventories</t>
  </si>
  <si>
    <t>Interest/Finance Costs</t>
  </si>
  <si>
    <t>Advertising and Sales Promotion Expenses</t>
  </si>
  <si>
    <t>Other Expenses</t>
  </si>
  <si>
    <t>Current Tax</t>
  </si>
  <si>
    <t>Other Taxes</t>
  </si>
  <si>
    <t>Total Tax</t>
  </si>
  <si>
    <t>Total Operating Expenditure</t>
  </si>
  <si>
    <t>Havells India Ltd. - Common Size P&amp;L Account</t>
  </si>
  <si>
    <t>Havells India Ltd. - Common Size Balance Sheet</t>
  </si>
  <si>
    <t>(Enter values only in red cells) | Data Source: Annual Reports</t>
  </si>
  <si>
    <t>Particulars</t>
  </si>
  <si>
    <t>Profit After Tax - Reported (PAT)</t>
  </si>
  <si>
    <t>Profit After Tax - Excluding Exception Items</t>
  </si>
  <si>
    <t>Diluted EPS - Adjusted (Rs)</t>
  </si>
  <si>
    <t>Current Market Price</t>
  </si>
  <si>
    <t>DCF as % of CMP</t>
  </si>
  <si>
    <t>Miscellaneous Expenditure</t>
  </si>
  <si>
    <r>
      <rPr>
        <b/>
        <sz val="12"/>
        <color theme="1"/>
        <rFont val="Arial"/>
        <family val="2"/>
      </rPr>
      <t xml:space="preserve">Note: </t>
    </r>
    <r>
      <rPr>
        <u/>
        <sz val="12"/>
        <color rgb="FF0033CC"/>
        <rFont val="Arial"/>
        <family val="2"/>
      </rPr>
      <t>See the explanation of this model here</t>
    </r>
  </si>
  <si>
    <t>Minority Interest/Others</t>
  </si>
  <si>
    <t>Two-Stage DCF: Havells India Ltd.</t>
  </si>
  <si>
    <t>Net Profit</t>
  </si>
  <si>
    <t>3QFY17</t>
  </si>
  <si>
    <t>2QFY17</t>
  </si>
  <si>
    <t>1QFY17</t>
  </si>
  <si>
    <t>4QFY16</t>
  </si>
  <si>
    <t>1QFY15</t>
  </si>
  <si>
    <t>2QFY15</t>
  </si>
  <si>
    <t>3QFY15</t>
  </si>
  <si>
    <t>4QFY15</t>
  </si>
  <si>
    <t>1QFY16</t>
  </si>
  <si>
    <t>2QFY16</t>
  </si>
  <si>
    <t>3QFY16</t>
  </si>
  <si>
    <t>% Growth YOY</t>
  </si>
  <si>
    <t>PBT Margin</t>
  </si>
  <si>
    <t>Segment-Wise Results</t>
  </si>
  <si>
    <t>Others</t>
  </si>
  <si>
    <t>% of Total Revenue</t>
  </si>
  <si>
    <t>Total Gross Revenue</t>
  </si>
  <si>
    <t>PBIT</t>
  </si>
  <si>
    <t>PBIT Margin</t>
  </si>
  <si>
    <t>Havells India Ltd. - Quarterly Analysis</t>
  </si>
  <si>
    <t>Switchgears-Revenue</t>
  </si>
  <si>
    <t>Switchgears-PBIT</t>
  </si>
  <si>
    <t>Cable-Revenue</t>
  </si>
  <si>
    <t>Cable-PBIT</t>
  </si>
  <si>
    <t>Lighting &amp; Fixtures-Revenue</t>
  </si>
  <si>
    <t>Lighting &amp; Fixtures-PBIT</t>
  </si>
  <si>
    <t>Electrical Consumer Durables-Revenue</t>
  </si>
  <si>
    <t>Electrical Consumer Durables-PBIT</t>
  </si>
  <si>
    <r>
      <rPr>
        <b/>
        <sz val="20"/>
        <color rgb="FFC00000"/>
        <rFont val="Arial"/>
        <family val="2"/>
      </rPr>
      <t xml:space="preserve">Remember!  </t>
    </r>
    <r>
      <rPr>
        <b/>
        <sz val="12"/>
        <color rgb="FFC00000"/>
        <rFont val="Arial"/>
        <family val="2"/>
      </rPr>
      <t xml:space="preserve"> </t>
    </r>
    <r>
      <rPr>
        <b/>
        <sz val="12"/>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t>
    </r>
    <r>
      <rPr>
        <b/>
        <sz val="12"/>
        <color rgb="FFC00000"/>
        <rFont val="Arial"/>
        <family val="2"/>
      </rPr>
      <t>Focus on decisions, not outcomes. Look for disconfirming evidence.</t>
    </r>
  </si>
  <si>
    <t>Current P/E (x)</t>
  </si>
  <si>
    <t>Esti. Stock Price (10th year from now)</t>
  </si>
  <si>
    <r>
      <t>Calculations</t>
    </r>
    <r>
      <rPr>
        <sz val="12"/>
        <color rgb="FFC00000"/>
        <rFont val="Arial"/>
        <family val="2"/>
      </rPr>
      <t xml:space="preserve"> (Enter values only in red cells)</t>
    </r>
  </si>
  <si>
    <t>Estimated CAGR in EPS over next 10 years</t>
  </si>
  <si>
    <t>Estimated EPS after 10 years</t>
  </si>
  <si>
    <t>Sales Growth (8-Year CAGR)</t>
  </si>
  <si>
    <t>Gross Profit Growth (8-Year CAGR)</t>
  </si>
  <si>
    <t>Net Profit Growth (8-Year CAGR)</t>
  </si>
  <si>
    <t>Average Debt/Equity (5-Years, x)</t>
  </si>
  <si>
    <t>Average Return on Equity (5-Years)</t>
  </si>
  <si>
    <r>
      <rPr>
        <sz val="30"/>
        <color rgb="FFC00000"/>
        <rFont val="Arial Black"/>
        <family val="2"/>
      </rPr>
      <t>Safal Niveshak</t>
    </r>
    <r>
      <rPr>
        <sz val="30"/>
        <color rgb="FF0070C0"/>
        <rFont val="Arial Black"/>
        <family val="2"/>
      </rPr>
      <t xml:space="preserve">                          </t>
    </r>
    <r>
      <rPr>
        <sz val="20"/>
        <color theme="1"/>
        <rFont val="Arial Black"/>
        <family val="2"/>
      </rPr>
      <t xml:space="preserve"> </t>
    </r>
    <r>
      <rPr>
        <sz val="15"/>
        <color theme="1"/>
        <rFont val="Arial Black"/>
        <family val="2"/>
      </rPr>
      <t xml:space="preserve">Value Investing Made Simple                 </t>
    </r>
  </si>
  <si>
    <r>
      <rPr>
        <b/>
        <sz val="15"/>
        <color rgb="FFC00000"/>
        <rFont val="Arial"/>
        <family val="2"/>
      </rPr>
      <t xml:space="preserve">Please!                                                                                                 </t>
    </r>
    <r>
      <rPr>
        <b/>
        <sz val="12"/>
        <color theme="1"/>
        <rFont val="Arial"/>
        <family val="2"/>
      </rPr>
      <t xml:space="preserve">It's your money. Please don't blame me if results of this excel cause you to lose it all! I've designed this excel to aid your own thinking, but you alone are responsible for your actions. I want to live peacefully ever after! :-)                                 </t>
    </r>
    <r>
      <rPr>
        <b/>
        <sz val="12"/>
        <color rgb="FFC00000"/>
        <rFont val="Arial"/>
        <family val="2"/>
      </rPr>
      <t xml:space="preserve">I am not a sadist who wants you to do the hard work by analyzing companies on your own. But I'd rather give you a compass instead of a map, for you can confuse map with territory and lose it all! </t>
    </r>
    <r>
      <rPr>
        <b/>
        <sz val="12"/>
        <color theme="1"/>
        <rFont val="Arial"/>
        <family val="2"/>
      </rPr>
      <t>All the best!</t>
    </r>
  </si>
  <si>
    <t>Exit P/E in the 10th year from now (x,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</si>
</sst>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6" formatCode="&quot;$&quot;#,##0_);[Red]\(&quot;$&quot;#,##0\)"/>
    <numFmt numFmtId="43" formatCode="_(* #,##0.00_);_(* \(#,##0.00\);_(* &quot;-&quot;??_);_(@_)"/>
    <numFmt numFmtId="164" formatCode="_(* #,##0.0_);_(* \(#,##0.0\);_(* &quot;-&quot;??_);_(@_)"/>
    <numFmt numFmtId="165" formatCode="_(* #,##0_);_(* \(#,##0\);_(* &quot;-&quot;??_);_(@_)"/>
    <numFmt numFmtId="166" formatCode="#,##0.000_);[Red]\(#,##0.000\)"/>
    <numFmt numFmtId="167" formatCode="0.0%"/>
    <numFmt numFmtId="168" formatCode="[$-409]mmm/yy;@"/>
    <numFmt numFmtId="169" formatCode="0.0000%"/>
  </numFmts>
  <fonts count="39" x14ac:knownFonts="1">
    <font>
      <sz val="11"/>
      <color theme="1"/>
      <name val="Calibri"/>
      <family val="2"/>
      <scheme val="minor"/>
    </font>
    <font>
      <sz val="11"/>
      <color theme="1"/>
      <name val="Calibri"/>
      <family val="2"/>
      <scheme val="minor"/>
    </font>
    <font>
      <sz val="9"/>
      <color indexed="81"/>
      <name val="Tahoma"/>
      <family val="2"/>
    </font>
    <font>
      <sz val="12"/>
      <color indexed="8"/>
      <name val="Arial"/>
      <family val="2"/>
    </font>
    <font>
      <b/>
      <sz val="12"/>
      <color indexed="8"/>
      <name val="Arial"/>
      <family val="2"/>
    </font>
    <font>
      <b/>
      <sz val="12"/>
      <color theme="1"/>
      <name val="Arial"/>
      <family val="2"/>
    </font>
    <font>
      <sz val="12"/>
      <color theme="1"/>
      <name val="Arial"/>
      <family val="2"/>
    </font>
    <font>
      <i/>
      <sz val="12"/>
      <color theme="1"/>
      <name val="Arial"/>
      <family val="2"/>
    </font>
    <font>
      <b/>
      <sz val="12"/>
      <color rgb="FFC00000"/>
      <name val="Arial"/>
      <family val="2"/>
    </font>
    <font>
      <b/>
      <sz val="9"/>
      <color indexed="81"/>
      <name val="Tahoma"/>
      <family val="2"/>
    </font>
    <font>
      <b/>
      <sz val="12"/>
      <color theme="0"/>
      <name val="Arial"/>
      <family val="2"/>
    </font>
    <font>
      <b/>
      <i/>
      <sz val="9"/>
      <color indexed="81"/>
      <name val="Tahoma"/>
      <family val="2"/>
    </font>
    <font>
      <b/>
      <sz val="12"/>
      <name val="Arial"/>
      <family val="2"/>
    </font>
    <font>
      <sz val="12"/>
      <name val="Arial"/>
      <family val="2"/>
    </font>
    <font>
      <b/>
      <sz val="15"/>
      <color theme="1"/>
      <name val="Arial"/>
      <family val="2"/>
    </font>
    <font>
      <b/>
      <sz val="15"/>
      <name val="Arial"/>
      <family val="2"/>
    </font>
    <font>
      <i/>
      <sz val="9"/>
      <color indexed="81"/>
      <name val="Tahoma"/>
      <family val="2"/>
    </font>
    <font>
      <sz val="12"/>
      <color rgb="FFC00000"/>
      <name val="Arial"/>
      <family val="2"/>
    </font>
    <font>
      <b/>
      <sz val="20"/>
      <color theme="1"/>
      <name val="Arial"/>
      <family val="2"/>
    </font>
    <font>
      <sz val="20"/>
      <color theme="1"/>
      <name val="Arial"/>
      <family val="2"/>
    </font>
    <font>
      <i/>
      <sz val="10"/>
      <color theme="1"/>
      <name val="Arial"/>
      <family val="2"/>
    </font>
    <font>
      <b/>
      <sz val="20"/>
      <color rgb="FFC00000"/>
      <name val="Arial"/>
      <family val="2"/>
    </font>
    <font>
      <b/>
      <sz val="15"/>
      <color rgb="FFC00000"/>
      <name val="Arial"/>
      <family val="2"/>
    </font>
    <font>
      <i/>
      <sz val="11"/>
      <color rgb="FFC00000"/>
      <name val="Arial"/>
      <family val="2"/>
    </font>
    <font>
      <i/>
      <sz val="12"/>
      <color rgb="FFC00000"/>
      <name val="Arial"/>
      <family val="2"/>
    </font>
    <font>
      <sz val="15"/>
      <color rgb="FFC00000"/>
      <name val="Arial"/>
      <family val="2"/>
    </font>
    <font>
      <sz val="20"/>
      <color theme="1"/>
      <name val="Arial Black"/>
      <family val="2"/>
    </font>
    <font>
      <u/>
      <sz val="11"/>
      <color theme="10"/>
      <name val="Calibri"/>
      <family val="2"/>
    </font>
    <font>
      <sz val="15"/>
      <color theme="1"/>
      <name val="Arial Black"/>
      <family val="2"/>
    </font>
    <font>
      <sz val="30"/>
      <color rgb="FF0070C0"/>
      <name val="Arial Black"/>
      <family val="2"/>
    </font>
    <font>
      <b/>
      <sz val="9"/>
      <color indexed="81"/>
      <name val="Tahoma"/>
      <charset val="1"/>
    </font>
    <font>
      <sz val="11"/>
      <color rgb="FFC00000"/>
      <name val="Arial"/>
      <family val="2"/>
    </font>
    <font>
      <u/>
      <sz val="12"/>
      <color theme="10"/>
      <name val="Arial"/>
      <family val="2"/>
    </font>
    <font>
      <b/>
      <i/>
      <sz val="12"/>
      <color theme="1"/>
      <name val="Arial"/>
      <family val="2"/>
    </font>
    <font>
      <b/>
      <u/>
      <sz val="12"/>
      <color theme="1"/>
      <name val="Arial"/>
      <family val="2"/>
    </font>
    <font>
      <b/>
      <i/>
      <sz val="12"/>
      <color theme="0"/>
      <name val="Arial"/>
      <family val="2"/>
    </font>
    <font>
      <u/>
      <sz val="12"/>
      <color rgb="FF0033CC"/>
      <name val="Arial"/>
      <family val="2"/>
    </font>
    <font>
      <sz val="30"/>
      <color rgb="FFC00000"/>
      <name val="Arial Black"/>
      <family val="2"/>
    </font>
    <font>
      <b/>
      <u/>
      <sz val="12"/>
      <color rgb="FFC00000"/>
      <name val="Arial"/>
      <family val="2"/>
    </font>
  </fonts>
  <fills count="13">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0070C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7" fillId="0" borderId="0" applyNumberFormat="0" applyFill="0" applyBorder="0" applyAlignment="0" applyProtection="0">
      <alignment vertical="top"/>
      <protection locked="0"/>
    </xf>
  </cellStyleXfs>
  <cellXfs count="279">
    <xf numFmtId="0" fontId="0" fillId="0" borderId="0" xfId="0"/>
    <xf numFmtId="2" fontId="3" fillId="0" borderId="0" xfId="0" applyNumberFormat="1" applyFont="1"/>
    <xf numFmtId="165" fontId="6" fillId="0" borderId="0" xfId="1" applyNumberFormat="1" applyFont="1"/>
    <xf numFmtId="0" fontId="6" fillId="0" borderId="0" xfId="0" applyFont="1"/>
    <xf numFmtId="165" fontId="3" fillId="0" borderId="0" xfId="1" applyNumberFormat="1" applyFont="1"/>
    <xf numFmtId="1" fontId="6" fillId="0" borderId="0" xfId="0" applyNumberFormat="1" applyFont="1"/>
    <xf numFmtId="164" fontId="6" fillId="0" borderId="0" xfId="1" applyNumberFormat="1" applyFont="1"/>
    <xf numFmtId="0" fontId="5" fillId="0" borderId="0" xfId="0" applyFont="1"/>
    <xf numFmtId="49" fontId="13" fillId="0" borderId="0" xfId="0" applyNumberFormat="1" applyFont="1" applyAlignment="1">
      <alignment horizontal="center"/>
    </xf>
    <xf numFmtId="0" fontId="13" fillId="0" borderId="0" xfId="0" applyFont="1"/>
    <xf numFmtId="9" fontId="13" fillId="0" borderId="0" xfId="0" applyNumberFormat="1" applyFont="1" applyBorder="1" applyAlignment="1">
      <alignment horizontal="center"/>
    </xf>
    <xf numFmtId="0" fontId="13" fillId="0" borderId="0" xfId="0" applyFont="1" applyBorder="1" applyAlignment="1">
      <alignment horizontal="center"/>
    </xf>
    <xf numFmtId="166" fontId="13" fillId="0" borderId="0" xfId="0" applyNumberFormat="1" applyFont="1" applyBorder="1" applyAlignment="1">
      <alignment horizontal="center"/>
    </xf>
    <xf numFmtId="6" fontId="13" fillId="0" borderId="0" xfId="0" applyNumberFormat="1" applyFont="1" applyBorder="1" applyAlignment="1">
      <alignment horizontal="center"/>
    </xf>
    <xf numFmtId="9" fontId="13" fillId="0" borderId="0" xfId="0" applyNumberFormat="1" applyFont="1" applyAlignment="1">
      <alignment horizontal="center"/>
    </xf>
    <xf numFmtId="166" fontId="13" fillId="0" borderId="0" xfId="0" applyNumberFormat="1" applyFont="1" applyAlignment="1">
      <alignment horizontal="center"/>
    </xf>
    <xf numFmtId="0" fontId="13" fillId="0" borderId="0" xfId="0" quotePrefix="1" applyFont="1" applyAlignment="1">
      <alignment horizontal="left"/>
    </xf>
    <xf numFmtId="9" fontId="13" fillId="0" borderId="0" xfId="0" applyNumberFormat="1" applyFont="1" applyAlignment="1">
      <alignment horizontal="right"/>
    </xf>
    <xf numFmtId="0" fontId="6" fillId="0" borderId="0" xfId="0" applyFont="1" applyFill="1"/>
    <xf numFmtId="0" fontId="5" fillId="0" borderId="0" xfId="0" applyFont="1" applyFill="1"/>
    <xf numFmtId="167" fontId="6" fillId="0" borderId="0" xfId="2" applyNumberFormat="1" applyFont="1"/>
    <xf numFmtId="164" fontId="3" fillId="0" borderId="4" xfId="1" applyNumberFormat="1" applyFont="1" applyBorder="1"/>
    <xf numFmtId="165" fontId="3" fillId="0" borderId="4" xfId="1" applyNumberFormat="1" applyFont="1" applyBorder="1"/>
    <xf numFmtId="38" fontId="13" fillId="0" borderId="4" xfId="0" applyNumberFormat="1" applyFont="1" applyBorder="1" applyAlignment="1">
      <alignment horizontal="center"/>
    </xf>
    <xf numFmtId="9" fontId="13" fillId="0" borderId="4" xfId="0" applyNumberFormat="1" applyFont="1" applyBorder="1" applyAlignment="1">
      <alignment horizontal="center"/>
    </xf>
    <xf numFmtId="0" fontId="6" fillId="0" borderId="0" xfId="0" applyFont="1" applyAlignment="1">
      <alignment horizontal="left"/>
    </xf>
    <xf numFmtId="165" fontId="4" fillId="5" borderId="4" xfId="1" applyNumberFormat="1" applyFont="1" applyFill="1" applyBorder="1"/>
    <xf numFmtId="165" fontId="3" fillId="0" borderId="4" xfId="1" applyNumberFormat="1" applyFont="1" applyFill="1" applyBorder="1"/>
    <xf numFmtId="9" fontId="3" fillId="0" borderId="4" xfId="2" applyFont="1" applyBorder="1"/>
    <xf numFmtId="0" fontId="5" fillId="0" borderId="0" xfId="0" applyFont="1" applyFill="1" applyAlignment="1">
      <alignment horizontal="right"/>
    </xf>
    <xf numFmtId="0" fontId="6" fillId="0" borderId="4" xfId="0" applyFont="1" applyBorder="1" applyAlignment="1">
      <alignment wrapText="1"/>
    </xf>
    <xf numFmtId="165" fontId="6" fillId="0" borderId="0" xfId="0" applyNumberFormat="1" applyFont="1"/>
    <xf numFmtId="9" fontId="6" fillId="0" borderId="0" xfId="0" applyNumberFormat="1" applyFont="1"/>
    <xf numFmtId="0" fontId="19" fillId="0" borderId="0" xfId="0" applyFont="1"/>
    <xf numFmtId="0" fontId="6" fillId="3" borderId="0" xfId="0" applyFont="1" applyFill="1" applyAlignment="1">
      <alignment wrapText="1"/>
    </xf>
    <xf numFmtId="0" fontId="6" fillId="3" borderId="0" xfId="0" applyFont="1" applyFill="1"/>
    <xf numFmtId="0" fontId="5" fillId="3" borderId="0" xfId="0" applyFont="1" applyFill="1" applyAlignment="1">
      <alignment vertical="center"/>
    </xf>
    <xf numFmtId="164" fontId="4" fillId="5" borderId="4" xfId="1" applyNumberFormat="1" applyFont="1" applyFill="1" applyBorder="1"/>
    <xf numFmtId="9" fontId="8" fillId="0" borderId="1" xfId="0" applyNumberFormat="1" applyFont="1" applyFill="1" applyBorder="1" applyAlignment="1">
      <alignment horizontal="center"/>
    </xf>
    <xf numFmtId="0" fontId="8" fillId="0" borderId="0" xfId="0" applyFont="1"/>
    <xf numFmtId="9" fontId="8" fillId="0" borderId="0" xfId="0" applyNumberFormat="1" applyFont="1" applyAlignment="1">
      <alignment horizontal="center"/>
    </xf>
    <xf numFmtId="165" fontId="8" fillId="0" borderId="4" xfId="1" applyNumberFormat="1" applyFont="1" applyBorder="1"/>
    <xf numFmtId="0" fontId="5" fillId="3" borderId="12" xfId="0" applyFont="1" applyFill="1" applyBorder="1"/>
    <xf numFmtId="0" fontId="12" fillId="3" borderId="13" xfId="0" applyFont="1" applyFill="1" applyBorder="1" applyAlignment="1">
      <alignment horizontal="center"/>
    </xf>
    <xf numFmtId="0" fontId="12" fillId="3" borderId="18" xfId="0" applyFont="1" applyFill="1" applyBorder="1" applyAlignment="1">
      <alignment horizontal="center"/>
    </xf>
    <xf numFmtId="0" fontId="12" fillId="3" borderId="12" xfId="0" applyFont="1" applyFill="1" applyBorder="1" applyAlignment="1">
      <alignment horizontal="center"/>
    </xf>
    <xf numFmtId="0" fontId="13" fillId="0" borderId="14" xfId="0" applyFont="1" applyBorder="1" applyAlignment="1">
      <alignment horizontal="center"/>
    </xf>
    <xf numFmtId="165" fontId="13" fillId="0" borderId="15" xfId="0" applyNumberFormat="1" applyFont="1" applyBorder="1" applyAlignment="1">
      <alignment horizontal="center"/>
    </xf>
    <xf numFmtId="0" fontId="13" fillId="0" borderId="16" xfId="0" applyFont="1" applyBorder="1" applyAlignment="1">
      <alignment horizontal="center"/>
    </xf>
    <xf numFmtId="38" fontId="13" fillId="0" borderId="19" xfId="0" applyNumberFormat="1" applyFont="1" applyBorder="1" applyAlignment="1">
      <alignment horizontal="center"/>
    </xf>
    <xf numFmtId="9" fontId="13" fillId="0" borderId="19" xfId="0" applyNumberFormat="1" applyFont="1" applyBorder="1" applyAlignment="1">
      <alignment horizontal="center"/>
    </xf>
    <xf numFmtId="165" fontId="13" fillId="0" borderId="17" xfId="0" applyNumberFormat="1" applyFont="1" applyBorder="1" applyAlignment="1">
      <alignment horizontal="center"/>
    </xf>
    <xf numFmtId="0" fontId="13" fillId="0" borderId="14" xfId="0" applyFont="1" applyBorder="1" applyAlignment="1">
      <alignment horizontal="left"/>
    </xf>
    <xf numFmtId="0" fontId="13" fillId="0" borderId="14" xfId="0" quotePrefix="1" applyFont="1" applyBorder="1" applyAlignment="1">
      <alignment horizontal="left"/>
    </xf>
    <xf numFmtId="0" fontId="10" fillId="2" borderId="16" xfId="0" applyFont="1" applyFill="1" applyBorder="1" applyAlignment="1">
      <alignment horizontal="left"/>
    </xf>
    <xf numFmtId="165" fontId="10" fillId="2" borderId="17" xfId="0" applyNumberFormat="1" applyFont="1" applyFill="1" applyBorder="1" applyAlignment="1">
      <alignment horizontal="center"/>
    </xf>
    <xf numFmtId="2" fontId="3" fillId="0" borderId="14" xfId="0" applyNumberFormat="1" applyFont="1" applyBorder="1"/>
    <xf numFmtId="165" fontId="5" fillId="5" borderId="4" xfId="1" applyNumberFormat="1" applyFont="1" applyFill="1" applyBorder="1"/>
    <xf numFmtId="2" fontId="4" fillId="5" borderId="14" xfId="0" applyNumberFormat="1" applyFont="1" applyFill="1" applyBorder="1"/>
    <xf numFmtId="165" fontId="4" fillId="5" borderId="15" xfId="1" applyNumberFormat="1" applyFont="1" applyFill="1" applyBorder="1"/>
    <xf numFmtId="0" fontId="5" fillId="5" borderId="16" xfId="0" applyFont="1" applyFill="1" applyBorder="1"/>
    <xf numFmtId="165" fontId="5" fillId="5" borderId="19" xfId="1" applyNumberFormat="1" applyFont="1" applyFill="1" applyBorder="1"/>
    <xf numFmtId="165" fontId="5" fillId="5" borderId="17" xfId="1" applyNumberFormat="1" applyFont="1" applyFill="1" applyBorder="1"/>
    <xf numFmtId="2" fontId="10" fillId="4" borderId="4" xfId="0" applyNumberFormat="1" applyFont="1" applyFill="1" applyBorder="1"/>
    <xf numFmtId="165" fontId="5" fillId="0" borderId="4" xfId="1" applyNumberFormat="1" applyFont="1" applyFill="1" applyBorder="1"/>
    <xf numFmtId="165" fontId="10" fillId="4" borderId="4" xfId="1" applyNumberFormat="1" applyFont="1" applyFill="1" applyBorder="1"/>
    <xf numFmtId="2" fontId="10" fillId="4" borderId="14" xfId="0" applyNumberFormat="1" applyFont="1" applyFill="1" applyBorder="1"/>
    <xf numFmtId="2" fontId="5" fillId="5" borderId="14" xfId="0" applyNumberFormat="1" applyFont="1" applyFill="1" applyBorder="1"/>
    <xf numFmtId="2" fontId="5" fillId="0" borderId="14" xfId="0" applyNumberFormat="1" applyFont="1" applyFill="1" applyBorder="1"/>
    <xf numFmtId="2" fontId="8" fillId="0" borderId="14" xfId="0" applyNumberFormat="1" applyFont="1" applyBorder="1"/>
    <xf numFmtId="0" fontId="5" fillId="3" borderId="12" xfId="0" applyFont="1" applyFill="1" applyBorder="1" applyAlignment="1">
      <alignment wrapText="1"/>
    </xf>
    <xf numFmtId="0" fontId="5" fillId="3" borderId="13" xfId="0" applyFont="1" applyFill="1" applyBorder="1" applyAlignment="1">
      <alignment horizontal="left"/>
    </xf>
    <xf numFmtId="0" fontId="6" fillId="0" borderId="17" xfId="0" applyFont="1" applyBorder="1" applyAlignment="1">
      <alignment wrapText="1"/>
    </xf>
    <xf numFmtId="0" fontId="6" fillId="0" borderId="25" xfId="0" applyFont="1" applyBorder="1" applyAlignment="1">
      <alignment wrapText="1"/>
    </xf>
    <xf numFmtId="0" fontId="17" fillId="0" borderId="14" xfId="0" applyFont="1" applyBorder="1"/>
    <xf numFmtId="165" fontId="17" fillId="0" borderId="4" xfId="1" applyNumberFormat="1" applyFont="1" applyBorder="1"/>
    <xf numFmtId="165" fontId="17" fillId="0" borderId="15" xfId="1" applyNumberFormat="1" applyFont="1" applyBorder="1"/>
    <xf numFmtId="2" fontId="17" fillId="0" borderId="14" xfId="0" applyNumberFormat="1" applyFont="1" applyBorder="1"/>
    <xf numFmtId="165" fontId="17" fillId="0" borderId="4" xfId="1" applyNumberFormat="1" applyFont="1" applyFill="1" applyBorder="1"/>
    <xf numFmtId="2" fontId="17" fillId="0" borderId="14" xfId="0" applyNumberFormat="1" applyFont="1" applyBorder="1" applyAlignment="1">
      <alignment horizontal="left"/>
    </xf>
    <xf numFmtId="0" fontId="0" fillId="0" borderId="0" xfId="0" applyAlignment="1">
      <alignment horizontal="left"/>
    </xf>
    <xf numFmtId="165" fontId="6" fillId="0" borderId="1" xfId="1" applyNumberFormat="1" applyFont="1" applyFill="1" applyBorder="1" applyAlignment="1">
      <alignment horizontal="center"/>
    </xf>
    <xf numFmtId="165" fontId="6" fillId="0" borderId="3" xfId="1" applyNumberFormat="1" applyFont="1" applyFill="1" applyBorder="1" applyAlignment="1">
      <alignment horizontal="center"/>
    </xf>
    <xf numFmtId="0" fontId="5" fillId="3" borderId="14" xfId="0" applyFont="1" applyFill="1" applyBorder="1" applyAlignment="1">
      <alignment horizontal="left"/>
    </xf>
    <xf numFmtId="9" fontId="5" fillId="3" borderId="15" xfId="2" applyFont="1" applyFill="1" applyBorder="1" applyAlignment="1">
      <alignment horizontal="right"/>
    </xf>
    <xf numFmtId="0" fontId="24" fillId="0" borderId="0" xfId="0" applyFont="1" applyBorder="1" applyAlignment="1">
      <alignment horizontal="center"/>
    </xf>
    <xf numFmtId="9" fontId="17" fillId="0" borderId="15" xfId="2" applyFont="1" applyFill="1" applyBorder="1" applyAlignment="1">
      <alignment horizontal="right"/>
    </xf>
    <xf numFmtId="165" fontId="17" fillId="0" borderId="15" xfId="1" applyNumberFormat="1" applyFont="1" applyFill="1" applyBorder="1" applyAlignment="1">
      <alignment horizontal="left"/>
    </xf>
    <xf numFmtId="165" fontId="6" fillId="0" borderId="15" xfId="1" applyNumberFormat="1" applyFont="1" applyFill="1" applyBorder="1" applyAlignment="1">
      <alignment horizontal="left"/>
    </xf>
    <xf numFmtId="0" fontId="13" fillId="0" borderId="16" xfId="0" applyFont="1" applyBorder="1" applyAlignment="1">
      <alignment horizontal="left"/>
    </xf>
    <xf numFmtId="167" fontId="6" fillId="0" borderId="15" xfId="2" applyNumberFormat="1" applyFont="1" applyFill="1" applyBorder="1" applyAlignment="1">
      <alignment horizontal="right"/>
    </xf>
    <xf numFmtId="164" fontId="6" fillId="0" borderId="15" xfId="1" applyNumberFormat="1" applyFont="1" applyFill="1" applyBorder="1" applyAlignment="1">
      <alignment horizontal="left" indent="1"/>
    </xf>
    <xf numFmtId="0" fontId="17" fillId="3" borderId="0" xfId="0" applyFont="1" applyFill="1"/>
    <xf numFmtId="0" fontId="31" fillId="0" borderId="0" xfId="0" applyFont="1" applyAlignment="1">
      <alignment horizontal="left"/>
    </xf>
    <xf numFmtId="0" fontId="14" fillId="5" borderId="29" xfId="0" applyFont="1" applyFill="1" applyBorder="1" applyAlignment="1">
      <alignment horizontal="center"/>
    </xf>
    <xf numFmtId="0" fontId="14" fillId="5" borderId="30" xfId="0" applyFont="1" applyFill="1" applyBorder="1" applyAlignment="1">
      <alignment horizontal="center"/>
    </xf>
    <xf numFmtId="0" fontId="23" fillId="0" borderId="0" xfId="0" applyFont="1" applyFill="1" applyBorder="1" applyAlignment="1">
      <alignment horizontal="center"/>
    </xf>
    <xf numFmtId="167" fontId="6" fillId="0" borderId="17" xfId="2" applyNumberFormat="1" applyFont="1" applyFill="1" applyBorder="1" applyAlignment="1"/>
    <xf numFmtId="9" fontId="6" fillId="5" borderId="4" xfId="2" applyNumberFormat="1" applyFont="1" applyFill="1" applyBorder="1" applyAlignment="1">
      <alignment horizontal="right"/>
    </xf>
    <xf numFmtId="9" fontId="6" fillId="5" borderId="15" xfId="2" applyNumberFormat="1" applyFont="1" applyFill="1" applyBorder="1" applyAlignment="1">
      <alignment horizontal="right"/>
    </xf>
    <xf numFmtId="0" fontId="6" fillId="0" borderId="33" xfId="0" applyFont="1" applyBorder="1" applyAlignment="1">
      <alignment wrapText="1"/>
    </xf>
    <xf numFmtId="0" fontId="6" fillId="0" borderId="0" xfId="0" applyFont="1" applyBorder="1" applyAlignment="1">
      <alignment wrapText="1"/>
    </xf>
    <xf numFmtId="9" fontId="6" fillId="0" borderId="0" xfId="2" applyFont="1" applyBorder="1" applyAlignment="1">
      <alignment horizontal="right" wrapText="1"/>
    </xf>
    <xf numFmtId="165" fontId="6" fillId="0" borderId="0" xfId="1" applyNumberFormat="1" applyFont="1" applyAlignment="1">
      <alignment wrapText="1"/>
    </xf>
    <xf numFmtId="9" fontId="6" fillId="0" borderId="0" xfId="2" applyNumberFormat="1" applyFont="1"/>
    <xf numFmtId="0" fontId="6" fillId="0" borderId="12" xfId="0" applyFont="1" applyBorder="1"/>
    <xf numFmtId="0" fontId="6" fillId="0" borderId="14" xfId="0" applyFont="1" applyBorder="1"/>
    <xf numFmtId="169" fontId="6" fillId="0" borderId="0" xfId="2" applyNumberFormat="1" applyFont="1"/>
    <xf numFmtId="0" fontId="5" fillId="6" borderId="16" xfId="0" applyFont="1" applyFill="1" applyBorder="1"/>
    <xf numFmtId="167" fontId="5" fillId="6" borderId="17" xfId="2" applyNumberFormat="1" applyFont="1" applyFill="1" applyBorder="1"/>
    <xf numFmtId="0" fontId="32" fillId="0" borderId="0" xfId="3" applyFont="1" applyAlignment="1" applyProtection="1">
      <alignment horizontal="left"/>
    </xf>
    <xf numFmtId="0" fontId="14" fillId="5" borderId="0" xfId="0" applyFont="1" applyFill="1" applyBorder="1" applyAlignment="1">
      <alignment horizontal="center"/>
    </xf>
    <xf numFmtId="165" fontId="8" fillId="0" borderId="0" xfId="1" applyNumberFormat="1" applyFont="1" applyAlignment="1">
      <alignment horizontal="right"/>
    </xf>
    <xf numFmtId="164" fontId="17" fillId="0" borderId="15" xfId="1" applyNumberFormat="1" applyFont="1" applyFill="1" applyBorder="1" applyAlignment="1">
      <alignment horizontal="left"/>
    </xf>
    <xf numFmtId="2" fontId="10" fillId="2" borderId="14" xfId="0" applyNumberFormat="1" applyFont="1" applyFill="1" applyBorder="1"/>
    <xf numFmtId="165" fontId="10" fillId="2" borderId="4" xfId="1" applyNumberFormat="1" applyFont="1" applyFill="1" applyBorder="1"/>
    <xf numFmtId="2" fontId="8" fillId="5" borderId="14" xfId="0" applyNumberFormat="1" applyFont="1" applyFill="1" applyBorder="1"/>
    <xf numFmtId="165" fontId="8" fillId="5" borderId="4" xfId="1" applyNumberFormat="1" applyFont="1" applyFill="1" applyBorder="1"/>
    <xf numFmtId="0" fontId="5" fillId="3" borderId="4" xfId="0" applyFont="1" applyFill="1" applyBorder="1"/>
    <xf numFmtId="168" fontId="5" fillId="3" borderId="4" xfId="0" applyNumberFormat="1" applyFont="1" applyFill="1" applyBorder="1" applyAlignment="1">
      <alignment horizontal="right"/>
    </xf>
    <xf numFmtId="2" fontId="17" fillId="0" borderId="4" xfId="0" applyNumberFormat="1" applyFont="1" applyBorder="1"/>
    <xf numFmtId="2" fontId="5" fillId="5" borderId="4" xfId="0" applyNumberFormat="1" applyFont="1" applyFill="1" applyBorder="1"/>
    <xf numFmtId="2" fontId="3" fillId="0" borderId="4" xfId="0" applyNumberFormat="1" applyFont="1" applyBorder="1"/>
    <xf numFmtId="0" fontId="6" fillId="0" borderId="4" xfId="0" applyFont="1" applyBorder="1"/>
    <xf numFmtId="0" fontId="5" fillId="3" borderId="14" xfId="0" applyFont="1" applyFill="1" applyBorder="1"/>
    <xf numFmtId="2" fontId="10" fillId="2" borderId="16" xfId="0" applyNumberFormat="1" applyFont="1" applyFill="1" applyBorder="1"/>
    <xf numFmtId="165" fontId="10" fillId="2" borderId="19" xfId="1" applyNumberFormat="1" applyFont="1" applyFill="1" applyBorder="1"/>
    <xf numFmtId="167" fontId="6" fillId="0" borderId="4" xfId="2" applyNumberFormat="1" applyFont="1" applyBorder="1"/>
    <xf numFmtId="2" fontId="6" fillId="0" borderId="14" xfId="0" applyNumberFormat="1" applyFont="1" applyBorder="1"/>
    <xf numFmtId="2" fontId="6" fillId="0" borderId="14" xfId="0" applyNumberFormat="1" applyFont="1" applyBorder="1" applyAlignment="1">
      <alignment horizontal="left"/>
    </xf>
    <xf numFmtId="165" fontId="6" fillId="0" borderId="4" xfId="1" applyNumberFormat="1" applyFont="1" applyBorder="1"/>
    <xf numFmtId="167" fontId="5" fillId="5" borderId="4" xfId="2" applyNumberFormat="1" applyFont="1" applyFill="1" applyBorder="1"/>
    <xf numFmtId="9" fontId="10" fillId="2" borderId="4" xfId="2" applyFont="1" applyFill="1" applyBorder="1"/>
    <xf numFmtId="2" fontId="17" fillId="0" borderId="4" xfId="0" applyNumberFormat="1" applyFont="1" applyFill="1" applyBorder="1"/>
    <xf numFmtId="2" fontId="4" fillId="0" borderId="4" xfId="0" applyNumberFormat="1" applyFont="1" applyBorder="1"/>
    <xf numFmtId="2" fontId="4" fillId="5" borderId="4" xfId="0" applyNumberFormat="1" applyFont="1" applyFill="1" applyBorder="1"/>
    <xf numFmtId="2" fontId="6" fillId="0" borderId="4" xfId="0" applyNumberFormat="1" applyFont="1" applyBorder="1"/>
    <xf numFmtId="165" fontId="6" fillId="0" borderId="4" xfId="1" applyNumberFormat="1" applyFont="1" applyFill="1" applyBorder="1"/>
    <xf numFmtId="2" fontId="5" fillId="0" borderId="4" xfId="0" applyNumberFormat="1" applyFont="1" applyBorder="1"/>
    <xf numFmtId="167" fontId="6" fillId="0" borderId="4" xfId="2" applyNumberFormat="1" applyFont="1" applyFill="1" applyBorder="1"/>
    <xf numFmtId="9" fontId="5" fillId="5" borderId="4" xfId="2" applyFont="1" applyFill="1" applyBorder="1"/>
    <xf numFmtId="165" fontId="8" fillId="0" borderId="0" xfId="1" applyNumberFormat="1" applyFont="1"/>
    <xf numFmtId="9" fontId="8" fillId="0" borderId="0" xfId="0" applyNumberFormat="1" applyFont="1"/>
    <xf numFmtId="0" fontId="17" fillId="0" borderId="0" xfId="0" applyFont="1"/>
    <xf numFmtId="164" fontId="6" fillId="0" borderId="4" xfId="1" applyNumberFormat="1" applyFont="1" applyBorder="1" applyAlignment="1">
      <alignment horizontal="right" wrapText="1"/>
    </xf>
    <xf numFmtId="2" fontId="4" fillId="3" borderId="4" xfId="0" applyNumberFormat="1" applyFont="1" applyFill="1" applyBorder="1"/>
    <xf numFmtId="164" fontId="4" fillId="0" borderId="4" xfId="1" applyNumberFormat="1" applyFont="1" applyBorder="1"/>
    <xf numFmtId="0" fontId="36" fillId="0" borderId="0" xfId="3" applyFont="1" applyFill="1" applyBorder="1" applyAlignment="1" applyProtection="1"/>
    <xf numFmtId="0" fontId="7" fillId="0" borderId="14" xfId="0" applyFont="1" applyBorder="1" applyAlignment="1">
      <alignment wrapText="1"/>
    </xf>
    <xf numFmtId="9" fontId="7" fillId="0" borderId="4" xfId="2" applyFont="1" applyBorder="1" applyAlignment="1">
      <alignment horizontal="right" wrapText="1"/>
    </xf>
    <xf numFmtId="9" fontId="7" fillId="5" borderId="4" xfId="2" applyNumberFormat="1" applyFont="1" applyFill="1" applyBorder="1" applyAlignment="1">
      <alignment horizontal="right"/>
    </xf>
    <xf numFmtId="9" fontId="7" fillId="5" borderId="15" xfId="2" applyNumberFormat="1" applyFont="1" applyFill="1" applyBorder="1" applyAlignment="1">
      <alignment horizontal="right"/>
    </xf>
    <xf numFmtId="0" fontId="7" fillId="0" borderId="16" xfId="0" applyFont="1" applyBorder="1" applyAlignment="1">
      <alignment wrapText="1"/>
    </xf>
    <xf numFmtId="9" fontId="7" fillId="0" borderId="19" xfId="2" applyFont="1" applyBorder="1" applyAlignment="1">
      <alignment horizontal="right" wrapText="1"/>
    </xf>
    <xf numFmtId="9" fontId="7" fillId="5" borderId="19" xfId="2" applyNumberFormat="1" applyFont="1" applyFill="1" applyBorder="1" applyAlignment="1">
      <alignment horizontal="right"/>
    </xf>
    <xf numFmtId="9" fontId="7" fillId="5" borderId="17" xfId="2" applyNumberFormat="1" applyFont="1" applyFill="1" applyBorder="1" applyAlignment="1">
      <alignment horizontal="right"/>
    </xf>
    <xf numFmtId="0" fontId="6" fillId="2" borderId="0" xfId="0" applyFont="1" applyFill="1"/>
    <xf numFmtId="0" fontId="5" fillId="3" borderId="34" xfId="0" applyFont="1" applyFill="1" applyBorder="1"/>
    <xf numFmtId="168" fontId="5" fillId="3" borderId="35" xfId="0" applyNumberFormat="1" applyFont="1" applyFill="1" applyBorder="1" applyAlignment="1">
      <alignment horizontal="right"/>
    </xf>
    <xf numFmtId="0" fontId="5" fillId="5" borderId="35" xfId="0" applyFont="1" applyFill="1" applyBorder="1" applyAlignment="1">
      <alignment horizontal="right"/>
    </xf>
    <xf numFmtId="0" fontId="5" fillId="5" borderId="36" xfId="0" applyFont="1" applyFill="1" applyBorder="1" applyAlignment="1">
      <alignment horizontal="right"/>
    </xf>
    <xf numFmtId="0" fontId="8" fillId="0" borderId="4" xfId="0" applyFont="1" applyBorder="1"/>
    <xf numFmtId="0" fontId="5" fillId="0" borderId="4" xfId="0" applyFont="1" applyBorder="1"/>
    <xf numFmtId="165" fontId="5" fillId="0" borderId="4" xfId="0" applyNumberFormat="1" applyFont="1" applyBorder="1"/>
    <xf numFmtId="0" fontId="8" fillId="8" borderId="4" xfId="0" applyFont="1" applyFill="1" applyBorder="1"/>
    <xf numFmtId="165" fontId="8" fillId="8" borderId="4" xfId="1" applyNumberFormat="1" applyFont="1" applyFill="1" applyBorder="1"/>
    <xf numFmtId="164" fontId="4" fillId="8" borderId="4" xfId="1" applyNumberFormat="1" applyFont="1" applyFill="1" applyBorder="1"/>
    <xf numFmtId="0" fontId="7" fillId="8" borderId="4" xfId="0" applyFont="1" applyFill="1" applyBorder="1"/>
    <xf numFmtId="165" fontId="7" fillId="8" borderId="4" xfId="1" applyNumberFormat="1" applyFont="1" applyFill="1" applyBorder="1"/>
    <xf numFmtId="167" fontId="7" fillId="8" borderId="4" xfId="2" applyNumberFormat="1" applyFont="1" applyFill="1" applyBorder="1"/>
    <xf numFmtId="0" fontId="6" fillId="8" borderId="4" xfId="0" applyFont="1" applyFill="1" applyBorder="1"/>
    <xf numFmtId="0" fontId="8" fillId="9" borderId="4" xfId="0" applyFont="1" applyFill="1" applyBorder="1"/>
    <xf numFmtId="165" fontId="8" fillId="9" borderId="4" xfId="1" applyNumberFormat="1" applyFont="1" applyFill="1" applyBorder="1"/>
    <xf numFmtId="164" fontId="4" fillId="9" borderId="4" xfId="1" applyNumberFormat="1" applyFont="1" applyFill="1" applyBorder="1"/>
    <xf numFmtId="0" fontId="7" fillId="9" borderId="4" xfId="0" applyFont="1" applyFill="1" applyBorder="1"/>
    <xf numFmtId="165" fontId="7" fillId="9" borderId="4" xfId="1" applyNumberFormat="1" applyFont="1" applyFill="1" applyBorder="1"/>
    <xf numFmtId="167" fontId="7" fillId="9" borderId="4" xfId="2" applyNumberFormat="1" applyFont="1" applyFill="1" applyBorder="1"/>
    <xf numFmtId="0" fontId="6" fillId="9" borderId="4" xfId="0" applyFont="1" applyFill="1" applyBorder="1"/>
    <xf numFmtId="0" fontId="8" fillId="10" borderId="4" xfId="0" applyFont="1" applyFill="1" applyBorder="1"/>
    <xf numFmtId="165" fontId="8" fillId="10" borderId="4" xfId="1" applyNumberFormat="1" applyFont="1" applyFill="1" applyBorder="1"/>
    <xf numFmtId="164" fontId="4" fillId="10" borderId="4" xfId="1" applyNumberFormat="1" applyFont="1" applyFill="1" applyBorder="1"/>
    <xf numFmtId="0" fontId="7" fillId="10" borderId="4" xfId="0" applyFont="1" applyFill="1" applyBorder="1"/>
    <xf numFmtId="165" fontId="7" fillId="10" borderId="4" xfId="1" applyNumberFormat="1" applyFont="1" applyFill="1" applyBorder="1"/>
    <xf numFmtId="167" fontId="7" fillId="10" borderId="4" xfId="2" applyNumberFormat="1" applyFont="1" applyFill="1" applyBorder="1"/>
    <xf numFmtId="0" fontId="6" fillId="10" borderId="4" xfId="0" applyFont="1" applyFill="1" applyBorder="1"/>
    <xf numFmtId="165" fontId="8" fillId="9" borderId="4" xfId="2" applyNumberFormat="1" applyFont="1" applyFill="1" applyBorder="1"/>
    <xf numFmtId="165" fontId="8" fillId="8" borderId="4" xfId="0" applyNumberFormat="1" applyFont="1" applyFill="1" applyBorder="1"/>
    <xf numFmtId="0" fontId="8" fillId="11" borderId="4" xfId="0" applyFont="1" applyFill="1" applyBorder="1"/>
    <xf numFmtId="165" fontId="8" fillId="11" borderId="4" xfId="0" applyNumberFormat="1" applyFont="1" applyFill="1" applyBorder="1"/>
    <xf numFmtId="164" fontId="4" fillId="11" borderId="4" xfId="1" applyNumberFormat="1" applyFont="1" applyFill="1" applyBorder="1"/>
    <xf numFmtId="0" fontId="7" fillId="11" borderId="4" xfId="0" applyFont="1" applyFill="1" applyBorder="1"/>
    <xf numFmtId="165" fontId="7" fillId="11" borderId="4" xfId="1" applyNumberFormat="1" applyFont="1" applyFill="1" applyBorder="1"/>
    <xf numFmtId="167" fontId="7" fillId="11" borderId="4" xfId="2" applyNumberFormat="1" applyFont="1" applyFill="1" applyBorder="1"/>
    <xf numFmtId="0" fontId="6" fillId="11" borderId="4" xfId="0" applyFont="1" applyFill="1" applyBorder="1"/>
    <xf numFmtId="165" fontId="8" fillId="11" borderId="4" xfId="2" applyNumberFormat="1" applyFont="1" applyFill="1" applyBorder="1"/>
    <xf numFmtId="0" fontId="8" fillId="12" borderId="4" xfId="0" applyFont="1" applyFill="1" applyBorder="1"/>
    <xf numFmtId="0" fontId="7" fillId="12" borderId="4" xfId="0" applyFont="1" applyFill="1" applyBorder="1"/>
    <xf numFmtId="167" fontId="7" fillId="12" borderId="4" xfId="2" applyNumberFormat="1" applyFont="1" applyFill="1" applyBorder="1"/>
    <xf numFmtId="0" fontId="6" fillId="12" borderId="4" xfId="0" applyFont="1" applyFill="1" applyBorder="1"/>
    <xf numFmtId="165" fontId="8" fillId="12" borderId="4" xfId="1" applyNumberFormat="1" applyFont="1" applyFill="1" applyBorder="1"/>
    <xf numFmtId="165" fontId="8" fillId="12" borderId="4" xfId="2" applyNumberFormat="1" applyFont="1" applyFill="1" applyBorder="1"/>
    <xf numFmtId="165" fontId="6" fillId="7" borderId="15" xfId="1" applyNumberFormat="1" applyFont="1" applyFill="1" applyBorder="1"/>
    <xf numFmtId="164" fontId="17" fillId="7" borderId="15" xfId="1" applyNumberFormat="1" applyFont="1" applyFill="1" applyBorder="1"/>
    <xf numFmtId="9" fontId="17" fillId="7" borderId="13" xfId="0" applyNumberFormat="1" applyFont="1" applyFill="1" applyBorder="1"/>
    <xf numFmtId="9" fontId="6" fillId="0" borderId="0" xfId="0" applyNumberFormat="1" applyFont="1" applyBorder="1" applyAlignment="1">
      <alignment horizontal="center"/>
    </xf>
    <xf numFmtId="49" fontId="12" fillId="3" borderId="26" xfId="0" applyNumberFormat="1" applyFont="1" applyFill="1" applyBorder="1" applyAlignment="1">
      <alignment horizontal="center"/>
    </xf>
    <xf numFmtId="49" fontId="12" fillId="3" borderId="28" xfId="0" applyNumberFormat="1" applyFont="1" applyFill="1" applyBorder="1" applyAlignment="1">
      <alignment horizontal="center"/>
    </xf>
    <xf numFmtId="9" fontId="8" fillId="0" borderId="42" xfId="0" applyNumberFormat="1" applyFont="1" applyFill="1" applyBorder="1" applyAlignment="1">
      <alignment horizontal="center"/>
    </xf>
    <xf numFmtId="9" fontId="8" fillId="0" borderId="23" xfId="0" applyNumberFormat="1" applyFont="1" applyFill="1" applyBorder="1" applyAlignment="1">
      <alignment horizontal="center"/>
    </xf>
    <xf numFmtId="9" fontId="8" fillId="0" borderId="25" xfId="0" applyNumberFormat="1" applyFont="1" applyFill="1" applyBorder="1" applyAlignment="1">
      <alignment horizontal="center"/>
    </xf>
    <xf numFmtId="0" fontId="5" fillId="0" borderId="23" xfId="0" applyFont="1" applyBorder="1" applyAlignment="1">
      <alignment vertical="center" wrapText="1"/>
    </xf>
    <xf numFmtId="0" fontId="5" fillId="0" borderId="16" xfId="0" applyFont="1" applyBorder="1" applyAlignment="1">
      <alignment vertical="center" wrapText="1"/>
    </xf>
    <xf numFmtId="0" fontId="5" fillId="0" borderId="4" xfId="0" applyFont="1" applyBorder="1" applyAlignment="1">
      <alignment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2"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11" xfId="0" applyFill="1" applyBorder="1" applyAlignment="1">
      <alignment horizontal="center" vertical="center" wrapText="1"/>
    </xf>
    <xf numFmtId="0" fontId="14" fillId="5" borderId="12" xfId="0" applyFont="1" applyFill="1" applyBorder="1" applyAlignment="1">
      <alignment horizontal="center"/>
    </xf>
    <xf numFmtId="0" fontId="14" fillId="5" borderId="13" xfId="0" applyFont="1" applyFill="1" applyBorder="1" applyAlignment="1">
      <alignment horizontal="center"/>
    </xf>
    <xf numFmtId="0" fontId="24" fillId="0" borderId="31" xfId="0" applyFont="1" applyFill="1" applyBorder="1" applyAlignment="1">
      <alignment horizontal="center"/>
    </xf>
    <xf numFmtId="0" fontId="24" fillId="0" borderId="32" xfId="0" applyFont="1" applyFill="1" applyBorder="1" applyAlignment="1">
      <alignment horizontal="center"/>
    </xf>
    <xf numFmtId="0" fontId="26" fillId="5" borderId="7" xfId="0" applyFont="1" applyFill="1" applyBorder="1" applyAlignment="1">
      <alignment horizontal="center" vertical="center" wrapText="1"/>
    </xf>
    <xf numFmtId="0" fontId="26" fillId="5" borderId="9" xfId="0" applyFont="1" applyFill="1" applyBorder="1" applyAlignment="1">
      <alignment horizontal="center" vertical="center" wrapText="1"/>
    </xf>
    <xf numFmtId="0" fontId="26" fillId="5" borderId="2" xfId="0" applyFont="1" applyFill="1" applyBorder="1" applyAlignment="1">
      <alignment horizontal="center" vertical="center" wrapText="1"/>
    </xf>
    <xf numFmtId="0" fontId="26" fillId="5" borderId="10" xfId="0" applyFont="1" applyFill="1" applyBorder="1" applyAlignment="1">
      <alignment horizontal="center" vertical="center" wrapText="1"/>
    </xf>
    <xf numFmtId="0" fontId="26" fillId="5" borderId="5" xfId="0" applyFont="1" applyFill="1" applyBorder="1" applyAlignment="1">
      <alignment horizontal="center" vertical="center" wrapText="1"/>
    </xf>
    <xf numFmtId="0" fontId="26" fillId="5" borderId="11" xfId="0" applyFont="1" applyFill="1" applyBorder="1" applyAlignment="1">
      <alignment horizontal="center" vertical="center" wrapText="1"/>
    </xf>
    <xf numFmtId="0" fontId="38" fillId="0" borderId="0" xfId="3" applyFont="1" applyAlignment="1" applyProtection="1">
      <alignment horizontal="center"/>
    </xf>
    <xf numFmtId="0" fontId="18" fillId="5" borderId="20" xfId="0" applyFont="1" applyFill="1" applyBorder="1" applyAlignment="1">
      <alignment horizontal="center"/>
    </xf>
    <xf numFmtId="0" fontId="18" fillId="5" borderId="22" xfId="0" applyFont="1" applyFill="1" applyBorder="1" applyAlignment="1">
      <alignment horizontal="center"/>
    </xf>
    <xf numFmtId="0" fontId="20" fillId="0" borderId="21" xfId="0" applyFont="1" applyBorder="1" applyAlignment="1">
      <alignment horizontal="center"/>
    </xf>
    <xf numFmtId="0" fontId="14" fillId="5" borderId="18" xfId="0" applyFont="1" applyFill="1" applyBorder="1" applyAlignment="1">
      <alignment horizontal="center"/>
    </xf>
    <xf numFmtId="0" fontId="24" fillId="0" borderId="14" xfId="0" applyFont="1" applyFill="1" applyBorder="1" applyAlignment="1">
      <alignment horizontal="center"/>
    </xf>
    <xf numFmtId="0" fontId="24" fillId="0" borderId="4" xfId="0" applyFont="1" applyFill="1" applyBorder="1" applyAlignment="1">
      <alignment horizontal="center"/>
    </xf>
    <xf numFmtId="0" fontId="14" fillId="5" borderId="4" xfId="0" applyFont="1" applyFill="1" applyBorder="1" applyAlignment="1">
      <alignment horizontal="center"/>
    </xf>
    <xf numFmtId="0" fontId="14" fillId="5" borderId="26" xfId="0" applyFont="1" applyFill="1" applyBorder="1" applyAlignment="1">
      <alignment horizontal="center"/>
    </xf>
    <xf numFmtId="0" fontId="14" fillId="5" borderId="27" xfId="0" applyFont="1" applyFill="1" applyBorder="1" applyAlignment="1">
      <alignment horizontal="center"/>
    </xf>
    <xf numFmtId="0" fontId="14" fillId="5" borderId="28" xfId="0" applyFont="1" applyFill="1" applyBorder="1" applyAlignment="1">
      <alignment horizontal="center"/>
    </xf>
    <xf numFmtId="0" fontId="6" fillId="5" borderId="8"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14" fillId="5" borderId="23" xfId="0" applyFont="1" applyFill="1" applyBorder="1" applyAlignment="1">
      <alignment horizontal="center"/>
    </xf>
    <xf numFmtId="0" fontId="14" fillId="5" borderId="24" xfId="0" applyFont="1" applyFill="1" applyBorder="1" applyAlignment="1">
      <alignment horizontal="center"/>
    </xf>
    <xf numFmtId="0" fontId="14" fillId="5" borderId="25" xfId="0" applyFont="1" applyFill="1" applyBorder="1" applyAlignment="1">
      <alignment horizontal="center"/>
    </xf>
    <xf numFmtId="0" fontId="23" fillId="0" borderId="0" xfId="0" applyFont="1" applyFill="1" applyBorder="1" applyAlignment="1">
      <alignment horizontal="center"/>
    </xf>
    <xf numFmtId="0" fontId="14" fillId="5" borderId="39" xfId="0" applyFont="1" applyFill="1" applyBorder="1" applyAlignment="1">
      <alignment horizontal="center"/>
    </xf>
    <xf numFmtId="0" fontId="14" fillId="5" borderId="40" xfId="0" applyFont="1" applyFill="1" applyBorder="1" applyAlignment="1">
      <alignment horizontal="center"/>
    </xf>
    <xf numFmtId="0" fontId="14" fillId="5" borderId="41" xfId="0" applyFont="1" applyFill="1" applyBorder="1" applyAlignment="1">
      <alignment horizontal="center"/>
    </xf>
    <xf numFmtId="0" fontId="15" fillId="5" borderId="12" xfId="0" applyFont="1" applyFill="1" applyBorder="1" applyAlignment="1">
      <alignment horizontal="center" vertical="center"/>
    </xf>
    <xf numFmtId="0" fontId="15" fillId="5" borderId="18" xfId="0" applyFont="1" applyFill="1" applyBorder="1" applyAlignment="1">
      <alignment horizontal="center" vertical="center"/>
    </xf>
    <xf numFmtId="0" fontId="15" fillId="5" borderId="13"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19" xfId="0" applyFont="1" applyFill="1" applyBorder="1" applyAlignment="1">
      <alignment horizontal="center" vertical="center"/>
    </xf>
    <xf numFmtId="0" fontId="15" fillId="5" borderId="17" xfId="0" applyFont="1" applyFill="1" applyBorder="1" applyAlignment="1">
      <alignment horizontal="center" vertical="center"/>
    </xf>
    <xf numFmtId="0" fontId="12" fillId="3" borderId="12" xfId="0" applyFont="1" applyFill="1" applyBorder="1" applyAlignment="1">
      <alignment horizontal="center"/>
    </xf>
    <xf numFmtId="0" fontId="12" fillId="3" borderId="13" xfId="0" applyFont="1" applyFill="1" applyBorder="1" applyAlignment="1">
      <alignment horizontal="center"/>
    </xf>
    <xf numFmtId="0" fontId="24" fillId="0" borderId="0" xfId="0" applyFont="1" applyBorder="1" applyAlignment="1">
      <alignment horizontal="center"/>
    </xf>
    <xf numFmtId="0" fontId="14" fillId="5" borderId="37" xfId="0" applyFont="1" applyFill="1" applyBorder="1" applyAlignment="1">
      <alignment horizontal="center"/>
    </xf>
    <xf numFmtId="0" fontId="14" fillId="5" borderId="38" xfId="0" applyFont="1" applyFill="1" applyBorder="1" applyAlignment="1">
      <alignment horizontal="center"/>
    </xf>
    <xf numFmtId="0" fontId="14" fillId="10" borderId="4" xfId="0" applyFont="1" applyFill="1" applyBorder="1" applyAlignment="1">
      <alignment horizont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962025</xdr:colOff>
      <xdr:row>5</xdr:row>
      <xdr:rowOff>161925</xdr:rowOff>
    </xdr:from>
    <xdr:to>
      <xdr:col>11</xdr:col>
      <xdr:colOff>476250</xdr:colOff>
      <xdr:row>24</xdr:row>
      <xdr:rowOff>28575</xdr:rowOff>
    </xdr:to>
    <xdr:grpSp>
      <xdr:nvGrpSpPr>
        <xdr:cNvPr id="11" name="Group 10">
          <a:extLst>
            <a:ext uri="{FF2B5EF4-FFF2-40B4-BE49-F238E27FC236}">
              <a16:creationId xmlns:a16="http://schemas.microsoft.com/office/drawing/2014/main" id="{00000000-0008-0000-0400-00000B000000}"/>
            </a:ext>
          </a:extLst>
        </xdr:cNvPr>
        <xdr:cNvGrpSpPr/>
      </xdr:nvGrpSpPr>
      <xdr:grpSpPr>
        <a:xfrm>
          <a:off x="962025" y="1196975"/>
          <a:ext cx="9464675" cy="3619500"/>
          <a:chOff x="981075" y="1219200"/>
          <a:chExt cx="8486775" cy="3514725"/>
        </a:xfrm>
      </xdr:grpSpPr>
      <xdr:grpSp>
        <xdr:nvGrpSpPr>
          <xdr:cNvPr id="12" name="Group 11">
            <a:extLst>
              <a:ext uri="{FF2B5EF4-FFF2-40B4-BE49-F238E27FC236}">
                <a16:creationId xmlns:a16="http://schemas.microsoft.com/office/drawing/2014/main" id="{00000000-0008-0000-0400-00000C000000}"/>
              </a:ext>
            </a:extLst>
          </xdr:cNvPr>
          <xdr:cNvGrpSpPr/>
        </xdr:nvGrpSpPr>
        <xdr:grpSpPr>
          <a:xfrm>
            <a:off x="981075" y="2476500"/>
            <a:ext cx="8486775" cy="2257425"/>
            <a:chOff x="981075" y="2476500"/>
            <a:chExt cx="8486775" cy="2257425"/>
          </a:xfrm>
        </xdr:grpSpPr>
        <xdr:grpSp>
          <xdr:nvGrpSpPr>
            <xdr:cNvPr id="7" name="Group 6">
              <a:extLst>
                <a:ext uri="{FF2B5EF4-FFF2-40B4-BE49-F238E27FC236}">
                  <a16:creationId xmlns:a16="http://schemas.microsoft.com/office/drawing/2014/main" id="{00000000-0008-0000-0400-000007000000}"/>
                </a:ext>
              </a:extLst>
            </xdr:cNvPr>
            <xdr:cNvGrpSpPr/>
          </xdr:nvGrpSpPr>
          <xdr:grpSpPr>
            <a:xfrm>
              <a:off x="1333500" y="2476500"/>
              <a:ext cx="8134350" cy="2257425"/>
              <a:chOff x="1028700" y="2552700"/>
              <a:chExt cx="8134350" cy="2257425"/>
            </a:xfrm>
          </xdr:grpSpPr>
          <xdr:pic>
            <xdr:nvPicPr>
              <xdr:cNvPr id="8199" name="Picture 7">
                <a:extLst>
                  <a:ext uri="{FF2B5EF4-FFF2-40B4-BE49-F238E27FC236}">
                    <a16:creationId xmlns:a16="http://schemas.microsoft.com/office/drawing/2014/main" id="{00000000-0008-0000-0400-0000072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28700" y="2552700"/>
                <a:ext cx="8134350" cy="2257425"/>
              </a:xfrm>
              <a:prstGeom prst="rect">
                <a:avLst/>
              </a:prstGeom>
              <a:noFill/>
            </xdr:spPr>
          </xdr:pic>
          <xdr:sp macro="" textlink="">
            <xdr:nvSpPr>
              <xdr:cNvPr id="5" name="Rounded Rectangle 4">
                <a:extLst>
                  <a:ext uri="{FF2B5EF4-FFF2-40B4-BE49-F238E27FC236}">
                    <a16:creationId xmlns:a16="http://schemas.microsoft.com/office/drawing/2014/main" id="{00000000-0008-0000-0400-000005000000}"/>
                  </a:ext>
                </a:extLst>
              </xdr:cNvPr>
              <xdr:cNvSpPr/>
            </xdr:nvSpPr>
            <xdr:spPr>
              <a:xfrm>
                <a:off x="1533525" y="3362325"/>
                <a:ext cx="7267575" cy="266700"/>
              </a:xfrm>
              <a:prstGeom prst="round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IN" sz="1100"/>
              </a:p>
            </xdr:txBody>
          </xdr:sp>
          <xdr:sp macro="" textlink="">
            <xdr:nvSpPr>
              <xdr:cNvPr id="6" name="Rounded Rectangle 5">
                <a:extLst>
                  <a:ext uri="{FF2B5EF4-FFF2-40B4-BE49-F238E27FC236}">
                    <a16:creationId xmlns:a16="http://schemas.microsoft.com/office/drawing/2014/main" id="{00000000-0008-0000-0400-000006000000}"/>
                  </a:ext>
                </a:extLst>
              </xdr:cNvPr>
              <xdr:cNvSpPr/>
            </xdr:nvSpPr>
            <xdr:spPr>
              <a:xfrm>
                <a:off x="1524000" y="3771899"/>
                <a:ext cx="7267575" cy="238125"/>
              </a:xfrm>
              <a:prstGeom prst="round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IN" sz="1100"/>
              </a:p>
            </xdr:txBody>
          </xdr:sp>
        </xdr:grpSp>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981075" y="3448050"/>
              <a:ext cx="804516"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IN" sz="1500" b="1">
                  <a:solidFill>
                    <a:srgbClr val="C00000"/>
                  </a:solidFill>
                  <a:latin typeface="Arial" pitchFamily="34" charset="0"/>
                  <a:cs typeface="Arial" pitchFamily="34" charset="0"/>
                </a:rPr>
                <a:t>MINUS</a:t>
              </a:r>
            </a:p>
          </xdr:txBody>
        </xdr:sp>
      </xdr:grpSp>
      <xdr:cxnSp macro="">
        <xdr:nvCxnSpPr>
          <xdr:cNvPr id="14" name="Straight Arrow Connector 13">
            <a:extLst>
              <a:ext uri="{FF2B5EF4-FFF2-40B4-BE49-F238E27FC236}">
                <a16:creationId xmlns:a16="http://schemas.microsoft.com/office/drawing/2014/main" id="{00000000-0008-0000-0400-00000E000000}"/>
              </a:ext>
            </a:extLst>
          </xdr:cNvPr>
          <xdr:cNvCxnSpPr/>
        </xdr:nvCxnSpPr>
        <xdr:spPr>
          <a:xfrm>
            <a:off x="1228725" y="1219200"/>
            <a:ext cx="676275" cy="1895475"/>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3400425" y="2124101"/>
            <a:ext cx="4854919" cy="312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IN" sz="1500" b="1" u="sng">
                <a:solidFill>
                  <a:srgbClr val="C00000"/>
                </a:solidFill>
                <a:latin typeface="Arial" pitchFamily="34" charset="0"/>
                <a:cs typeface="Arial" pitchFamily="34" charset="0"/>
              </a:rPr>
              <a:t>Sample Cash Flow Statement (from Annual</a:t>
            </a:r>
            <a:r>
              <a:rPr lang="en-IN" sz="1500" b="1" u="sng" baseline="0">
                <a:solidFill>
                  <a:srgbClr val="C00000"/>
                </a:solidFill>
                <a:latin typeface="Arial" pitchFamily="34" charset="0"/>
                <a:cs typeface="Arial" pitchFamily="34" charset="0"/>
              </a:rPr>
              <a:t> Report)</a:t>
            </a:r>
            <a:endParaRPr lang="en-IN" sz="1500" b="1" u="sng">
              <a:solidFill>
                <a:srgbClr val="C00000"/>
              </a:solidFill>
              <a:latin typeface="Arial" pitchFamily="34" charset="0"/>
              <a:cs typeface="Arial" pitchFamily="34" charset="0"/>
            </a:endParaRPr>
          </a:p>
        </xdr:txBody>
      </xdr:sp>
    </xdr:grpSp>
    <xdr:clientData/>
  </xdr:twoCellAnchor>
  <xdr:twoCellAnchor>
    <xdr:from>
      <xdr:col>12</xdr:col>
      <xdr:colOff>44450</xdr:colOff>
      <xdr:row>5</xdr:row>
      <xdr:rowOff>95250</xdr:rowOff>
    </xdr:from>
    <xdr:to>
      <xdr:col>12</xdr:col>
      <xdr:colOff>628650</xdr:colOff>
      <xdr:row>5</xdr:row>
      <xdr:rowOff>101600</xdr:rowOff>
    </xdr:to>
    <xdr:cxnSp macro="">
      <xdr:nvCxnSpPr>
        <xdr:cNvPr id="13" name="Straight Arrow Connector 12">
          <a:extLst>
            <a:ext uri="{FF2B5EF4-FFF2-40B4-BE49-F238E27FC236}">
              <a16:creationId xmlns:a16="http://schemas.microsoft.com/office/drawing/2014/main" id="{00000000-0008-0000-0400-00000D000000}"/>
            </a:ext>
          </a:extLst>
        </xdr:cNvPr>
        <xdr:cNvCxnSpPr/>
      </xdr:nvCxnSpPr>
      <xdr:spPr>
        <a:xfrm flipH="1">
          <a:off x="10636250" y="1130300"/>
          <a:ext cx="584200" cy="6350"/>
        </a:xfrm>
        <a:prstGeom prst="straightConnector1">
          <a:avLst/>
        </a:prstGeom>
        <a:ln w="22225">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123825</xdr:colOff>
      <xdr:row>3</xdr:row>
      <xdr:rowOff>95250</xdr:rowOff>
    </xdr:from>
    <xdr:to>
      <xdr:col>14</xdr:col>
      <xdr:colOff>419100</xdr:colOff>
      <xdr:row>3</xdr:row>
      <xdr:rowOff>95250</xdr:rowOff>
    </xdr:to>
    <xdr:cxnSp macro="">
      <xdr:nvCxnSpPr>
        <xdr:cNvPr id="3" name="Straight Arrow Connector 2">
          <a:extLst>
            <a:ext uri="{FF2B5EF4-FFF2-40B4-BE49-F238E27FC236}">
              <a16:creationId xmlns:a16="http://schemas.microsoft.com/office/drawing/2014/main" id="{00000000-0008-0000-0500-000003000000}"/>
            </a:ext>
          </a:extLst>
        </xdr:cNvPr>
        <xdr:cNvCxnSpPr/>
      </xdr:nvCxnSpPr>
      <xdr:spPr>
        <a:xfrm flipH="1">
          <a:off x="8001000" y="752475"/>
          <a:ext cx="1266825" cy="0"/>
        </a:xfrm>
        <a:prstGeom prst="straightConnector1">
          <a:avLst/>
        </a:prstGeom>
        <a:ln w="22225">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114301</xdr:colOff>
      <xdr:row>3</xdr:row>
      <xdr:rowOff>95250</xdr:rowOff>
    </xdr:from>
    <xdr:to>
      <xdr:col>14</xdr:col>
      <xdr:colOff>447675</xdr:colOff>
      <xdr:row>4</xdr:row>
      <xdr:rowOff>95250</xdr:rowOff>
    </xdr:to>
    <xdr:cxnSp macro="">
      <xdr:nvCxnSpPr>
        <xdr:cNvPr id="4" name="Straight Arrow Connector 3">
          <a:extLst>
            <a:ext uri="{FF2B5EF4-FFF2-40B4-BE49-F238E27FC236}">
              <a16:creationId xmlns:a16="http://schemas.microsoft.com/office/drawing/2014/main" id="{00000000-0008-0000-0500-000004000000}"/>
            </a:ext>
          </a:extLst>
        </xdr:cNvPr>
        <xdr:cNvCxnSpPr/>
      </xdr:nvCxnSpPr>
      <xdr:spPr>
        <a:xfrm flipH="1">
          <a:off x="7991476" y="752475"/>
          <a:ext cx="1304924" cy="190500"/>
        </a:xfrm>
        <a:prstGeom prst="straightConnector1">
          <a:avLst/>
        </a:prstGeom>
        <a:ln w="22225">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xdr:colOff>
      <xdr:row>8</xdr:row>
      <xdr:rowOff>133350</xdr:rowOff>
    </xdr:from>
    <xdr:to>
      <xdr:col>14</xdr:col>
      <xdr:colOff>447675</xdr:colOff>
      <xdr:row>10</xdr:row>
      <xdr:rowOff>95250</xdr:rowOff>
    </xdr:to>
    <xdr:cxnSp macro="">
      <xdr:nvCxnSpPr>
        <xdr:cNvPr id="6" name="Straight Arrow Connector 5">
          <a:extLst>
            <a:ext uri="{FF2B5EF4-FFF2-40B4-BE49-F238E27FC236}">
              <a16:creationId xmlns:a16="http://schemas.microsoft.com/office/drawing/2014/main" id="{00000000-0008-0000-0500-000006000000}"/>
            </a:ext>
          </a:extLst>
        </xdr:cNvPr>
        <xdr:cNvCxnSpPr/>
      </xdr:nvCxnSpPr>
      <xdr:spPr>
        <a:xfrm rot="10800000">
          <a:off x="8353425" y="1752600"/>
          <a:ext cx="1371600" cy="361950"/>
        </a:xfrm>
        <a:prstGeom prst="straightConnector1">
          <a:avLst/>
        </a:prstGeom>
        <a:ln w="22225">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14</xdr:row>
      <xdr:rowOff>104775</xdr:rowOff>
    </xdr:from>
    <xdr:to>
      <xdr:col>14</xdr:col>
      <xdr:colOff>419100</xdr:colOff>
      <xdr:row>16</xdr:row>
      <xdr:rowOff>114300</xdr:rowOff>
    </xdr:to>
    <xdr:cxnSp macro="">
      <xdr:nvCxnSpPr>
        <xdr:cNvPr id="8" name="Straight Arrow Connector 7">
          <a:extLst>
            <a:ext uri="{FF2B5EF4-FFF2-40B4-BE49-F238E27FC236}">
              <a16:creationId xmlns:a16="http://schemas.microsoft.com/office/drawing/2014/main" id="{00000000-0008-0000-0500-000008000000}"/>
            </a:ext>
          </a:extLst>
        </xdr:cNvPr>
        <xdr:cNvCxnSpPr/>
      </xdr:nvCxnSpPr>
      <xdr:spPr>
        <a:xfrm rot="10800000">
          <a:off x="8343900" y="2905125"/>
          <a:ext cx="1352550" cy="457200"/>
        </a:xfrm>
        <a:prstGeom prst="straightConnector1">
          <a:avLst/>
        </a:prstGeom>
        <a:ln w="22225">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ishal/Business/Safal%20Niveshak/Investing%20Excels%20&amp;%20Templates/OSV_DCF_Spreadsheet_Free-201007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DCF Valuation"/>
      <sheetName val="Data"/>
    </sheetNames>
    <sheetDataSet>
      <sheetData sheetId="0"/>
      <sheetData sheetId="1">
        <row r="13">
          <cell r="N13">
            <v>0.15</v>
          </cell>
        </row>
        <row r="14">
          <cell r="N14">
            <v>0.12</v>
          </cell>
        </row>
        <row r="15">
          <cell r="N15">
            <v>0.09</v>
          </cell>
        </row>
        <row r="16">
          <cell r="N16">
            <v>0.05</v>
          </cell>
        </row>
      </sheetData>
      <sheetData sheetId="2">
        <row r="1">
          <cell r="C1" t="str">
            <v>Financial Data</v>
          </cell>
        </row>
        <row r="2">
          <cell r="A2" t="str">
            <v>AAPL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afalniveshak.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goo.gl/F4PjL7" TargetMode="External"/><Relationship Id="rId1" Type="http://schemas.openxmlformats.org/officeDocument/2006/relationships/hyperlink" Target="http://www.safalniveshak.com/value-stocks-using-dc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6"/>
  <sheetViews>
    <sheetView tabSelected="1" workbookViewId="0">
      <selection sqref="A1:B5"/>
    </sheetView>
  </sheetViews>
  <sheetFormatPr defaultColWidth="9.1796875" defaultRowHeight="14.5" x14ac:dyDescent="0.35"/>
  <cols>
    <col min="1" max="1" width="58.81640625" style="80" customWidth="1"/>
    <col min="2" max="2" width="13.08984375" style="80" bestFit="1" customWidth="1"/>
    <col min="3" max="16384" width="9.1796875" style="80"/>
  </cols>
  <sheetData>
    <row r="1" spans="1:13" x14ac:dyDescent="0.35">
      <c r="A1" s="234" t="s">
        <v>245</v>
      </c>
      <c r="B1" s="235"/>
    </row>
    <row r="2" spans="1:13" ht="15" customHeight="1" thickBot="1" x14ac:dyDescent="0.4">
      <c r="A2" s="236"/>
      <c r="B2" s="237"/>
    </row>
    <row r="3" spans="1:13" ht="15" customHeight="1" x14ac:dyDescent="0.35">
      <c r="A3" s="236"/>
      <c r="B3" s="237"/>
      <c r="E3" s="213" t="s">
        <v>139</v>
      </c>
      <c r="F3" s="214"/>
      <c r="G3" s="214"/>
      <c r="H3" s="214"/>
      <c r="I3" s="214"/>
      <c r="J3" s="214"/>
      <c r="K3" s="214"/>
      <c r="L3" s="214"/>
      <c r="M3" s="215"/>
    </row>
    <row r="4" spans="1:13" ht="15" customHeight="1" x14ac:dyDescent="0.35">
      <c r="A4" s="236"/>
      <c r="B4" s="237"/>
      <c r="E4" s="216"/>
      <c r="F4" s="217"/>
      <c r="G4" s="217"/>
      <c r="H4" s="217"/>
      <c r="I4" s="217"/>
      <c r="J4" s="217"/>
      <c r="K4" s="217"/>
      <c r="L4" s="217"/>
      <c r="M4" s="218"/>
    </row>
    <row r="5" spans="1:13" ht="15.75" customHeight="1" thickBot="1" x14ac:dyDescent="0.4">
      <c r="A5" s="238"/>
      <c r="B5" s="239"/>
      <c r="E5" s="216"/>
      <c r="F5" s="217"/>
      <c r="G5" s="217"/>
      <c r="H5" s="217"/>
      <c r="I5" s="217"/>
      <c r="J5" s="217"/>
      <c r="K5" s="217"/>
      <c r="L5" s="217"/>
      <c r="M5" s="218"/>
    </row>
    <row r="6" spans="1:13" ht="16" thickBot="1" x14ac:dyDescent="0.4">
      <c r="A6" s="240" t="s">
        <v>138</v>
      </c>
      <c r="B6" s="240"/>
      <c r="E6" s="216"/>
      <c r="F6" s="217"/>
      <c r="G6" s="217"/>
      <c r="H6" s="217"/>
      <c r="I6" s="217"/>
      <c r="J6" s="217"/>
      <c r="K6" s="217"/>
      <c r="L6" s="217"/>
      <c r="M6" s="218"/>
    </row>
    <row r="7" spans="1:13" ht="19.5" thickBot="1" x14ac:dyDescent="0.45">
      <c r="A7" s="230" t="s">
        <v>164</v>
      </c>
      <c r="B7" s="231"/>
      <c r="E7" s="219"/>
      <c r="F7" s="220"/>
      <c r="G7" s="220"/>
      <c r="H7" s="220"/>
      <c r="I7" s="220"/>
      <c r="J7" s="220"/>
      <c r="K7" s="220"/>
      <c r="L7" s="220"/>
      <c r="M7" s="221"/>
    </row>
    <row r="8" spans="1:13" ht="15.75" customHeight="1" x14ac:dyDescent="0.35">
      <c r="A8" s="232" t="s">
        <v>123</v>
      </c>
      <c r="B8" s="233"/>
    </row>
    <row r="9" spans="1:13" ht="16" thickBot="1" x14ac:dyDescent="0.4">
      <c r="A9" s="83" t="s">
        <v>115</v>
      </c>
      <c r="B9" s="84" t="s">
        <v>116</v>
      </c>
    </row>
    <row r="10" spans="1:13" ht="15.5" x14ac:dyDescent="0.35">
      <c r="A10" s="52" t="s">
        <v>112</v>
      </c>
      <c r="B10" s="86" t="s">
        <v>165</v>
      </c>
      <c r="E10" s="213" t="s">
        <v>140</v>
      </c>
      <c r="F10" s="222"/>
      <c r="G10" s="222"/>
      <c r="H10" s="222"/>
      <c r="I10" s="222"/>
      <c r="J10" s="222"/>
      <c r="K10" s="222"/>
      <c r="L10" s="222"/>
      <c r="M10" s="223"/>
    </row>
    <row r="11" spans="1:13" ht="15.75" customHeight="1" x14ac:dyDescent="0.35">
      <c r="A11" s="52" t="s">
        <v>111</v>
      </c>
      <c r="B11" s="86" t="s">
        <v>166</v>
      </c>
      <c r="E11" s="224"/>
      <c r="F11" s="225"/>
      <c r="G11" s="225"/>
      <c r="H11" s="225"/>
      <c r="I11" s="225"/>
      <c r="J11" s="225"/>
      <c r="K11" s="225"/>
      <c r="L11" s="225"/>
      <c r="M11" s="226"/>
    </row>
    <row r="12" spans="1:13" ht="15.5" x14ac:dyDescent="0.35">
      <c r="A12" s="52" t="s">
        <v>113</v>
      </c>
      <c r="B12" s="87">
        <v>420</v>
      </c>
      <c r="E12" s="224"/>
      <c r="F12" s="225"/>
      <c r="G12" s="225"/>
      <c r="H12" s="225"/>
      <c r="I12" s="225"/>
      <c r="J12" s="225"/>
      <c r="K12" s="225"/>
      <c r="L12" s="225"/>
      <c r="M12" s="226"/>
    </row>
    <row r="13" spans="1:13" ht="16" thickBot="1" x14ac:dyDescent="0.4">
      <c r="A13" s="52" t="s">
        <v>119</v>
      </c>
      <c r="B13" s="113">
        <v>1</v>
      </c>
      <c r="E13" s="227"/>
      <c r="F13" s="228"/>
      <c r="G13" s="228"/>
      <c r="H13" s="228"/>
      <c r="I13" s="228"/>
      <c r="J13" s="228"/>
      <c r="K13" s="228"/>
      <c r="L13" s="228"/>
      <c r="M13" s="229"/>
    </row>
    <row r="14" spans="1:13" ht="15.5" x14ac:dyDescent="0.35">
      <c r="A14" s="52" t="s">
        <v>114</v>
      </c>
      <c r="B14" s="113">
        <v>62.485534199999996</v>
      </c>
    </row>
    <row r="15" spans="1:13" ht="15.75" customHeight="1" thickBot="1" x14ac:dyDescent="0.4">
      <c r="A15" s="52" t="s">
        <v>118</v>
      </c>
      <c r="B15" s="88">
        <f>B12*B14</f>
        <v>26243.924363999999</v>
      </c>
    </row>
    <row r="16" spans="1:13" ht="15" thickBot="1" x14ac:dyDescent="0.4">
      <c r="E16" s="213" t="s">
        <v>246</v>
      </c>
      <c r="F16" s="214"/>
      <c r="G16" s="214"/>
      <c r="H16" s="214"/>
      <c r="I16" s="214"/>
      <c r="J16" s="214"/>
      <c r="K16" s="214"/>
      <c r="L16" s="214"/>
      <c r="M16" s="215"/>
    </row>
    <row r="17" spans="1:13" ht="19" x14ac:dyDescent="0.4">
      <c r="A17" s="94" t="s">
        <v>117</v>
      </c>
      <c r="B17" s="95"/>
      <c r="E17" s="216"/>
      <c r="F17" s="217"/>
      <c r="G17" s="217"/>
      <c r="H17" s="217"/>
      <c r="I17" s="217"/>
      <c r="J17" s="217"/>
      <c r="K17" s="217"/>
      <c r="L17" s="217"/>
      <c r="M17" s="218"/>
    </row>
    <row r="18" spans="1:13" ht="15.5" x14ac:dyDescent="0.35">
      <c r="A18" s="83" t="s">
        <v>115</v>
      </c>
      <c r="B18" s="84" t="s">
        <v>116</v>
      </c>
      <c r="E18" s="216"/>
      <c r="F18" s="217"/>
      <c r="G18" s="217"/>
      <c r="H18" s="217"/>
      <c r="I18" s="217"/>
      <c r="J18" s="217"/>
      <c r="K18" s="217"/>
      <c r="L18" s="217"/>
      <c r="M18" s="218"/>
    </row>
    <row r="19" spans="1:13" ht="16.5" customHeight="1" x14ac:dyDescent="0.35">
      <c r="A19" s="52" t="s">
        <v>240</v>
      </c>
      <c r="B19" s="90">
        <f>'P &amp; L Account'!L4</f>
        <v>5.5621356024257551E-2</v>
      </c>
      <c r="E19" s="216"/>
      <c r="F19" s="217"/>
      <c r="G19" s="217"/>
      <c r="H19" s="217"/>
      <c r="I19" s="217"/>
      <c r="J19" s="217"/>
      <c r="K19" s="217"/>
      <c r="L19" s="217"/>
      <c r="M19" s="218"/>
    </row>
    <row r="20" spans="1:13" ht="15.5" x14ac:dyDescent="0.35">
      <c r="A20" s="52" t="s">
        <v>241</v>
      </c>
      <c r="B20" s="90">
        <f>'P &amp; L Account'!L15</f>
        <v>4.328688561155869E-2</v>
      </c>
      <c r="E20" s="216"/>
      <c r="F20" s="217"/>
      <c r="G20" s="217"/>
      <c r="H20" s="217"/>
      <c r="I20" s="217"/>
      <c r="J20" s="217"/>
      <c r="K20" s="217"/>
      <c r="L20" s="217"/>
      <c r="M20" s="218"/>
    </row>
    <row r="21" spans="1:13" ht="15.5" x14ac:dyDescent="0.35">
      <c r="A21" s="52" t="s">
        <v>242</v>
      </c>
      <c r="B21" s="90">
        <f>'P &amp; L Account'!L32</f>
        <v>0.14776004328847625</v>
      </c>
      <c r="E21" s="216"/>
      <c r="F21" s="217"/>
      <c r="G21" s="217"/>
      <c r="H21" s="217"/>
      <c r="I21" s="217"/>
      <c r="J21" s="217"/>
      <c r="K21" s="217"/>
      <c r="L21" s="217"/>
      <c r="M21" s="218"/>
    </row>
    <row r="22" spans="1:13" ht="15.5" x14ac:dyDescent="0.35">
      <c r="A22" s="52" t="s">
        <v>243</v>
      </c>
      <c r="B22" s="91">
        <f>AVERAGE(Ratios!G32:K32)</f>
        <v>0.43562756142816256</v>
      </c>
      <c r="E22" s="216"/>
      <c r="F22" s="217"/>
      <c r="G22" s="217"/>
      <c r="H22" s="217"/>
      <c r="I22" s="217"/>
      <c r="J22" s="217"/>
      <c r="K22" s="217"/>
      <c r="L22" s="217"/>
      <c r="M22" s="218"/>
    </row>
    <row r="23" spans="1:13" ht="16" thickBot="1" x14ac:dyDescent="0.4">
      <c r="A23" s="89" t="s">
        <v>244</v>
      </c>
      <c r="B23" s="97">
        <f>AVERAGE(Ratios!G15:K15)</f>
        <v>0.30250891890743514</v>
      </c>
      <c r="E23" s="216"/>
      <c r="F23" s="217"/>
      <c r="G23" s="217"/>
      <c r="H23" s="217"/>
      <c r="I23" s="217"/>
      <c r="J23" s="217"/>
      <c r="K23" s="217"/>
      <c r="L23" s="217"/>
      <c r="M23" s="218"/>
    </row>
    <row r="24" spans="1:13" ht="15" thickBot="1" x14ac:dyDescent="0.4">
      <c r="E24" s="219"/>
      <c r="F24" s="220"/>
      <c r="G24" s="220"/>
      <c r="H24" s="220"/>
      <c r="I24" s="220"/>
      <c r="J24" s="220"/>
      <c r="K24" s="220"/>
      <c r="L24" s="220"/>
      <c r="M24" s="221"/>
    </row>
    <row r="26" spans="1:13" x14ac:dyDescent="0.35">
      <c r="A26" s="93"/>
    </row>
  </sheetData>
  <mergeCells count="7">
    <mergeCell ref="E3:M7"/>
    <mergeCell ref="E10:M13"/>
    <mergeCell ref="E16:M24"/>
    <mergeCell ref="A7:B7"/>
    <mergeCell ref="A8:B8"/>
    <mergeCell ref="A1:B5"/>
    <mergeCell ref="A6:B6"/>
  </mergeCells>
  <hyperlinks>
    <hyperlink ref="A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6"/>
  <sheetViews>
    <sheetView workbookViewId="0">
      <selection sqref="A1:B1"/>
    </sheetView>
  </sheetViews>
  <sheetFormatPr defaultColWidth="9.1796875" defaultRowHeight="15.5" x14ac:dyDescent="0.35"/>
  <cols>
    <col min="1" max="1" width="36.6328125" style="3" customWidth="1"/>
    <col min="2" max="2" width="121.26953125" style="3" customWidth="1"/>
    <col min="3" max="3" width="92.54296875" style="3" bestFit="1" customWidth="1"/>
    <col min="4" max="16384" width="9.1796875" style="3"/>
  </cols>
  <sheetData>
    <row r="1" spans="1:2" s="33" customFormat="1" ht="25.5" thickBot="1" x14ac:dyDescent="0.55000000000000004">
      <c r="A1" s="241" t="s">
        <v>132</v>
      </c>
      <c r="B1" s="242"/>
    </row>
    <row r="2" spans="1:2" ht="16" thickBot="1" x14ac:dyDescent="0.4">
      <c r="A2" s="243" t="s">
        <v>108</v>
      </c>
      <c r="B2" s="243"/>
    </row>
    <row r="3" spans="1:2" x14ac:dyDescent="0.35">
      <c r="A3" s="70" t="s">
        <v>102</v>
      </c>
      <c r="B3" s="71" t="s">
        <v>103</v>
      </c>
    </row>
    <row r="4" spans="1:2" ht="78" thickBot="1" x14ac:dyDescent="0.4">
      <c r="A4" s="211" t="s">
        <v>90</v>
      </c>
      <c r="B4" s="72" t="s">
        <v>99</v>
      </c>
    </row>
    <row r="5" spans="1:2" ht="16" thickBot="1" x14ac:dyDescent="0.4">
      <c r="A5" s="34"/>
      <c r="B5" s="35"/>
    </row>
    <row r="6" spans="1:2" ht="93.5" thickBot="1" x14ac:dyDescent="0.4">
      <c r="A6" s="210" t="s">
        <v>100</v>
      </c>
      <c r="B6" s="73" t="s">
        <v>106</v>
      </c>
    </row>
    <row r="7" spans="1:2" ht="16" thickBot="1" x14ac:dyDescent="0.4">
      <c r="A7" s="36"/>
      <c r="B7" s="34"/>
    </row>
    <row r="8" spans="1:2" ht="47" thickBot="1" x14ac:dyDescent="0.4">
      <c r="A8" s="210" t="s">
        <v>91</v>
      </c>
      <c r="B8" s="73" t="s">
        <v>125</v>
      </c>
    </row>
    <row r="9" spans="1:2" ht="16" thickBot="1" x14ac:dyDescent="0.4">
      <c r="A9" s="36"/>
      <c r="B9" s="34"/>
    </row>
    <row r="10" spans="1:2" ht="78" thickBot="1" x14ac:dyDescent="0.4">
      <c r="A10" s="210" t="s">
        <v>92</v>
      </c>
      <c r="B10" s="73" t="s">
        <v>126</v>
      </c>
    </row>
    <row r="11" spans="1:2" x14ac:dyDescent="0.35">
      <c r="A11" s="36"/>
      <c r="B11" s="34"/>
    </row>
    <row r="12" spans="1:2" ht="62" x14ac:dyDescent="0.35">
      <c r="A12" s="212" t="s">
        <v>93</v>
      </c>
      <c r="B12" s="30" t="s">
        <v>127</v>
      </c>
    </row>
    <row r="13" spans="1:2" ht="16" thickBot="1" x14ac:dyDescent="0.4">
      <c r="A13" s="36"/>
      <c r="B13" s="34"/>
    </row>
    <row r="14" spans="1:2" ht="47" thickBot="1" x14ac:dyDescent="0.4">
      <c r="A14" s="210" t="s">
        <v>94</v>
      </c>
      <c r="B14" s="73" t="s">
        <v>136</v>
      </c>
    </row>
    <row r="15" spans="1:2" ht="16" thickBot="1" x14ac:dyDescent="0.4">
      <c r="A15" s="36"/>
      <c r="B15" s="34"/>
    </row>
    <row r="16" spans="1:2" ht="47" thickBot="1" x14ac:dyDescent="0.4">
      <c r="A16" s="210" t="s">
        <v>95</v>
      </c>
      <c r="B16" s="73" t="s">
        <v>128</v>
      </c>
    </row>
    <row r="17" spans="1:2" ht="16" thickBot="1" x14ac:dyDescent="0.4">
      <c r="A17" s="36"/>
      <c r="B17" s="34"/>
    </row>
    <row r="18" spans="1:2" ht="47" thickBot="1" x14ac:dyDescent="0.4">
      <c r="A18" s="210" t="s">
        <v>96</v>
      </c>
      <c r="B18" s="73" t="s">
        <v>129</v>
      </c>
    </row>
    <row r="19" spans="1:2" ht="16" thickBot="1" x14ac:dyDescent="0.4">
      <c r="A19" s="36"/>
      <c r="B19" s="34"/>
    </row>
    <row r="20" spans="1:2" ht="47" thickBot="1" x14ac:dyDescent="0.4">
      <c r="A20" s="210" t="s">
        <v>97</v>
      </c>
      <c r="B20" s="73" t="s">
        <v>137</v>
      </c>
    </row>
    <row r="21" spans="1:2" ht="16" thickBot="1" x14ac:dyDescent="0.4">
      <c r="A21" s="36"/>
      <c r="B21" s="34"/>
    </row>
    <row r="22" spans="1:2" ht="78" thickBot="1" x14ac:dyDescent="0.4">
      <c r="A22" s="210" t="s">
        <v>98</v>
      </c>
      <c r="B22" s="73" t="s">
        <v>130</v>
      </c>
    </row>
    <row r="23" spans="1:2" ht="16" thickBot="1" x14ac:dyDescent="0.4">
      <c r="A23" s="92"/>
      <c r="B23" s="92"/>
    </row>
    <row r="24" spans="1:2" ht="62.5" thickBot="1" x14ac:dyDescent="0.4">
      <c r="A24" s="210" t="s">
        <v>104</v>
      </c>
      <c r="B24" s="73" t="s">
        <v>131</v>
      </c>
    </row>
    <row r="25" spans="1:2" ht="16" thickBot="1" x14ac:dyDescent="0.4">
      <c r="A25" s="35"/>
      <c r="B25" s="35"/>
    </row>
    <row r="26" spans="1:2" ht="16" thickBot="1" x14ac:dyDescent="0.4">
      <c r="A26" s="210" t="s">
        <v>105</v>
      </c>
      <c r="B26" s="73" t="s">
        <v>150</v>
      </c>
    </row>
  </sheetData>
  <mergeCells count="2">
    <mergeCell ref="A1:B1"/>
    <mergeCell ref="A2: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V46"/>
  <sheetViews>
    <sheetView zoomScale="88" zoomScaleNormal="115" workbookViewId="0">
      <selection activeCell="K15" sqref="K15"/>
    </sheetView>
  </sheetViews>
  <sheetFormatPr defaultColWidth="9.1796875" defaultRowHeight="15.5" x14ac:dyDescent="0.35"/>
  <cols>
    <col min="1" max="1" width="49.54296875" style="3" bestFit="1" customWidth="1"/>
    <col min="2" max="2" width="6.08984375" style="3" bestFit="1" customWidth="1"/>
    <col min="3" max="4" width="8.54296875" style="3" bestFit="1" customWidth="1"/>
    <col min="5" max="11" width="7.81640625" style="3" bestFit="1" customWidth="1"/>
    <col min="12" max="12" width="20.453125" style="3" bestFit="1" customWidth="1"/>
    <col min="13" max="13" width="18.26953125" style="3" bestFit="1" customWidth="1"/>
    <col min="14" max="14" width="14.81640625" style="3" bestFit="1" customWidth="1"/>
    <col min="15" max="16384" width="9.1796875" style="3"/>
  </cols>
  <sheetData>
    <row r="1" spans="1:48" ht="19" x14ac:dyDescent="0.4">
      <c r="A1" s="230" t="s">
        <v>167</v>
      </c>
      <c r="B1" s="244"/>
      <c r="C1" s="244"/>
      <c r="D1" s="244"/>
      <c r="E1" s="244"/>
      <c r="F1" s="244"/>
      <c r="G1" s="244"/>
      <c r="H1" s="244"/>
      <c r="I1" s="244"/>
      <c r="J1" s="244"/>
      <c r="K1" s="244"/>
    </row>
    <row r="2" spans="1:48" x14ac:dyDescent="0.35">
      <c r="A2" s="245" t="s">
        <v>194</v>
      </c>
      <c r="B2" s="246"/>
      <c r="C2" s="246"/>
      <c r="D2" s="246"/>
      <c r="E2" s="246"/>
      <c r="F2" s="246"/>
      <c r="G2" s="246"/>
      <c r="H2" s="246"/>
      <c r="I2" s="246"/>
      <c r="J2" s="246"/>
      <c r="K2" s="246"/>
    </row>
    <row r="3" spans="1:48" x14ac:dyDescent="0.35">
      <c r="A3" s="124" t="s">
        <v>109</v>
      </c>
      <c r="B3" s="119" t="s">
        <v>162</v>
      </c>
      <c r="C3" s="119" t="s">
        <v>161</v>
      </c>
      <c r="D3" s="119" t="s">
        <v>160</v>
      </c>
      <c r="E3" s="119" t="s">
        <v>155</v>
      </c>
      <c r="F3" s="119" t="s">
        <v>156</v>
      </c>
      <c r="G3" s="119" t="s">
        <v>157</v>
      </c>
      <c r="H3" s="119" t="s">
        <v>158</v>
      </c>
      <c r="I3" s="119" t="s">
        <v>159</v>
      </c>
      <c r="J3" s="119" t="s">
        <v>154</v>
      </c>
      <c r="K3" s="119" t="s">
        <v>153</v>
      </c>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x14ac:dyDescent="0.35">
      <c r="A4" s="66" t="s">
        <v>66</v>
      </c>
      <c r="B4" s="63"/>
      <c r="C4" s="63"/>
      <c r="D4" s="63"/>
      <c r="E4" s="63"/>
      <c r="F4" s="63"/>
      <c r="G4" s="63"/>
      <c r="H4" s="63"/>
      <c r="I4" s="63"/>
      <c r="J4" s="63"/>
      <c r="K4" s="63"/>
    </row>
    <row r="5" spans="1:48" x14ac:dyDescent="0.35">
      <c r="A5" s="77" t="s">
        <v>5</v>
      </c>
      <c r="B5" s="75">
        <v>26.88</v>
      </c>
      <c r="C5" s="75">
        <v>28.96</v>
      </c>
      <c r="D5" s="75">
        <v>30.38</v>
      </c>
      <c r="E5" s="75">
        <v>31.19</v>
      </c>
      <c r="F5" s="75">
        <v>62.39</v>
      </c>
      <c r="G5" s="75">
        <v>62.39</v>
      </c>
      <c r="H5" s="75">
        <v>62.39</v>
      </c>
      <c r="I5" s="75">
        <v>62.39</v>
      </c>
      <c r="J5" s="75">
        <v>62.44</v>
      </c>
      <c r="K5" s="75">
        <v>62.46</v>
      </c>
      <c r="L5" s="2"/>
    </row>
    <row r="6" spans="1:48" x14ac:dyDescent="0.35">
      <c r="A6" s="77" t="s">
        <v>62</v>
      </c>
      <c r="B6" s="75">
        <v>235.53</v>
      </c>
      <c r="C6" s="75">
        <v>643.34</v>
      </c>
      <c r="D6" s="75">
        <v>582.23</v>
      </c>
      <c r="E6" s="75">
        <v>369.02</v>
      </c>
      <c r="F6" s="75">
        <v>591.35</v>
      </c>
      <c r="G6" s="75">
        <v>893.22</v>
      </c>
      <c r="H6" s="75">
        <v>1379.65</v>
      </c>
      <c r="I6" s="75">
        <v>1603.62</v>
      </c>
      <c r="J6" s="75">
        <v>1755.74</v>
      </c>
      <c r="K6" s="75">
        <v>2495.44</v>
      </c>
      <c r="L6" s="2"/>
    </row>
    <row r="7" spans="1:48" x14ac:dyDescent="0.35">
      <c r="A7" s="67" t="s">
        <v>10</v>
      </c>
      <c r="B7" s="57">
        <f t="shared" ref="B7:J7" si="0">B5+B6</f>
        <v>262.41000000000003</v>
      </c>
      <c r="C7" s="57">
        <f t="shared" si="0"/>
        <v>672.30000000000007</v>
      </c>
      <c r="D7" s="57">
        <f t="shared" si="0"/>
        <v>612.61</v>
      </c>
      <c r="E7" s="57">
        <f t="shared" si="0"/>
        <v>400.21</v>
      </c>
      <c r="F7" s="57">
        <f t="shared" si="0"/>
        <v>653.74</v>
      </c>
      <c r="G7" s="57">
        <f t="shared" si="0"/>
        <v>955.61</v>
      </c>
      <c r="H7" s="57">
        <f t="shared" si="0"/>
        <v>1442.0400000000002</v>
      </c>
      <c r="I7" s="57">
        <f t="shared" si="0"/>
        <v>1666.01</v>
      </c>
      <c r="J7" s="57">
        <f t="shared" si="0"/>
        <v>1818.18</v>
      </c>
      <c r="K7" s="57">
        <f>K5+K6</f>
        <v>2557.9</v>
      </c>
      <c r="L7" s="2"/>
    </row>
    <row r="8" spans="1:48" x14ac:dyDescent="0.35">
      <c r="A8" s="68"/>
      <c r="B8" s="64"/>
      <c r="C8" s="64"/>
      <c r="D8" s="64"/>
      <c r="E8" s="64"/>
      <c r="F8" s="64"/>
      <c r="G8" s="64"/>
      <c r="H8" s="64"/>
      <c r="I8" s="64"/>
      <c r="J8" s="64"/>
      <c r="K8" s="64"/>
      <c r="L8" s="2"/>
    </row>
    <row r="9" spans="1:48" x14ac:dyDescent="0.35">
      <c r="A9" s="116" t="s">
        <v>203</v>
      </c>
      <c r="B9" s="117">
        <v>0</v>
      </c>
      <c r="C9" s="117">
        <v>17.940000000000001</v>
      </c>
      <c r="D9" s="117">
        <v>2.42</v>
      </c>
      <c r="E9" s="117">
        <v>0.2</v>
      </c>
      <c r="F9" s="117">
        <v>0.57999999999999996</v>
      </c>
      <c r="G9" s="117">
        <v>0.09</v>
      </c>
      <c r="H9" s="117">
        <v>0.09</v>
      </c>
      <c r="I9" s="117">
        <v>0.11</v>
      </c>
      <c r="J9" s="117">
        <v>0.09</v>
      </c>
      <c r="K9" s="117">
        <v>8.44</v>
      </c>
      <c r="L9" s="2"/>
    </row>
    <row r="10" spans="1:48" x14ac:dyDescent="0.35">
      <c r="A10" s="68"/>
      <c r="B10" s="64"/>
      <c r="C10" s="64"/>
      <c r="D10" s="64"/>
      <c r="E10" s="64"/>
      <c r="F10" s="64"/>
      <c r="G10" s="64"/>
      <c r="H10" s="64"/>
      <c r="I10" s="64"/>
      <c r="J10" s="64"/>
      <c r="K10" s="64"/>
      <c r="L10" s="2"/>
    </row>
    <row r="11" spans="1:48" x14ac:dyDescent="0.35">
      <c r="A11" s="67" t="s">
        <v>63</v>
      </c>
      <c r="B11" s="57">
        <f t="shared" ref="B11:I11" si="1">SUM(B12:B15)</f>
        <v>52.419999999999995</v>
      </c>
      <c r="C11" s="57">
        <f t="shared" si="1"/>
        <v>863.45</v>
      </c>
      <c r="D11" s="57">
        <f t="shared" si="1"/>
        <v>685.91</v>
      </c>
      <c r="E11" s="57">
        <f t="shared" si="1"/>
        <v>743.56000000000006</v>
      </c>
      <c r="F11" s="57">
        <f t="shared" si="1"/>
        <v>921.94</v>
      </c>
      <c r="G11" s="57">
        <f t="shared" si="1"/>
        <v>811.65</v>
      </c>
      <c r="H11" s="57">
        <f t="shared" si="1"/>
        <v>1150.72</v>
      </c>
      <c r="I11" s="57">
        <f t="shared" si="1"/>
        <v>1186.47</v>
      </c>
      <c r="J11" s="57">
        <f>SUM(J12:J15)</f>
        <v>695.49</v>
      </c>
      <c r="K11" s="57">
        <f>SUM(K12:K15)</f>
        <v>94.139999999999986</v>
      </c>
      <c r="L11" s="2"/>
    </row>
    <row r="12" spans="1:48" x14ac:dyDescent="0.35">
      <c r="A12" s="77" t="s">
        <v>64</v>
      </c>
      <c r="B12" s="75">
        <f>28.53+11.02+1.04</f>
        <v>40.589999999999996</v>
      </c>
      <c r="C12" s="75">
        <f>19.24+693.99+149.83+0.39</f>
        <v>863.45</v>
      </c>
      <c r="D12" s="75">
        <f>15.6+670.3+0.01</f>
        <v>685.91</v>
      </c>
      <c r="E12" s="75">
        <f>112.85+4.23+583.07</f>
        <v>700.15000000000009</v>
      </c>
      <c r="F12" s="75">
        <v>581.53</v>
      </c>
      <c r="G12" s="75">
        <v>438.64</v>
      </c>
      <c r="H12" s="75">
        <v>742.36</v>
      </c>
      <c r="I12" s="75">
        <v>705.57</v>
      </c>
      <c r="J12" s="75">
        <v>226.4</v>
      </c>
      <c r="K12" s="75">
        <v>1.67</v>
      </c>
      <c r="L12" s="2"/>
    </row>
    <row r="13" spans="1:48" x14ac:dyDescent="0.35">
      <c r="A13" s="77" t="s">
        <v>172</v>
      </c>
      <c r="B13" s="75">
        <v>11.83</v>
      </c>
      <c r="C13" s="75">
        <v>0</v>
      </c>
      <c r="D13" s="75">
        <v>0</v>
      </c>
      <c r="E13" s="75">
        <v>43.41</v>
      </c>
      <c r="F13" s="75">
        <v>55.85</v>
      </c>
      <c r="G13" s="75">
        <v>55.61</v>
      </c>
      <c r="H13" s="75">
        <v>61.9</v>
      </c>
      <c r="I13" s="75">
        <v>51.74</v>
      </c>
      <c r="J13" s="75">
        <v>43.37</v>
      </c>
      <c r="K13" s="75">
        <v>74.91</v>
      </c>
      <c r="L13" s="2"/>
    </row>
    <row r="14" spans="1:48" x14ac:dyDescent="0.35">
      <c r="A14" s="77" t="s">
        <v>173</v>
      </c>
      <c r="B14" s="75">
        <v>0</v>
      </c>
      <c r="C14" s="75">
        <v>0</v>
      </c>
      <c r="D14" s="75">
        <v>0</v>
      </c>
      <c r="E14" s="75">
        <v>0</v>
      </c>
      <c r="F14" s="75">
        <v>13.64</v>
      </c>
      <c r="G14" s="75">
        <v>15.44</v>
      </c>
      <c r="H14" s="75">
        <v>33.26</v>
      </c>
      <c r="I14" s="75">
        <v>40.299999999999997</v>
      </c>
      <c r="J14" s="75">
        <v>1.36</v>
      </c>
      <c r="K14" s="75">
        <v>4.13</v>
      </c>
      <c r="L14" s="2"/>
    </row>
    <row r="15" spans="1:48" x14ac:dyDescent="0.35">
      <c r="A15" s="77" t="s">
        <v>174</v>
      </c>
      <c r="B15" s="75">
        <v>0</v>
      </c>
      <c r="C15" s="75">
        <v>0</v>
      </c>
      <c r="D15" s="75">
        <v>0</v>
      </c>
      <c r="E15" s="75">
        <v>0</v>
      </c>
      <c r="F15" s="75">
        <v>270.92</v>
      </c>
      <c r="G15" s="75">
        <v>301.95999999999998</v>
      </c>
      <c r="H15" s="75">
        <v>313.2</v>
      </c>
      <c r="I15" s="75">
        <v>388.86</v>
      </c>
      <c r="J15" s="75">
        <v>424.36</v>
      </c>
      <c r="K15" s="75">
        <v>13.43</v>
      </c>
      <c r="L15" s="2"/>
    </row>
    <row r="16" spans="1:48" x14ac:dyDescent="0.35">
      <c r="A16" s="56"/>
      <c r="B16" s="22"/>
      <c r="C16" s="22"/>
      <c r="D16" s="22"/>
      <c r="E16" s="22"/>
      <c r="F16" s="22"/>
      <c r="G16" s="22"/>
      <c r="H16" s="22"/>
      <c r="I16" s="22"/>
      <c r="J16" s="22"/>
      <c r="K16" s="22"/>
      <c r="L16" s="2"/>
    </row>
    <row r="17" spans="1:12" x14ac:dyDescent="0.35">
      <c r="A17" s="67" t="s">
        <v>9</v>
      </c>
      <c r="B17" s="26">
        <f>SUM(B18:B21)</f>
        <v>297.27</v>
      </c>
      <c r="C17" s="26">
        <f t="shared" ref="C17:K17" si="2">SUM(C18:C21)</f>
        <v>1946.9300000000003</v>
      </c>
      <c r="D17" s="26">
        <f t="shared" si="2"/>
        <v>1992.0300000000002</v>
      </c>
      <c r="E17" s="26">
        <f t="shared" si="2"/>
        <v>1953.8399999999997</v>
      </c>
      <c r="F17" s="26">
        <f t="shared" si="2"/>
        <v>1987.27</v>
      </c>
      <c r="G17" s="26">
        <f t="shared" si="2"/>
        <v>2408.04</v>
      </c>
      <c r="H17" s="26">
        <f t="shared" si="2"/>
        <v>1878.94</v>
      </c>
      <c r="I17" s="26">
        <f t="shared" si="2"/>
        <v>2484.8999999999996</v>
      </c>
      <c r="J17" s="26">
        <f t="shared" si="2"/>
        <v>2317.41</v>
      </c>
      <c r="K17" s="26">
        <f t="shared" si="2"/>
        <v>1481.45</v>
      </c>
      <c r="L17" s="2"/>
    </row>
    <row r="18" spans="1:12" x14ac:dyDescent="0.35">
      <c r="A18" s="77" t="s">
        <v>68</v>
      </c>
      <c r="B18" s="75">
        <f>56.05-B12</f>
        <v>15.46</v>
      </c>
      <c r="C18" s="75">
        <f>1296.21-C12</f>
        <v>432.76</v>
      </c>
      <c r="D18" s="75">
        <f>1227.83-D12</f>
        <v>541.91999999999996</v>
      </c>
      <c r="E18" s="75">
        <f>1066.36-E12</f>
        <v>366.20999999999981</v>
      </c>
      <c r="F18" s="75">
        <v>375.38</v>
      </c>
      <c r="G18" s="75">
        <v>429.87</v>
      </c>
      <c r="H18" s="75">
        <v>91.84</v>
      </c>
      <c r="I18" s="75">
        <v>118.39</v>
      </c>
      <c r="J18" s="75">
        <v>69.63</v>
      </c>
      <c r="K18" s="75">
        <v>83.79</v>
      </c>
      <c r="L18" s="2"/>
    </row>
    <row r="19" spans="1:12" x14ac:dyDescent="0.35">
      <c r="A19" s="77" t="s">
        <v>65</v>
      </c>
      <c r="B19" s="75">
        <f>77.65+12.53+91.12</f>
        <v>181.3</v>
      </c>
      <c r="C19" s="75">
        <f>163.32+582.12+0.16</f>
        <v>745.6</v>
      </c>
      <c r="D19" s="75">
        <f>42.7+6.38+573.15</f>
        <v>622.23</v>
      </c>
      <c r="E19" s="75">
        <f>606.42+8.3+34.69</f>
        <v>649.40999999999985</v>
      </c>
      <c r="F19" s="75">
        <v>817.8</v>
      </c>
      <c r="G19" s="75">
        <v>1069.92</v>
      </c>
      <c r="H19" s="75">
        <v>932.86</v>
      </c>
      <c r="I19" s="75">
        <v>1197.21</v>
      </c>
      <c r="J19" s="75">
        <f>1019.55+31.56</f>
        <v>1051.1099999999999</v>
      </c>
      <c r="K19" s="75">
        <f>487.04+33.29</f>
        <v>520.33000000000004</v>
      </c>
      <c r="L19" s="2"/>
    </row>
    <row r="20" spans="1:12" x14ac:dyDescent="0.35">
      <c r="A20" s="77" t="s">
        <v>77</v>
      </c>
      <c r="B20" s="75">
        <f>250.06-B19</f>
        <v>68.759999999999991</v>
      </c>
      <c r="C20" s="75">
        <f>1465.21-C19</f>
        <v>719.61</v>
      </c>
      <c r="D20" s="75">
        <f>1393.43-D19</f>
        <v>771.2</v>
      </c>
      <c r="E20" s="75">
        <f>1555.52-E19</f>
        <v>906.11000000000013</v>
      </c>
      <c r="F20" s="75">
        <v>674.63</v>
      </c>
      <c r="G20" s="75">
        <v>700.61</v>
      </c>
      <c r="H20" s="75">
        <v>643.64</v>
      </c>
      <c r="I20" s="75">
        <v>825.52</v>
      </c>
      <c r="J20" s="75">
        <v>816.48</v>
      </c>
      <c r="K20" s="75">
        <v>467.74</v>
      </c>
      <c r="L20" s="2"/>
    </row>
    <row r="21" spans="1:12" x14ac:dyDescent="0.35">
      <c r="A21" s="77" t="s">
        <v>76</v>
      </c>
      <c r="B21" s="75">
        <v>31.75</v>
      </c>
      <c r="C21" s="75">
        <v>48.96</v>
      </c>
      <c r="D21" s="75">
        <v>56.68</v>
      </c>
      <c r="E21" s="75">
        <v>32.11</v>
      </c>
      <c r="F21" s="75">
        <v>119.46</v>
      </c>
      <c r="G21" s="75">
        <v>207.64</v>
      </c>
      <c r="H21" s="75">
        <v>210.6</v>
      </c>
      <c r="I21" s="75">
        <v>343.78</v>
      </c>
      <c r="J21" s="75">
        <v>380.19</v>
      </c>
      <c r="K21" s="75">
        <v>409.59</v>
      </c>
      <c r="L21" s="2"/>
    </row>
    <row r="22" spans="1:12" x14ac:dyDescent="0.35">
      <c r="A22" s="69"/>
      <c r="B22" s="41"/>
      <c r="C22" s="41"/>
      <c r="D22" s="41"/>
      <c r="E22" s="41"/>
      <c r="F22" s="41"/>
      <c r="G22" s="41"/>
      <c r="H22" s="41"/>
      <c r="I22" s="41"/>
      <c r="J22" s="41"/>
      <c r="K22" s="41"/>
      <c r="L22" s="6"/>
    </row>
    <row r="23" spans="1:12" x14ac:dyDescent="0.35">
      <c r="A23" s="114" t="s">
        <v>180</v>
      </c>
      <c r="B23" s="115">
        <f>B7+B9+B11+B17</f>
        <v>612.1</v>
      </c>
      <c r="C23" s="115">
        <f t="shared" ref="C23:K23" si="3">C7+C9+C11+C17</f>
        <v>3500.6200000000003</v>
      </c>
      <c r="D23" s="115">
        <f t="shared" si="3"/>
        <v>3292.9700000000003</v>
      </c>
      <c r="E23" s="115">
        <f t="shared" si="3"/>
        <v>3097.8099999999995</v>
      </c>
      <c r="F23" s="115">
        <f t="shared" si="3"/>
        <v>3563.53</v>
      </c>
      <c r="G23" s="115">
        <f t="shared" si="3"/>
        <v>4175.3899999999994</v>
      </c>
      <c r="H23" s="115">
        <f t="shared" si="3"/>
        <v>4471.7900000000009</v>
      </c>
      <c r="I23" s="115">
        <f t="shared" si="3"/>
        <v>5337.49</v>
      </c>
      <c r="J23" s="115">
        <f t="shared" si="3"/>
        <v>4831.17</v>
      </c>
      <c r="K23" s="115">
        <f t="shared" si="3"/>
        <v>4141.93</v>
      </c>
      <c r="L23" s="6"/>
    </row>
    <row r="24" spans="1:12" x14ac:dyDescent="0.35">
      <c r="A24" s="69"/>
      <c r="B24" s="41"/>
      <c r="C24" s="41"/>
      <c r="D24" s="41"/>
      <c r="E24" s="41"/>
      <c r="F24" s="41"/>
      <c r="G24" s="41"/>
      <c r="H24" s="41"/>
      <c r="I24" s="41"/>
      <c r="J24" s="41"/>
      <c r="K24" s="41"/>
      <c r="L24" s="6"/>
    </row>
    <row r="25" spans="1:12" x14ac:dyDescent="0.35">
      <c r="A25" s="66" t="s">
        <v>67</v>
      </c>
      <c r="B25" s="65"/>
      <c r="C25" s="65"/>
      <c r="D25" s="65"/>
      <c r="E25" s="65"/>
      <c r="F25" s="65"/>
      <c r="G25" s="65"/>
      <c r="H25" s="65"/>
      <c r="I25" s="65"/>
      <c r="J25" s="65"/>
      <c r="K25" s="65"/>
      <c r="L25" s="2"/>
    </row>
    <row r="26" spans="1:12" x14ac:dyDescent="0.35">
      <c r="A26" s="67" t="s">
        <v>69</v>
      </c>
      <c r="B26" s="26">
        <f t="shared" ref="B26:I26" si="4">SUM(B27:B34)</f>
        <v>265.73</v>
      </c>
      <c r="C26" s="26">
        <f t="shared" si="4"/>
        <v>1272.9999999999998</v>
      </c>
      <c r="D26" s="26">
        <f t="shared" si="4"/>
        <v>1364.6299999999999</v>
      </c>
      <c r="E26" s="26">
        <f t="shared" si="4"/>
        <v>1309.97</v>
      </c>
      <c r="F26" s="26">
        <f t="shared" si="4"/>
        <v>1395.08</v>
      </c>
      <c r="G26" s="26">
        <f t="shared" si="4"/>
        <v>1503.62</v>
      </c>
      <c r="H26" s="26">
        <f t="shared" si="4"/>
        <v>1599.7900000000002</v>
      </c>
      <c r="I26" s="26">
        <f t="shared" si="4"/>
        <v>1730.47</v>
      </c>
      <c r="J26" s="26">
        <f>SUM(J27:J34)</f>
        <v>1870</v>
      </c>
      <c r="K26" s="26">
        <f>SUM(K27:K34)</f>
        <v>1453.75</v>
      </c>
      <c r="L26" s="2"/>
    </row>
    <row r="27" spans="1:12" x14ac:dyDescent="0.35">
      <c r="A27" s="77" t="s">
        <v>70</v>
      </c>
      <c r="B27" s="75">
        <f>212.99-B28</f>
        <v>212.86</v>
      </c>
      <c r="C27" s="75">
        <f>731.76-C28</f>
        <v>688.28</v>
      </c>
      <c r="D27" s="75">
        <f>853.38-D28</f>
        <v>817.84</v>
      </c>
      <c r="E27" s="75">
        <f>887.36-E28</f>
        <v>856.82</v>
      </c>
      <c r="F27" s="75">
        <v>962.92</v>
      </c>
      <c r="G27" s="75">
        <v>988.62</v>
      </c>
      <c r="H27" s="75">
        <v>1092.5</v>
      </c>
      <c r="I27" s="75">
        <v>1127.68</v>
      </c>
      <c r="J27" s="75">
        <v>1158.49</v>
      </c>
      <c r="K27" s="75">
        <v>1067.49</v>
      </c>
      <c r="L27" s="2"/>
    </row>
    <row r="28" spans="1:12" x14ac:dyDescent="0.35">
      <c r="A28" s="79" t="s">
        <v>71</v>
      </c>
      <c r="B28" s="75">
        <v>0.13</v>
      </c>
      <c r="C28" s="75">
        <f>3.57+39.91</f>
        <v>43.48</v>
      </c>
      <c r="D28" s="75">
        <f>2.37+33.17</f>
        <v>35.54</v>
      </c>
      <c r="E28" s="75">
        <f>27.56+2.98</f>
        <v>30.54</v>
      </c>
      <c r="F28" s="75">
        <v>32.58</v>
      </c>
      <c r="G28" s="75">
        <v>39.75</v>
      </c>
      <c r="H28" s="75">
        <v>38.14</v>
      </c>
      <c r="I28" s="75">
        <v>34.729999999999997</v>
      </c>
      <c r="J28" s="75">
        <v>24.43</v>
      </c>
      <c r="K28" s="75">
        <v>11.02</v>
      </c>
      <c r="L28" s="2"/>
    </row>
    <row r="29" spans="1:12" x14ac:dyDescent="0.35">
      <c r="A29" s="79" t="s">
        <v>89</v>
      </c>
      <c r="B29" s="75">
        <v>29.26</v>
      </c>
      <c r="C29" s="75">
        <v>100.54</v>
      </c>
      <c r="D29" s="75">
        <v>30.8</v>
      </c>
      <c r="E29" s="75">
        <v>33.61</v>
      </c>
      <c r="F29" s="75">
        <v>24.9</v>
      </c>
      <c r="G29" s="75">
        <v>66.25</v>
      </c>
      <c r="H29" s="75">
        <v>24.89</v>
      </c>
      <c r="I29" s="75">
        <v>44.41</v>
      </c>
      <c r="J29" s="75">
        <v>38.299999999999997</v>
      </c>
      <c r="K29" s="75">
        <v>21.36</v>
      </c>
      <c r="L29" s="2"/>
    </row>
    <row r="30" spans="1:12" x14ac:dyDescent="0.35">
      <c r="A30" s="79" t="s">
        <v>176</v>
      </c>
      <c r="B30" s="75">
        <v>0</v>
      </c>
      <c r="C30" s="75">
        <v>334.61</v>
      </c>
      <c r="D30" s="75">
        <v>357.9</v>
      </c>
      <c r="E30" s="75">
        <v>321.2</v>
      </c>
      <c r="F30" s="75">
        <v>335.41</v>
      </c>
      <c r="G30" s="75">
        <v>362.46</v>
      </c>
      <c r="H30" s="75">
        <v>369.44</v>
      </c>
      <c r="I30" s="75">
        <v>437.97</v>
      </c>
      <c r="J30" s="75">
        <v>358.06</v>
      </c>
      <c r="K30" s="75">
        <v>20.399999999999999</v>
      </c>
      <c r="L30" s="2"/>
    </row>
    <row r="31" spans="1:12" x14ac:dyDescent="0.35">
      <c r="A31" s="77" t="s">
        <v>72</v>
      </c>
      <c r="B31" s="75">
        <v>0</v>
      </c>
      <c r="C31" s="75">
        <v>0</v>
      </c>
      <c r="D31" s="75">
        <v>0</v>
      </c>
      <c r="E31" s="75">
        <v>0</v>
      </c>
      <c r="F31" s="75">
        <v>0</v>
      </c>
      <c r="G31" s="75">
        <v>0</v>
      </c>
      <c r="H31" s="75">
        <v>0</v>
      </c>
      <c r="I31" s="75">
        <v>0</v>
      </c>
      <c r="J31" s="75">
        <v>0</v>
      </c>
      <c r="K31" s="75">
        <v>252.31</v>
      </c>
      <c r="L31" s="2"/>
    </row>
    <row r="32" spans="1:12" x14ac:dyDescent="0.35">
      <c r="A32" s="77" t="s">
        <v>177</v>
      </c>
      <c r="B32" s="75">
        <v>0</v>
      </c>
      <c r="C32" s="75">
        <v>7.57</v>
      </c>
      <c r="D32" s="75">
        <v>9.7200000000000006</v>
      </c>
      <c r="E32" s="75">
        <v>0</v>
      </c>
      <c r="F32" s="75">
        <v>0</v>
      </c>
      <c r="G32" s="75">
        <v>0</v>
      </c>
      <c r="H32" s="75">
        <v>13.87</v>
      </c>
      <c r="I32" s="75">
        <v>5.0999999999999996</v>
      </c>
      <c r="J32" s="75">
        <v>57.2</v>
      </c>
      <c r="K32" s="75">
        <v>0.55000000000000004</v>
      </c>
      <c r="L32" s="2"/>
    </row>
    <row r="33" spans="1:12" x14ac:dyDescent="0.35">
      <c r="A33" s="77" t="s">
        <v>178</v>
      </c>
      <c r="B33" s="75">
        <f>53.89-B41</f>
        <v>23.48</v>
      </c>
      <c r="C33" s="75">
        <f>212.42-C41</f>
        <v>98.519999999999982</v>
      </c>
      <c r="D33" s="75">
        <f>233.47-D41</f>
        <v>112.83</v>
      </c>
      <c r="E33" s="75">
        <f>174.52-E41</f>
        <v>67.800000000000011</v>
      </c>
      <c r="F33" s="75">
        <v>38.950000000000003</v>
      </c>
      <c r="G33" s="75">
        <v>46.2</v>
      </c>
      <c r="H33" s="75">
        <v>60.05</v>
      </c>
      <c r="I33" s="75">
        <v>80.23</v>
      </c>
      <c r="J33" s="75">
        <v>58.14</v>
      </c>
      <c r="K33" s="75">
        <v>80.239999999999995</v>
      </c>
      <c r="L33" s="2"/>
    </row>
    <row r="34" spans="1:12" x14ac:dyDescent="0.35">
      <c r="A34" s="77" t="s">
        <v>179</v>
      </c>
      <c r="B34" s="75">
        <v>0</v>
      </c>
      <c r="C34" s="75">
        <v>0</v>
      </c>
      <c r="D34" s="75">
        <v>0</v>
      </c>
      <c r="E34" s="75">
        <v>0</v>
      </c>
      <c r="F34" s="75">
        <v>0.32</v>
      </c>
      <c r="G34" s="75">
        <v>0.34</v>
      </c>
      <c r="H34" s="75">
        <v>0.9</v>
      </c>
      <c r="I34" s="75">
        <v>0.35</v>
      </c>
      <c r="J34" s="75">
        <v>175.38</v>
      </c>
      <c r="K34" s="75">
        <v>0.38</v>
      </c>
      <c r="L34" s="2"/>
    </row>
    <row r="35" spans="1:12" x14ac:dyDescent="0.35">
      <c r="A35" s="56"/>
      <c r="B35" s="22"/>
      <c r="C35" s="22"/>
      <c r="D35" s="22"/>
      <c r="E35" s="22"/>
      <c r="F35" s="22"/>
      <c r="G35" s="22"/>
      <c r="H35" s="22"/>
      <c r="I35" s="22"/>
      <c r="J35" s="22"/>
      <c r="K35" s="22"/>
      <c r="L35" s="2"/>
    </row>
    <row r="36" spans="1:12" x14ac:dyDescent="0.35">
      <c r="A36" s="67" t="s">
        <v>73</v>
      </c>
      <c r="B36" s="26">
        <f t="shared" ref="B36:D36" si="5">SUM(B37:B43)</f>
        <v>346.37000000000006</v>
      </c>
      <c r="C36" s="26">
        <f t="shared" si="5"/>
        <v>2227.62</v>
      </c>
      <c r="D36" s="26">
        <f t="shared" si="5"/>
        <v>1928.04</v>
      </c>
      <c r="E36" s="26">
        <f>SUM(E37:E43)</f>
        <v>1787.84</v>
      </c>
      <c r="F36" s="26">
        <f t="shared" ref="F36:K36" si="6">SUM(F37:F43)</f>
        <v>2168.4499999999998</v>
      </c>
      <c r="G36" s="26">
        <f t="shared" si="6"/>
        <v>2671.7699999999995</v>
      </c>
      <c r="H36" s="26">
        <f t="shared" si="6"/>
        <v>2872</v>
      </c>
      <c r="I36" s="26">
        <f t="shared" si="6"/>
        <v>3607.0200000000004</v>
      </c>
      <c r="J36" s="26">
        <f t="shared" si="6"/>
        <v>2961.1699999999996</v>
      </c>
      <c r="K36" s="26">
        <f t="shared" si="6"/>
        <v>2688.18</v>
      </c>
      <c r="L36" s="2"/>
    </row>
    <row r="37" spans="1:12" x14ac:dyDescent="0.35">
      <c r="A37" s="77" t="s">
        <v>74</v>
      </c>
      <c r="B37" s="75">
        <v>3.17</v>
      </c>
      <c r="C37" s="75">
        <v>3.17</v>
      </c>
      <c r="D37" s="75">
        <v>0</v>
      </c>
      <c r="E37" s="75">
        <v>0</v>
      </c>
      <c r="F37" s="75">
        <v>0</v>
      </c>
      <c r="G37" s="75">
        <v>0</v>
      </c>
      <c r="H37" s="75">
        <v>0</v>
      </c>
      <c r="I37" s="75">
        <v>0</v>
      </c>
      <c r="J37" s="75">
        <v>0</v>
      </c>
      <c r="K37" s="75">
        <v>5.19</v>
      </c>
      <c r="L37" s="2"/>
    </row>
    <row r="38" spans="1:12" x14ac:dyDescent="0.35">
      <c r="A38" s="79" t="s">
        <v>7</v>
      </c>
      <c r="B38" s="75">
        <v>239.5</v>
      </c>
      <c r="C38" s="75">
        <v>1041.92</v>
      </c>
      <c r="D38" s="75">
        <v>794.74</v>
      </c>
      <c r="E38" s="75">
        <v>824.59</v>
      </c>
      <c r="F38" s="75">
        <v>1086</v>
      </c>
      <c r="G38" s="75">
        <v>1367.75</v>
      </c>
      <c r="H38" s="75">
        <v>1318.36</v>
      </c>
      <c r="I38" s="75">
        <v>1493.44</v>
      </c>
      <c r="J38" s="75">
        <v>1366.29</v>
      </c>
      <c r="K38" s="75">
        <v>837.09</v>
      </c>
      <c r="L38" s="2"/>
    </row>
    <row r="39" spans="1:12" x14ac:dyDescent="0.35">
      <c r="A39" s="77" t="s">
        <v>75</v>
      </c>
      <c r="B39" s="75">
        <v>30.96</v>
      </c>
      <c r="C39" s="75">
        <v>822.7</v>
      </c>
      <c r="D39" s="75">
        <v>757.34</v>
      </c>
      <c r="E39" s="75">
        <v>698.22</v>
      </c>
      <c r="F39" s="75">
        <v>772.08</v>
      </c>
      <c r="G39" s="75">
        <v>890.53</v>
      </c>
      <c r="H39" s="75">
        <v>862.28</v>
      </c>
      <c r="I39" s="75">
        <v>1000.53</v>
      </c>
      <c r="J39" s="75">
        <v>623.17999999999995</v>
      </c>
      <c r="K39" s="75">
        <v>259.37</v>
      </c>
      <c r="L39" s="2"/>
    </row>
    <row r="40" spans="1:12" x14ac:dyDescent="0.35">
      <c r="A40" s="77" t="s">
        <v>79</v>
      </c>
      <c r="B40" s="75">
        <v>36.47</v>
      </c>
      <c r="C40" s="75">
        <v>242.9</v>
      </c>
      <c r="D40" s="75">
        <v>247.33</v>
      </c>
      <c r="E40" s="75">
        <v>148.01</v>
      </c>
      <c r="F40" s="75">
        <v>177.85</v>
      </c>
      <c r="G40" s="75">
        <v>233.64</v>
      </c>
      <c r="H40" s="75">
        <v>473.57</v>
      </c>
      <c r="I40" s="75">
        <v>881.94</v>
      </c>
      <c r="J40" s="75">
        <v>777.47</v>
      </c>
      <c r="K40" s="75">
        <v>1465.26</v>
      </c>
      <c r="L40" s="2"/>
    </row>
    <row r="41" spans="1:12" x14ac:dyDescent="0.35">
      <c r="A41" s="77" t="s">
        <v>78</v>
      </c>
      <c r="B41" s="75">
        <v>30.41</v>
      </c>
      <c r="C41" s="75">
        <v>113.9</v>
      </c>
      <c r="D41" s="75">
        <v>120.64</v>
      </c>
      <c r="E41" s="75">
        <v>106.72</v>
      </c>
      <c r="F41" s="75">
        <v>120.57</v>
      </c>
      <c r="G41" s="75">
        <v>168.19</v>
      </c>
      <c r="H41" s="75">
        <v>205.21</v>
      </c>
      <c r="I41" s="75">
        <v>211.38</v>
      </c>
      <c r="J41" s="75">
        <v>172.29</v>
      </c>
      <c r="K41" s="75">
        <v>85.34</v>
      </c>
      <c r="L41" s="2"/>
    </row>
    <row r="42" spans="1:12" x14ac:dyDescent="0.35">
      <c r="A42" s="77" t="s">
        <v>8</v>
      </c>
      <c r="B42" s="75">
        <v>3.76</v>
      </c>
      <c r="C42" s="75">
        <v>2.93</v>
      </c>
      <c r="D42" s="75">
        <v>7.94</v>
      </c>
      <c r="E42" s="75">
        <v>10.28</v>
      </c>
      <c r="F42" s="75">
        <v>11.95</v>
      </c>
      <c r="G42" s="75">
        <v>11.66</v>
      </c>
      <c r="H42" s="75">
        <v>12.58</v>
      </c>
      <c r="I42" s="75">
        <v>19.73</v>
      </c>
      <c r="J42" s="75">
        <v>21.94</v>
      </c>
      <c r="K42" s="75">
        <v>35.93</v>
      </c>
      <c r="L42" s="2"/>
    </row>
    <row r="43" spans="1:12" x14ac:dyDescent="0.35">
      <c r="A43" s="77" t="s">
        <v>201</v>
      </c>
      <c r="B43" s="75">
        <v>2.1</v>
      </c>
      <c r="C43" s="75">
        <v>0.1</v>
      </c>
      <c r="D43" s="75">
        <v>0.05</v>
      </c>
      <c r="E43" s="75">
        <v>0.02</v>
      </c>
      <c r="F43" s="75">
        <v>0</v>
      </c>
      <c r="G43" s="75">
        <v>0</v>
      </c>
      <c r="H43" s="75">
        <v>0</v>
      </c>
      <c r="I43" s="75">
        <v>0</v>
      </c>
      <c r="J43" s="75">
        <v>0</v>
      </c>
      <c r="K43" s="75">
        <v>0</v>
      </c>
      <c r="L43" s="2"/>
    </row>
    <row r="44" spans="1:12" x14ac:dyDescent="0.35">
      <c r="A44" s="114" t="s">
        <v>175</v>
      </c>
      <c r="B44" s="115">
        <f>B26+B36</f>
        <v>612.10000000000014</v>
      </c>
      <c r="C44" s="115">
        <f t="shared" ref="C44:K44" si="7">C26+C36</f>
        <v>3500.62</v>
      </c>
      <c r="D44" s="115">
        <f t="shared" si="7"/>
        <v>3292.67</v>
      </c>
      <c r="E44" s="115">
        <f t="shared" si="7"/>
        <v>3097.81</v>
      </c>
      <c r="F44" s="115">
        <f t="shared" si="7"/>
        <v>3563.5299999999997</v>
      </c>
      <c r="G44" s="115">
        <f t="shared" si="7"/>
        <v>4175.3899999999994</v>
      </c>
      <c r="H44" s="115">
        <f t="shared" si="7"/>
        <v>4471.79</v>
      </c>
      <c r="I44" s="115">
        <f t="shared" si="7"/>
        <v>5337.4900000000007</v>
      </c>
      <c r="J44" s="115">
        <f t="shared" si="7"/>
        <v>4831.17</v>
      </c>
      <c r="K44" s="115">
        <f t="shared" si="7"/>
        <v>4141.93</v>
      </c>
    </row>
    <row r="45" spans="1:12" x14ac:dyDescent="0.35">
      <c r="A45" s="106"/>
      <c r="B45" s="123"/>
      <c r="C45" s="123"/>
      <c r="D45" s="123"/>
      <c r="E45" s="123"/>
      <c r="F45" s="123"/>
      <c r="G45" s="123"/>
      <c r="H45" s="123"/>
      <c r="I45" s="123"/>
      <c r="J45" s="123"/>
      <c r="K45" s="123"/>
    </row>
    <row r="46" spans="1:12" ht="16" thickBot="1" x14ac:dyDescent="0.4">
      <c r="A46" s="125" t="s">
        <v>181</v>
      </c>
      <c r="B46" s="126">
        <f t="shared" ref="B46:J46" si="8">B44-B23</f>
        <v>0</v>
      </c>
      <c r="C46" s="126">
        <f t="shared" si="8"/>
        <v>0</v>
      </c>
      <c r="D46" s="126">
        <f t="shared" si="8"/>
        <v>-0.3000000000001819</v>
      </c>
      <c r="E46" s="126">
        <f t="shared" si="8"/>
        <v>0</v>
      </c>
      <c r="F46" s="126">
        <f t="shared" si="8"/>
        <v>0</v>
      </c>
      <c r="G46" s="126">
        <f t="shared" si="8"/>
        <v>0</v>
      </c>
      <c r="H46" s="126">
        <f t="shared" si="8"/>
        <v>0</v>
      </c>
      <c r="I46" s="126">
        <f t="shared" si="8"/>
        <v>0</v>
      </c>
      <c r="J46" s="126">
        <f t="shared" si="8"/>
        <v>0</v>
      </c>
      <c r="K46" s="126">
        <f>K44-K23</f>
        <v>0</v>
      </c>
    </row>
  </sheetData>
  <mergeCells count="2">
    <mergeCell ref="A1:K1"/>
    <mergeCell ref="A2:K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3"/>
  <sheetViews>
    <sheetView workbookViewId="0">
      <selection sqref="A1:K1"/>
    </sheetView>
  </sheetViews>
  <sheetFormatPr defaultColWidth="9.1796875" defaultRowHeight="15.5" x14ac:dyDescent="0.35"/>
  <cols>
    <col min="1" max="1" width="49.54296875" style="3" bestFit="1" customWidth="1"/>
    <col min="2" max="9" width="8.26953125" style="3" bestFit="1" customWidth="1"/>
    <col min="10" max="11" width="7.08984375" style="3" bestFit="1" customWidth="1"/>
    <col min="12" max="12" width="20.453125" style="3" customWidth="1"/>
    <col min="13" max="13" width="18.26953125" style="3" customWidth="1"/>
    <col min="14" max="14" width="14.81640625" style="3" customWidth="1"/>
    <col min="15" max="16384" width="9.1796875" style="3"/>
  </cols>
  <sheetData>
    <row r="1" spans="1:48" ht="19" x14ac:dyDescent="0.4">
      <c r="A1" s="230" t="s">
        <v>193</v>
      </c>
      <c r="B1" s="244"/>
      <c r="C1" s="244"/>
      <c r="D1" s="244"/>
      <c r="E1" s="244"/>
      <c r="F1" s="244"/>
      <c r="G1" s="244"/>
      <c r="H1" s="244"/>
      <c r="I1" s="244"/>
      <c r="J1" s="244"/>
      <c r="K1" s="244"/>
    </row>
    <row r="2" spans="1:48" x14ac:dyDescent="0.35">
      <c r="A2" s="124" t="s">
        <v>109</v>
      </c>
      <c r="B2" s="119" t="s">
        <v>162</v>
      </c>
      <c r="C2" s="119" t="s">
        <v>161</v>
      </c>
      <c r="D2" s="119" t="s">
        <v>160</v>
      </c>
      <c r="E2" s="119" t="s">
        <v>155</v>
      </c>
      <c r="F2" s="119" t="s">
        <v>156</v>
      </c>
      <c r="G2" s="119" t="s">
        <v>157</v>
      </c>
      <c r="H2" s="119" t="s">
        <v>158</v>
      </c>
      <c r="I2" s="119" t="s">
        <v>159</v>
      </c>
      <c r="J2" s="119" t="s">
        <v>154</v>
      </c>
      <c r="K2" s="119" t="s">
        <v>153</v>
      </c>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x14ac:dyDescent="0.35">
      <c r="A3" s="66" t="s">
        <v>66</v>
      </c>
      <c r="B3" s="63"/>
      <c r="C3" s="63"/>
      <c r="D3" s="63"/>
      <c r="E3" s="63"/>
      <c r="F3" s="63"/>
      <c r="G3" s="63"/>
      <c r="H3" s="63"/>
      <c r="I3" s="63"/>
      <c r="J3" s="63"/>
      <c r="K3" s="63"/>
    </row>
    <row r="4" spans="1:48" x14ac:dyDescent="0.35">
      <c r="A4" s="128" t="s">
        <v>5</v>
      </c>
      <c r="B4" s="127">
        <f>'Balance Sheet'!B5/'Balance Sheet'!B$23</f>
        <v>4.3914393073027282E-2</v>
      </c>
      <c r="C4" s="127">
        <f>'Balance Sheet'!C5/'Balance Sheet'!C$23</f>
        <v>8.2728202432711916E-3</v>
      </c>
      <c r="D4" s="127">
        <f>'Balance Sheet'!D5/'Balance Sheet'!D$23</f>
        <v>9.2257141729198862E-3</v>
      </c>
      <c r="E4" s="127">
        <f>'Balance Sheet'!E5/'Balance Sheet'!E$23</f>
        <v>1.0068403162233968E-2</v>
      </c>
      <c r="F4" s="127">
        <f>'Balance Sheet'!F5/'Balance Sheet'!F$23</f>
        <v>1.750792051701543E-2</v>
      </c>
      <c r="G4" s="127">
        <f>'Balance Sheet'!G5/'Balance Sheet'!G$23</f>
        <v>1.4942316765619501E-2</v>
      </c>
      <c r="H4" s="127">
        <f>'Balance Sheet'!H5/'Balance Sheet'!H$23</f>
        <v>1.3951907401733979E-2</v>
      </c>
      <c r="I4" s="127">
        <f>'Balance Sheet'!I5/'Balance Sheet'!I$23</f>
        <v>1.1689014874032552E-2</v>
      </c>
      <c r="J4" s="127">
        <f>'Balance Sheet'!J5/'Balance Sheet'!J$23</f>
        <v>1.2924405475278244E-2</v>
      </c>
      <c r="K4" s="127">
        <f>'Balance Sheet'!K5/'Balance Sheet'!K$23</f>
        <v>1.5079926507690859E-2</v>
      </c>
      <c r="L4" s="2"/>
    </row>
    <row r="5" spans="1:48" x14ac:dyDescent="0.35">
      <c r="A5" s="128" t="s">
        <v>62</v>
      </c>
      <c r="B5" s="127">
        <f>'Balance Sheet'!B6/'Balance Sheet'!B$23</f>
        <v>0.38479006698251916</v>
      </c>
      <c r="C5" s="127">
        <f>'Balance Sheet'!C6/'Balance Sheet'!C$23</f>
        <v>0.18377887345670194</v>
      </c>
      <c r="D5" s="127">
        <f>'Balance Sheet'!D6/'Balance Sheet'!D$23</f>
        <v>0.17680999219549523</v>
      </c>
      <c r="E5" s="127">
        <f>'Balance Sheet'!E6/'Balance Sheet'!E$23</f>
        <v>0.11912286421697911</v>
      </c>
      <c r="F5" s="127">
        <f>'Balance Sheet'!F6/'Balance Sheet'!F$23</f>
        <v>0.16594500397078177</v>
      </c>
      <c r="G5" s="127">
        <f>'Balance Sheet'!G6/'Balance Sheet'!G$23</f>
        <v>0.21392492677330743</v>
      </c>
      <c r="H5" s="127">
        <f>'Balance Sheet'!H6/'Balance Sheet'!H$23</f>
        <v>0.30852298520279348</v>
      </c>
      <c r="I5" s="127">
        <f>'Balance Sheet'!I6/'Balance Sheet'!I$23</f>
        <v>0.3004445909968918</v>
      </c>
      <c r="J5" s="127">
        <f>'Balance Sheet'!J6/'Balance Sheet'!J$23</f>
        <v>0.36341921315126563</v>
      </c>
      <c r="K5" s="127">
        <f>'Balance Sheet'!K6/'Balance Sheet'!K$23</f>
        <v>0.60248241761690802</v>
      </c>
      <c r="L5" s="2"/>
    </row>
    <row r="6" spans="1:48" x14ac:dyDescent="0.35">
      <c r="A6" s="67" t="s">
        <v>10</v>
      </c>
      <c r="B6" s="131">
        <f>'Balance Sheet'!B7/'Balance Sheet'!B$23</f>
        <v>0.42870446005554652</v>
      </c>
      <c r="C6" s="131">
        <f>'Balance Sheet'!C7/'Balance Sheet'!C$23</f>
        <v>0.19205169369997316</v>
      </c>
      <c r="D6" s="131">
        <f>'Balance Sheet'!D7/'Balance Sheet'!D$23</f>
        <v>0.18603570636841513</v>
      </c>
      <c r="E6" s="131">
        <f>'Balance Sheet'!E7/'Balance Sheet'!E$23</f>
        <v>0.12919126737921308</v>
      </c>
      <c r="F6" s="131">
        <f>'Balance Sheet'!F7/'Balance Sheet'!F$23</f>
        <v>0.18345292448779721</v>
      </c>
      <c r="G6" s="131">
        <f>'Balance Sheet'!G7/'Balance Sheet'!G$23</f>
        <v>0.22886724353892693</v>
      </c>
      <c r="H6" s="131">
        <f>'Balance Sheet'!H7/'Balance Sheet'!H$23</f>
        <v>0.3224748926045275</v>
      </c>
      <c r="I6" s="131">
        <f>'Balance Sheet'!I7/'Balance Sheet'!I$23</f>
        <v>0.31213360587092437</v>
      </c>
      <c r="J6" s="131">
        <f>'Balance Sheet'!J7/'Balance Sheet'!J$23</f>
        <v>0.37634361862654386</v>
      </c>
      <c r="K6" s="131">
        <f>'Balance Sheet'!K7/'Balance Sheet'!K$23</f>
        <v>0.61756234412459887</v>
      </c>
      <c r="L6" s="2"/>
    </row>
    <row r="7" spans="1:48" x14ac:dyDescent="0.35">
      <c r="A7" s="68"/>
      <c r="B7" s="64"/>
      <c r="C7" s="64"/>
      <c r="D7" s="64"/>
      <c r="E7" s="64"/>
      <c r="F7" s="64"/>
      <c r="G7" s="64"/>
      <c r="H7" s="64"/>
      <c r="I7" s="64"/>
      <c r="J7" s="64"/>
      <c r="K7" s="64"/>
      <c r="L7" s="2"/>
    </row>
    <row r="8" spans="1:48" x14ac:dyDescent="0.35">
      <c r="A8" s="67" t="s">
        <v>6</v>
      </c>
      <c r="B8" s="131">
        <f>'Balance Sheet'!B9/'Balance Sheet'!B$23</f>
        <v>0</v>
      </c>
      <c r="C8" s="131">
        <f>'Balance Sheet'!C9/'Balance Sheet'!C$23</f>
        <v>5.1248064628551509E-3</v>
      </c>
      <c r="D8" s="131">
        <f>'Balance Sheet'!D9/'Balance Sheet'!D$23</f>
        <v>7.3489889066708771E-4</v>
      </c>
      <c r="E8" s="131">
        <f>'Balance Sheet'!E9/'Balance Sheet'!E$23</f>
        <v>6.4561738776748755E-5</v>
      </c>
      <c r="F8" s="131">
        <f>'Balance Sheet'!F9/'Balance Sheet'!F$23</f>
        <v>1.6275995992737536E-4</v>
      </c>
      <c r="G8" s="131">
        <f>'Balance Sheet'!G9/'Balance Sheet'!G$23</f>
        <v>2.1554872718476598E-5</v>
      </c>
      <c r="H8" s="131">
        <f>'Balance Sheet'!H9/'Balance Sheet'!H$23</f>
        <v>2.0126168715436096E-5</v>
      </c>
      <c r="I8" s="131">
        <f>'Balance Sheet'!I9/'Balance Sheet'!I$23</f>
        <v>2.0608937909017161E-5</v>
      </c>
      <c r="J8" s="131">
        <f>'Balance Sheet'!J9/'Balance Sheet'!J$23</f>
        <v>1.8629027751041673E-5</v>
      </c>
      <c r="K8" s="131">
        <f>'Balance Sheet'!K9/'Balance Sheet'!K$23</f>
        <v>2.0376974019358121E-3</v>
      </c>
      <c r="L8" s="2"/>
    </row>
    <row r="9" spans="1:48" x14ac:dyDescent="0.35">
      <c r="A9" s="68"/>
      <c r="B9" s="64"/>
      <c r="C9" s="64"/>
      <c r="D9" s="64"/>
      <c r="E9" s="64"/>
      <c r="F9" s="64"/>
      <c r="G9" s="64"/>
      <c r="H9" s="64"/>
      <c r="I9" s="64"/>
      <c r="J9" s="64"/>
      <c r="K9" s="64"/>
      <c r="L9" s="2"/>
    </row>
    <row r="10" spans="1:48" x14ac:dyDescent="0.35">
      <c r="A10" s="67" t="s">
        <v>63</v>
      </c>
      <c r="B10" s="131">
        <f>'Balance Sheet'!B11/'Balance Sheet'!B$23</f>
        <v>8.5639601372324778E-2</v>
      </c>
      <c r="C10" s="131">
        <f>'Balance Sheet'!C11/'Balance Sheet'!C$23</f>
        <v>0.24665630659711707</v>
      </c>
      <c r="D10" s="131">
        <f>'Balance Sheet'!D11/'Balance Sheet'!D$23</f>
        <v>0.20829524714771161</v>
      </c>
      <c r="E10" s="131">
        <f>'Balance Sheet'!E11/'Balance Sheet'!E$23</f>
        <v>0.2400276324241965</v>
      </c>
      <c r="F10" s="131">
        <f>'Balance Sheet'!F11/'Balance Sheet'!F$23</f>
        <v>0.25871537492318009</v>
      </c>
      <c r="G10" s="131">
        <f>'Balance Sheet'!G11/'Balance Sheet'!G$23</f>
        <v>0.19438902713279479</v>
      </c>
      <c r="H10" s="131">
        <f>'Balance Sheet'!H11/'Balance Sheet'!H$23</f>
        <v>0.25732872071362917</v>
      </c>
      <c r="I10" s="131">
        <f>'Balance Sheet'!I11/'Balance Sheet'!I$23</f>
        <v>0.222289877826469</v>
      </c>
      <c r="J10" s="131">
        <f>'Balance Sheet'!J11/'Balance Sheet'!J$23</f>
        <v>0.14395891678413303</v>
      </c>
      <c r="K10" s="131">
        <f>'Balance Sheet'!K11/'Balance Sheet'!K$23</f>
        <v>2.2728534765194E-2</v>
      </c>
      <c r="L10" s="2"/>
    </row>
    <row r="11" spans="1:48" x14ac:dyDescent="0.35">
      <c r="A11" s="128" t="s">
        <v>64</v>
      </c>
      <c r="B11" s="127">
        <f>'Balance Sheet'!B12/'Balance Sheet'!B$23</f>
        <v>6.6312694004247663E-2</v>
      </c>
      <c r="C11" s="127">
        <f>'Balance Sheet'!C12/'Balance Sheet'!C$23</f>
        <v>0.24665630659711707</v>
      </c>
      <c r="D11" s="127">
        <f>'Balance Sheet'!D12/'Balance Sheet'!D$23</f>
        <v>0.20829524714771161</v>
      </c>
      <c r="E11" s="127">
        <f>'Balance Sheet'!E12/'Balance Sheet'!E$23</f>
        <v>0.2260145070227032</v>
      </c>
      <c r="F11" s="127">
        <f>'Balance Sheet'!F12/'Balance Sheet'!F$23</f>
        <v>0.16318930947683896</v>
      </c>
      <c r="G11" s="127">
        <f>'Balance Sheet'!G12/'Balance Sheet'!G$23</f>
        <v>0.10505365965813973</v>
      </c>
      <c r="H11" s="127">
        <f>'Balance Sheet'!H12/'Balance Sheet'!H$23</f>
        <v>0.16600958452879044</v>
      </c>
      <c r="I11" s="127">
        <f>'Balance Sheet'!I12/'Balance Sheet'!I$23</f>
        <v>0.13219134836786581</v>
      </c>
      <c r="J11" s="127">
        <f>'Balance Sheet'!J12/'Balance Sheet'!J$23</f>
        <v>4.6862354253731496E-2</v>
      </c>
      <c r="K11" s="127">
        <f>'Balance Sheet'!K12/'Balance Sheet'!K$23</f>
        <v>4.0319368024085387E-4</v>
      </c>
      <c r="L11" s="2"/>
    </row>
    <row r="12" spans="1:48" x14ac:dyDescent="0.35">
      <c r="A12" s="128" t="s">
        <v>172</v>
      </c>
      <c r="B12" s="127">
        <f>'Balance Sheet'!B13/'Balance Sheet'!B$23</f>
        <v>1.9326907368077111E-2</v>
      </c>
      <c r="C12" s="127">
        <f>'Balance Sheet'!C13/'Balance Sheet'!C$23</f>
        <v>0</v>
      </c>
      <c r="D12" s="127">
        <f>'Balance Sheet'!D13/'Balance Sheet'!D$23</f>
        <v>0</v>
      </c>
      <c r="E12" s="127">
        <f>'Balance Sheet'!E13/'Balance Sheet'!E$23</f>
        <v>1.4013125401493314E-2</v>
      </c>
      <c r="F12" s="127">
        <f>'Balance Sheet'!F13/'Balance Sheet'!F$23</f>
        <v>1.567266165852399E-2</v>
      </c>
      <c r="G12" s="127">
        <f>'Balance Sheet'!G13/'Balance Sheet'!G$23</f>
        <v>1.331851635416093E-2</v>
      </c>
      <c r="H12" s="127">
        <f>'Balance Sheet'!H13/'Balance Sheet'!H$23</f>
        <v>1.3842331594283271E-2</v>
      </c>
      <c r="I12" s="127">
        <f>'Balance Sheet'!I13/'Balance Sheet'!I$23</f>
        <v>9.6936949764777087E-3</v>
      </c>
      <c r="J12" s="127">
        <f>'Balance Sheet'!J13/'Balance Sheet'!J$23</f>
        <v>8.9771214840297479E-3</v>
      </c>
      <c r="K12" s="127">
        <f>'Balance Sheet'!K13/'Balance Sheet'!K$23</f>
        <v>1.8085771608887642E-2</v>
      </c>
      <c r="L12" s="2"/>
    </row>
    <row r="13" spans="1:48" x14ac:dyDescent="0.35">
      <c r="A13" s="128" t="s">
        <v>173</v>
      </c>
      <c r="B13" s="127">
        <f>'Balance Sheet'!B14/'Balance Sheet'!B$23</f>
        <v>0</v>
      </c>
      <c r="C13" s="127">
        <f>'Balance Sheet'!C14/'Balance Sheet'!C$23</f>
        <v>0</v>
      </c>
      <c r="D13" s="127">
        <f>'Balance Sheet'!D14/'Balance Sheet'!D$23</f>
        <v>0</v>
      </c>
      <c r="E13" s="127">
        <f>'Balance Sheet'!E14/'Balance Sheet'!E$23</f>
        <v>0</v>
      </c>
      <c r="F13" s="127">
        <f>'Balance Sheet'!F14/'Balance Sheet'!F$23</f>
        <v>3.8276652644989658E-3</v>
      </c>
      <c r="G13" s="127">
        <f>'Balance Sheet'!G14/'Balance Sheet'!G$23</f>
        <v>3.6978581641475411E-3</v>
      </c>
      <c r="H13" s="127">
        <f>'Balance Sheet'!H14/'Balance Sheet'!H$23</f>
        <v>7.4377374608378278E-3</v>
      </c>
      <c r="I13" s="127">
        <f>'Balance Sheet'!I14/'Balance Sheet'!I$23</f>
        <v>7.5503654339399229E-3</v>
      </c>
      <c r="J13" s="127">
        <f>'Balance Sheet'!J14/'Balance Sheet'!J$23</f>
        <v>2.8150530823796308E-4</v>
      </c>
      <c r="K13" s="127">
        <f>'Balance Sheet'!K14/'Balance Sheet'!K$23</f>
        <v>9.9711970023636312E-4</v>
      </c>
      <c r="L13" s="2"/>
    </row>
    <row r="14" spans="1:48" x14ac:dyDescent="0.35">
      <c r="A14" s="128" t="s">
        <v>174</v>
      </c>
      <c r="B14" s="127">
        <f>'Balance Sheet'!B15/'Balance Sheet'!B$23</f>
        <v>0</v>
      </c>
      <c r="C14" s="127">
        <f>'Balance Sheet'!C15/'Balance Sheet'!C$23</f>
        <v>0</v>
      </c>
      <c r="D14" s="127">
        <f>'Balance Sheet'!D15/'Balance Sheet'!D$23</f>
        <v>0</v>
      </c>
      <c r="E14" s="127">
        <f>'Balance Sheet'!E15/'Balance Sheet'!E$23</f>
        <v>0</v>
      </c>
      <c r="F14" s="127">
        <f>'Balance Sheet'!F15/'Balance Sheet'!F$23</f>
        <v>7.6025738523318176E-2</v>
      </c>
      <c r="G14" s="127">
        <f>'Balance Sheet'!G15/'Balance Sheet'!G$23</f>
        <v>7.2318992956346598E-2</v>
      </c>
      <c r="H14" s="127">
        <f>'Balance Sheet'!H15/'Balance Sheet'!H$23</f>
        <v>7.0039067129717608E-2</v>
      </c>
      <c r="I14" s="127">
        <f>'Balance Sheet'!I15/'Balance Sheet'!I$23</f>
        <v>7.2854469048185572E-2</v>
      </c>
      <c r="J14" s="127">
        <f>'Balance Sheet'!J15/'Balance Sheet'!J$23</f>
        <v>8.7837935738133824E-2</v>
      </c>
      <c r="K14" s="127">
        <f>'Balance Sheet'!K15/'Balance Sheet'!K$23</f>
        <v>3.2424497758291424E-3</v>
      </c>
      <c r="L14" s="2"/>
    </row>
    <row r="15" spans="1:48" x14ac:dyDescent="0.35">
      <c r="A15" s="128"/>
      <c r="B15" s="130"/>
      <c r="C15" s="130"/>
      <c r="D15" s="130"/>
      <c r="E15" s="130"/>
      <c r="F15" s="130"/>
      <c r="G15" s="130"/>
      <c r="H15" s="130"/>
      <c r="I15" s="130"/>
      <c r="J15" s="130"/>
      <c r="K15" s="130"/>
      <c r="L15" s="2"/>
    </row>
    <row r="16" spans="1:48" x14ac:dyDescent="0.35">
      <c r="A16" s="67" t="s">
        <v>9</v>
      </c>
      <c r="B16" s="131">
        <f>'Balance Sheet'!B17/'Balance Sheet'!B$23</f>
        <v>0.48565593857212869</v>
      </c>
      <c r="C16" s="131">
        <f>'Balance Sheet'!C17/'Balance Sheet'!C$23</f>
        <v>0.5561671932400547</v>
      </c>
      <c r="D16" s="131">
        <f>'Balance Sheet'!D17/'Balance Sheet'!D$23</f>
        <v>0.60493414759320618</v>
      </c>
      <c r="E16" s="131">
        <f>'Balance Sheet'!E17/'Balance Sheet'!E$23</f>
        <v>0.63071653845781372</v>
      </c>
      <c r="F16" s="131">
        <f>'Balance Sheet'!F17/'Balance Sheet'!F$23</f>
        <v>0.55766894062909522</v>
      </c>
      <c r="G16" s="131">
        <f>'Balance Sheet'!G17/'Balance Sheet'!G$23</f>
        <v>0.57672217445555995</v>
      </c>
      <c r="H16" s="131">
        <f>'Balance Sheet'!H17/'Balance Sheet'!H$23</f>
        <v>0.42017626051312779</v>
      </c>
      <c r="I16" s="131">
        <f>'Balance Sheet'!I17/'Balance Sheet'!I$23</f>
        <v>0.4655559073646976</v>
      </c>
      <c r="J16" s="131">
        <f>'Balance Sheet'!J17/'Balance Sheet'!J$23</f>
        <v>0.47967883556157198</v>
      </c>
      <c r="K16" s="131">
        <f>'Balance Sheet'!K17/'Balance Sheet'!K$23</f>
        <v>0.35767142370827126</v>
      </c>
      <c r="L16" s="2"/>
    </row>
    <row r="17" spans="1:12" x14ac:dyDescent="0.35">
      <c r="A17" s="128" t="s">
        <v>68</v>
      </c>
      <c r="B17" s="127">
        <f>'Balance Sheet'!B18/'Balance Sheet'!B$23</f>
        <v>2.5257310896912268E-2</v>
      </c>
      <c r="C17" s="127">
        <f>'Balance Sheet'!C18/'Balance Sheet'!C$23</f>
        <v>0.12362381520987709</v>
      </c>
      <c r="D17" s="127">
        <f>'Balance Sheet'!D18/'Balance Sheet'!D$23</f>
        <v>0.16456876315301988</v>
      </c>
      <c r="E17" s="127">
        <f>'Balance Sheet'!E18/'Balance Sheet'!E$23</f>
        <v>0.11821577178716573</v>
      </c>
      <c r="F17" s="127">
        <f>'Balance Sheet'!F18/'Balance Sheet'!F$23</f>
        <v>0.10533936854747959</v>
      </c>
      <c r="G17" s="127">
        <f>'Balance Sheet'!G18/'Balance Sheet'!G$23</f>
        <v>0.10295325706101707</v>
      </c>
      <c r="H17" s="127">
        <f>'Balance Sheet'!H18/'Balance Sheet'!H$23</f>
        <v>2.0537637053618347E-2</v>
      </c>
      <c r="I17" s="127">
        <f>'Balance Sheet'!I18/'Balance Sheet'!I$23</f>
        <v>2.2180837809532197E-2</v>
      </c>
      <c r="J17" s="127">
        <f>'Balance Sheet'!J18/'Balance Sheet'!J$23</f>
        <v>1.4412657803389239E-2</v>
      </c>
      <c r="K17" s="127">
        <f>'Balance Sheet'!K18/'Balance Sheet'!K$23</f>
        <v>2.0229699681066558E-2</v>
      </c>
      <c r="L17" s="2"/>
    </row>
    <row r="18" spans="1:12" x14ac:dyDescent="0.35">
      <c r="A18" s="128" t="s">
        <v>65</v>
      </c>
      <c r="B18" s="127">
        <f>'Balance Sheet'!B19/'Balance Sheet'!B$23</f>
        <v>0.29619343244567881</v>
      </c>
      <c r="C18" s="127">
        <f>'Balance Sheet'!C19/'Balance Sheet'!C$23</f>
        <v>0.21299084162234116</v>
      </c>
      <c r="D18" s="127">
        <f>'Balance Sheet'!D19/'Balance Sheet'!D$23</f>
        <v>0.18895708129743058</v>
      </c>
      <c r="E18" s="127">
        <f>'Balance Sheet'!E19/'Balance Sheet'!E$23</f>
        <v>0.20963519389504198</v>
      </c>
      <c r="F18" s="127">
        <f>'Balance Sheet'!F19/'Balance Sheet'!F$23</f>
        <v>0.22949154349759926</v>
      </c>
      <c r="G18" s="127">
        <f>'Balance Sheet'!G19/'Balance Sheet'!G$23</f>
        <v>0.25624432687724985</v>
      </c>
      <c r="H18" s="127">
        <f>'Balance Sheet'!H19/'Balance Sheet'!H$23</f>
        <v>0.20860997497646352</v>
      </c>
      <c r="I18" s="127">
        <f>'Balance Sheet'!I19/'Balance Sheet'!I$23</f>
        <v>0.22430205958231306</v>
      </c>
      <c r="J18" s="127">
        <f>'Balance Sheet'!J19/'Balance Sheet'!J$23</f>
        <v>0.21756841510441569</v>
      </c>
      <c r="K18" s="127">
        <f>'Balance Sheet'!K19/'Balance Sheet'!K$23</f>
        <v>0.12562501056270869</v>
      </c>
      <c r="L18" s="2"/>
    </row>
    <row r="19" spans="1:12" x14ac:dyDescent="0.35">
      <c r="A19" s="128" t="s">
        <v>77</v>
      </c>
      <c r="B19" s="127">
        <f>'Balance Sheet'!B20/'Balance Sheet'!B$23</f>
        <v>0.11233458585198496</v>
      </c>
      <c r="C19" s="127">
        <f>'Balance Sheet'!C20/'Balance Sheet'!C$23</f>
        <v>0.20556644251589717</v>
      </c>
      <c r="D19" s="127">
        <f>'Balance Sheet'!D20/'Balance Sheet'!D$23</f>
        <v>0.23419587788531326</v>
      </c>
      <c r="E19" s="127">
        <f>'Balance Sheet'!E20/'Balance Sheet'!E$23</f>
        <v>0.29250018561499908</v>
      </c>
      <c r="F19" s="127">
        <f>'Balance Sheet'!F20/'Balance Sheet'!F$23</f>
        <v>0.18931508925138835</v>
      </c>
      <c r="G19" s="127">
        <f>'Balance Sheet'!G20/'Balance Sheet'!G$23</f>
        <v>0.16779510416990989</v>
      </c>
      <c r="H19" s="127">
        <f>'Balance Sheet'!H20/'Balance Sheet'!H$23</f>
        <v>0.14393341368892543</v>
      </c>
      <c r="I19" s="127">
        <f>'Balance Sheet'!I20/'Balance Sheet'!I$23</f>
        <v>0.15466445838774406</v>
      </c>
      <c r="J19" s="127">
        <f>'Balance Sheet'!J20/'Balance Sheet'!J$23</f>
        <v>0.16900253975745005</v>
      </c>
      <c r="K19" s="127">
        <f>'Balance Sheet'!K20/'Balance Sheet'!K$23</f>
        <v>0.1129280311352437</v>
      </c>
      <c r="L19" s="2"/>
    </row>
    <row r="20" spans="1:12" x14ac:dyDescent="0.35">
      <c r="A20" s="128" t="s">
        <v>76</v>
      </c>
      <c r="B20" s="127">
        <f>'Balance Sheet'!B21/'Balance Sheet'!B$23</f>
        <v>5.1870609377552689E-2</v>
      </c>
      <c r="C20" s="127">
        <f>'Balance Sheet'!C21/'Balance Sheet'!C$23</f>
        <v>1.398609389193914E-2</v>
      </c>
      <c r="D20" s="127">
        <f>'Balance Sheet'!D21/'Balance Sheet'!D$23</f>
        <v>1.7212425257442369E-2</v>
      </c>
      <c r="E20" s="127">
        <f>'Balance Sheet'!E21/'Balance Sheet'!E$23</f>
        <v>1.0365387160607011E-2</v>
      </c>
      <c r="F20" s="127">
        <f>'Balance Sheet'!F21/'Balance Sheet'!F$23</f>
        <v>3.3522939332628038E-2</v>
      </c>
      <c r="G20" s="127">
        <f>'Balance Sheet'!G21/'Balance Sheet'!G$23</f>
        <v>4.9729486347383126E-2</v>
      </c>
      <c r="H20" s="127">
        <f>'Balance Sheet'!H21/'Balance Sheet'!H$23</f>
        <v>4.7095234794120464E-2</v>
      </c>
      <c r="I20" s="127">
        <f>'Balance Sheet'!I21/'Balance Sheet'!I$23</f>
        <v>6.4408551585108359E-2</v>
      </c>
      <c r="J20" s="127">
        <f>'Balance Sheet'!J21/'Balance Sheet'!J$23</f>
        <v>7.8695222896317044E-2</v>
      </c>
      <c r="K20" s="127">
        <f>'Balance Sheet'!K21/'Balance Sheet'!K$23</f>
        <v>9.8888682329252298E-2</v>
      </c>
      <c r="L20" s="2"/>
    </row>
    <row r="21" spans="1:12" x14ac:dyDescent="0.35">
      <c r="A21" s="69"/>
      <c r="B21" s="41"/>
      <c r="C21" s="41"/>
      <c r="D21" s="41"/>
      <c r="E21" s="41"/>
      <c r="F21" s="41"/>
      <c r="G21" s="41"/>
      <c r="H21" s="41"/>
      <c r="I21" s="41"/>
      <c r="J21" s="41"/>
      <c r="K21" s="41"/>
      <c r="L21" s="6"/>
    </row>
    <row r="22" spans="1:12" x14ac:dyDescent="0.35">
      <c r="A22" s="114" t="s">
        <v>180</v>
      </c>
      <c r="B22" s="132">
        <f>B6+B8+B10+B16</f>
        <v>1</v>
      </c>
      <c r="C22" s="132">
        <f t="shared" ref="C22:K22" si="0">C6+C8+C10+C16</f>
        <v>1</v>
      </c>
      <c r="D22" s="132">
        <f t="shared" si="0"/>
        <v>1</v>
      </c>
      <c r="E22" s="132">
        <f t="shared" si="0"/>
        <v>1</v>
      </c>
      <c r="F22" s="132">
        <f t="shared" si="0"/>
        <v>0.99999999999999989</v>
      </c>
      <c r="G22" s="132">
        <f t="shared" si="0"/>
        <v>1.0000000000000002</v>
      </c>
      <c r="H22" s="132">
        <f t="shared" si="0"/>
        <v>1</v>
      </c>
      <c r="I22" s="132">
        <f t="shared" si="0"/>
        <v>1</v>
      </c>
      <c r="J22" s="132">
        <f t="shared" si="0"/>
        <v>0.99999999999999989</v>
      </c>
      <c r="K22" s="132">
        <f t="shared" si="0"/>
        <v>1</v>
      </c>
      <c r="L22" s="6"/>
    </row>
    <row r="23" spans="1:12" x14ac:dyDescent="0.35">
      <c r="A23" s="69"/>
      <c r="B23" s="41"/>
      <c r="C23" s="41"/>
      <c r="D23" s="41"/>
      <c r="E23" s="41"/>
      <c r="F23" s="41"/>
      <c r="G23" s="41"/>
      <c r="H23" s="41"/>
      <c r="I23" s="41"/>
      <c r="J23" s="41"/>
      <c r="K23" s="41"/>
      <c r="L23" s="6"/>
    </row>
    <row r="24" spans="1:12" x14ac:dyDescent="0.35">
      <c r="A24" s="66" t="s">
        <v>67</v>
      </c>
      <c r="B24" s="65"/>
      <c r="C24" s="65"/>
      <c r="D24" s="65"/>
      <c r="E24" s="65"/>
      <c r="F24" s="65"/>
      <c r="G24" s="65"/>
      <c r="H24" s="65"/>
      <c r="I24" s="65"/>
      <c r="J24" s="65"/>
      <c r="K24" s="65"/>
      <c r="L24" s="2"/>
    </row>
    <row r="25" spans="1:12" x14ac:dyDescent="0.35">
      <c r="A25" s="67" t="s">
        <v>69</v>
      </c>
      <c r="B25" s="131">
        <f>'Balance Sheet'!B26/'Balance Sheet'!B$44</f>
        <v>0.43412841039045902</v>
      </c>
      <c r="C25" s="131">
        <f>'Balance Sheet'!C26/'Balance Sheet'!C$44</f>
        <v>0.36364986773771496</v>
      </c>
      <c r="D25" s="131">
        <f>'Balance Sheet'!D26/'Balance Sheet'!D$44</f>
        <v>0.4144448122648185</v>
      </c>
      <c r="E25" s="131">
        <f>'Balance Sheet'!E26/'Balance Sheet'!E$44</f>
        <v>0.42286970472688773</v>
      </c>
      <c r="F25" s="131">
        <f>'Balance Sheet'!F26/'Balance Sheet'!F$44</f>
        <v>0.39148821533703942</v>
      </c>
      <c r="G25" s="131">
        <f>'Balance Sheet'!G26/'Balance Sheet'!G$44</f>
        <v>0.36011486352173094</v>
      </c>
      <c r="H25" s="131">
        <f>'Balance Sheet'!H26/'Balance Sheet'!H$44</f>
        <v>0.35775159388075028</v>
      </c>
      <c r="I25" s="131">
        <f>'Balance Sheet'!I26/'Balance Sheet'!I$44</f>
        <v>0.32421044348560835</v>
      </c>
      <c r="J25" s="131">
        <f>'Balance Sheet'!J26/'Balance Sheet'!J$44</f>
        <v>0.38706979882719922</v>
      </c>
      <c r="K25" s="131">
        <f>'Balance Sheet'!K26/'Balance Sheet'!K$44</f>
        <v>0.35098372014978524</v>
      </c>
      <c r="L25" s="2"/>
    </row>
    <row r="26" spans="1:12" x14ac:dyDescent="0.35">
      <c r="A26" s="128" t="s">
        <v>70</v>
      </c>
      <c r="B26" s="127">
        <f>'Balance Sheet'!B27/'Balance Sheet'!B$44</f>
        <v>0.34775363502695633</v>
      </c>
      <c r="C26" s="127">
        <f>'Balance Sheet'!C27/'Balance Sheet'!C$44</f>
        <v>0.19661659934525882</v>
      </c>
      <c r="D26" s="127">
        <f>'Balance Sheet'!D27/'Balance Sheet'!D$44</f>
        <v>0.24838201216641814</v>
      </c>
      <c r="E26" s="127">
        <f>'Balance Sheet'!E27/'Balance Sheet'!E$44</f>
        <v>0.27658894509346926</v>
      </c>
      <c r="F26" s="127">
        <f>'Balance Sheet'!F27/'Balance Sheet'!F$44</f>
        <v>0.27021520795391085</v>
      </c>
      <c r="G26" s="127">
        <f>'Balance Sheet'!G27/'Balance Sheet'!G$44</f>
        <v>0.23677309185489262</v>
      </c>
      <c r="H26" s="127">
        <f>'Balance Sheet'!H27/'Balance Sheet'!H$44</f>
        <v>0.24430932579571044</v>
      </c>
      <c r="I26" s="127">
        <f>'Balance Sheet'!I27/'Balance Sheet'!I$44</f>
        <v>0.21127533728400427</v>
      </c>
      <c r="J26" s="127">
        <f>'Balance Sheet'!J27/'Balance Sheet'!J$44</f>
        <v>0.23979491510338075</v>
      </c>
      <c r="K26" s="127">
        <f>'Balance Sheet'!K27/'Balance Sheet'!K$44</f>
        <v>0.2577276776768318</v>
      </c>
      <c r="L26" s="2"/>
    </row>
    <row r="27" spans="1:12" x14ac:dyDescent="0.35">
      <c r="A27" s="129" t="s">
        <v>71</v>
      </c>
      <c r="B27" s="127">
        <f>'Balance Sheet'!B28/'Balance Sheet'!B$44</f>
        <v>2.123835974513968E-4</v>
      </c>
      <c r="C27" s="127">
        <f>'Balance Sheet'!C28/'Balance Sheet'!C$44</f>
        <v>1.2420656912204123E-2</v>
      </c>
      <c r="D27" s="127">
        <f>'Balance Sheet'!D28/'Balance Sheet'!D$44</f>
        <v>1.0793672004786389E-2</v>
      </c>
      <c r="E27" s="127">
        <f>'Balance Sheet'!E28/'Balance Sheet'!E$44</f>
        <v>9.8585775112095316E-3</v>
      </c>
      <c r="F27" s="127">
        <f>'Balance Sheet'!F28/'Balance Sheet'!F$44</f>
        <v>9.1426198179894655E-3</v>
      </c>
      <c r="G27" s="127">
        <f>'Balance Sheet'!G28/'Balance Sheet'!G$44</f>
        <v>9.5200687839938312E-3</v>
      </c>
      <c r="H27" s="127">
        <f>'Balance Sheet'!H28/'Balance Sheet'!H$44</f>
        <v>8.5290230534081427E-3</v>
      </c>
      <c r="I27" s="127">
        <f>'Balance Sheet'!I28/'Balance Sheet'!I$44</f>
        <v>6.5068037598196892E-3</v>
      </c>
      <c r="J27" s="127">
        <f>'Balance Sheet'!J28/'Balance Sheet'!J$44</f>
        <v>5.056746088421645E-3</v>
      </c>
      <c r="K27" s="127">
        <f>'Balance Sheet'!K28/'Balance Sheet'!K$44</f>
        <v>2.6605954229067122E-3</v>
      </c>
      <c r="L27" s="2"/>
    </row>
    <row r="28" spans="1:12" x14ac:dyDescent="0.35">
      <c r="A28" s="129" t="s">
        <v>89</v>
      </c>
      <c r="B28" s="127">
        <f>'Balance Sheet'!B29/'Balance Sheet'!B$44</f>
        <v>4.7802646626368232E-2</v>
      </c>
      <c r="C28" s="127">
        <f>'Balance Sheet'!C29/'Balance Sheet'!C$44</f>
        <v>2.8720626631853787E-2</v>
      </c>
      <c r="D28" s="127">
        <f>'Balance Sheet'!D29/'Balance Sheet'!D$44</f>
        <v>9.3541107976201684E-3</v>
      </c>
      <c r="E28" s="127">
        <f>'Balance Sheet'!E29/'Balance Sheet'!E$44</f>
        <v>1.0849600201432625E-2</v>
      </c>
      <c r="F28" s="127">
        <f>'Balance Sheet'!F29/'Balance Sheet'!F$44</f>
        <v>6.9874534520545642E-3</v>
      </c>
      <c r="G28" s="127">
        <f>'Balance Sheet'!G29/'Balance Sheet'!G$44</f>
        <v>1.5866781306656388E-2</v>
      </c>
      <c r="H28" s="127">
        <f>'Balance Sheet'!H29/'Balance Sheet'!H$44</f>
        <v>5.5660037703022733E-3</v>
      </c>
      <c r="I28" s="127">
        <f>'Balance Sheet'!I29/'Balance Sheet'!I$44</f>
        <v>8.320390295813199E-3</v>
      </c>
      <c r="J28" s="127">
        <f>'Balance Sheet'!J29/'Balance Sheet'!J$44</f>
        <v>7.9276862540544005E-3</v>
      </c>
      <c r="K28" s="127">
        <f>'Balance Sheet'!K29/'Balance Sheet'!K$44</f>
        <v>5.1570161736195436E-3</v>
      </c>
      <c r="L28" s="2"/>
    </row>
    <row r="29" spans="1:12" x14ac:dyDescent="0.35">
      <c r="A29" s="129" t="s">
        <v>176</v>
      </c>
      <c r="B29" s="127">
        <f>'Balance Sheet'!B30/'Balance Sheet'!B$44</f>
        <v>0</v>
      </c>
      <c r="C29" s="127">
        <f>'Balance Sheet'!C30/'Balance Sheet'!C$44</f>
        <v>9.5585924779039155E-2</v>
      </c>
      <c r="D29" s="127">
        <f>'Balance Sheet'!D30/'Balance Sheet'!D$44</f>
        <v>0.10869598228793045</v>
      </c>
      <c r="E29" s="127">
        <f>'Balance Sheet'!E30/'Balance Sheet'!E$44</f>
        <v>0.10368615247545847</v>
      </c>
      <c r="F29" s="127">
        <f>'Balance Sheet'!F30/'Balance Sheet'!F$44</f>
        <v>9.412296234351894E-2</v>
      </c>
      <c r="G29" s="127">
        <f>'Balance Sheet'!G30/'Balance Sheet'!G$44</f>
        <v>8.6808657394878086E-2</v>
      </c>
      <c r="H29" s="127">
        <f>'Balance Sheet'!H30/'Balance Sheet'!H$44</f>
        <v>8.2615686335896818E-2</v>
      </c>
      <c r="I29" s="127">
        <f>'Balance Sheet'!I30/'Balance Sheet'!I$44</f>
        <v>8.2055423054656768E-2</v>
      </c>
      <c r="J29" s="127">
        <f>'Balance Sheet'!J30/'Balance Sheet'!J$44</f>
        <v>7.4114551961533132E-2</v>
      </c>
      <c r="K29" s="127">
        <f>'Balance Sheet'!K30/'Balance Sheet'!K$44</f>
        <v>4.9252401658164179E-3</v>
      </c>
      <c r="L29" s="2"/>
    </row>
    <row r="30" spans="1:12" x14ac:dyDescent="0.35">
      <c r="A30" s="128" t="s">
        <v>72</v>
      </c>
      <c r="B30" s="127">
        <f>'Balance Sheet'!B31/'Balance Sheet'!B$44</f>
        <v>0</v>
      </c>
      <c r="C30" s="127">
        <f>'Balance Sheet'!C31/'Balance Sheet'!C$44</f>
        <v>0</v>
      </c>
      <c r="D30" s="127">
        <f>'Balance Sheet'!D31/'Balance Sheet'!D$44</f>
        <v>0</v>
      </c>
      <c r="E30" s="127">
        <f>'Balance Sheet'!E31/'Balance Sheet'!E$44</f>
        <v>0</v>
      </c>
      <c r="F30" s="127">
        <f>'Balance Sheet'!F31/'Balance Sheet'!F$44</f>
        <v>0</v>
      </c>
      <c r="G30" s="127">
        <f>'Balance Sheet'!G31/'Balance Sheet'!G$44</f>
        <v>0</v>
      </c>
      <c r="H30" s="127">
        <f>'Balance Sheet'!H31/'Balance Sheet'!H$44</f>
        <v>0</v>
      </c>
      <c r="I30" s="127">
        <f>'Balance Sheet'!I31/'Balance Sheet'!I$44</f>
        <v>0</v>
      </c>
      <c r="J30" s="127">
        <f>'Balance Sheet'!J31/'Balance Sheet'!J$44</f>
        <v>0</v>
      </c>
      <c r="K30" s="127">
        <f>'Balance Sheet'!K31/'Balance Sheet'!K$44</f>
        <v>6.0916046384173556E-2</v>
      </c>
      <c r="L30" s="2"/>
    </row>
    <row r="31" spans="1:12" x14ac:dyDescent="0.35">
      <c r="A31" s="128" t="s">
        <v>177</v>
      </c>
      <c r="B31" s="127">
        <f>'Balance Sheet'!B32/'Balance Sheet'!B$44</f>
        <v>0</v>
      </c>
      <c r="C31" s="127">
        <f>'Balance Sheet'!C32/'Balance Sheet'!C$44</f>
        <v>2.1624740760208191E-3</v>
      </c>
      <c r="D31" s="127">
        <f>'Balance Sheet'!D32/'Balance Sheet'!D$44</f>
        <v>2.9520115893788327E-3</v>
      </c>
      <c r="E31" s="127">
        <f>'Balance Sheet'!E32/'Balance Sheet'!E$44</f>
        <v>0</v>
      </c>
      <c r="F31" s="127">
        <f>'Balance Sheet'!F32/'Balance Sheet'!F$44</f>
        <v>0</v>
      </c>
      <c r="G31" s="127">
        <f>'Balance Sheet'!G32/'Balance Sheet'!G$44</f>
        <v>0</v>
      </c>
      <c r="H31" s="127">
        <f>'Balance Sheet'!H32/'Balance Sheet'!H$44</f>
        <v>3.101666223145541E-3</v>
      </c>
      <c r="I31" s="127">
        <f>'Balance Sheet'!I32/'Balance Sheet'!I$44</f>
        <v>9.5550530305443175E-4</v>
      </c>
      <c r="J31" s="127">
        <f>'Balance Sheet'!J32/'Balance Sheet'!J$44</f>
        <v>1.1839782081773153E-2</v>
      </c>
      <c r="K31" s="127">
        <f>'Balance Sheet'!K32/'Balance Sheet'!K$44</f>
        <v>1.3278833780387404E-4</v>
      </c>
      <c r="L31" s="2"/>
    </row>
    <row r="32" spans="1:12" x14ac:dyDescent="0.35">
      <c r="A32" s="128" t="s">
        <v>178</v>
      </c>
      <c r="B32" s="127">
        <f>'Balance Sheet'!B33/'Balance Sheet'!B$44</f>
        <v>3.835974513968305E-2</v>
      </c>
      <c r="C32" s="127">
        <f>'Balance Sheet'!C33/'Balance Sheet'!C$44</f>
        <v>2.814358599333832E-2</v>
      </c>
      <c r="D32" s="127">
        <f>'Balance Sheet'!D33/'Balance Sheet'!D$44</f>
        <v>3.4267023418684532E-2</v>
      </c>
      <c r="E32" s="127">
        <f>'Balance Sheet'!E33/'Balance Sheet'!E$44</f>
        <v>2.1886429445317827E-2</v>
      </c>
      <c r="F32" s="127">
        <f>'Balance Sheet'!F33/'Balance Sheet'!F$44</f>
        <v>1.0930173170984952E-2</v>
      </c>
      <c r="G32" s="127">
        <f>'Balance Sheet'!G33/'Balance Sheet'!G$44</f>
        <v>1.1064834662151322E-2</v>
      </c>
      <c r="H32" s="127">
        <f>'Balance Sheet'!H33/'Balance Sheet'!H$44</f>
        <v>1.3428627015132642E-2</v>
      </c>
      <c r="I32" s="127">
        <f>'Balance Sheet'!I33/'Balance Sheet'!I$44</f>
        <v>1.5031409894913151E-2</v>
      </c>
      <c r="J32" s="127">
        <f>'Balance Sheet'!J33/'Balance Sheet'!J$44</f>
        <v>1.203435192717292E-2</v>
      </c>
      <c r="K32" s="127">
        <f>'Balance Sheet'!K33/'Balance Sheet'!K$44</f>
        <v>1.9372611318877912E-2</v>
      </c>
      <c r="L32" s="2"/>
    </row>
    <row r="33" spans="1:12" x14ac:dyDescent="0.35">
      <c r="A33" s="128" t="s">
        <v>179</v>
      </c>
      <c r="B33" s="127">
        <f>'Balance Sheet'!B34/'Balance Sheet'!B$44</f>
        <v>0</v>
      </c>
      <c r="C33" s="127">
        <f>'Balance Sheet'!C34/'Balance Sheet'!C$44</f>
        <v>0</v>
      </c>
      <c r="D33" s="127">
        <f>'Balance Sheet'!D34/'Balance Sheet'!D$44</f>
        <v>0</v>
      </c>
      <c r="E33" s="127">
        <f>'Balance Sheet'!E34/'Balance Sheet'!E$44</f>
        <v>0</v>
      </c>
      <c r="F33" s="127">
        <f>'Balance Sheet'!F34/'Balance Sheet'!F$44</f>
        <v>8.9798598580620911E-5</v>
      </c>
      <c r="G33" s="127">
        <f>'Balance Sheet'!G34/'Balance Sheet'!G$44</f>
        <v>8.1429519158689382E-5</v>
      </c>
      <c r="H33" s="127">
        <f>'Balance Sheet'!H34/'Balance Sheet'!H$44</f>
        <v>2.0126168715436102E-4</v>
      </c>
      <c r="I33" s="127">
        <f>'Balance Sheet'!I34/'Balance Sheet'!I$44</f>
        <v>6.5573893346872772E-5</v>
      </c>
      <c r="J33" s="127">
        <f>'Balance Sheet'!J34/'Balance Sheet'!J$44</f>
        <v>3.6301765410863204E-2</v>
      </c>
      <c r="K33" s="127">
        <f>'Balance Sheet'!K34/'Balance Sheet'!K$44</f>
        <v>9.1744669755403882E-5</v>
      </c>
      <c r="L33" s="2"/>
    </row>
    <row r="34" spans="1:12" x14ac:dyDescent="0.35">
      <c r="A34" s="128"/>
      <c r="B34" s="130"/>
      <c r="C34" s="130"/>
      <c r="D34" s="130"/>
      <c r="E34" s="130"/>
      <c r="F34" s="130"/>
      <c r="G34" s="130"/>
      <c r="H34" s="130"/>
      <c r="I34" s="130"/>
      <c r="J34" s="130"/>
      <c r="K34" s="130"/>
      <c r="L34" s="2"/>
    </row>
    <row r="35" spans="1:12" x14ac:dyDescent="0.35">
      <c r="A35" s="67" t="s">
        <v>73</v>
      </c>
      <c r="B35" s="131">
        <f>'Balance Sheet'!B36/'Balance Sheet'!B$44</f>
        <v>0.56587158960954087</v>
      </c>
      <c r="C35" s="131">
        <f>'Balance Sheet'!C36/'Balance Sheet'!C$44</f>
        <v>0.63635013226228498</v>
      </c>
      <c r="D35" s="131">
        <f>'Balance Sheet'!D36/'Balance Sheet'!D$44</f>
        <v>0.58555518773518145</v>
      </c>
      <c r="E35" s="131">
        <f>'Balance Sheet'!E36/'Balance Sheet'!E$44</f>
        <v>0.57713029527311233</v>
      </c>
      <c r="F35" s="131">
        <f>'Balance Sheet'!F36/'Balance Sheet'!F$44</f>
        <v>0.60851178466296063</v>
      </c>
      <c r="G35" s="131">
        <f>'Balance Sheet'!G36/'Balance Sheet'!G$44</f>
        <v>0.63988513647826906</v>
      </c>
      <c r="H35" s="131">
        <f>'Balance Sheet'!H36/'Balance Sheet'!H$44</f>
        <v>0.64224840611924983</v>
      </c>
      <c r="I35" s="131">
        <f>'Balance Sheet'!I36/'Balance Sheet'!I$44</f>
        <v>0.67578955651439154</v>
      </c>
      <c r="J35" s="131">
        <f>'Balance Sheet'!J36/'Balance Sheet'!J$44</f>
        <v>0.61293020117280073</v>
      </c>
      <c r="K35" s="131">
        <f>'Balance Sheet'!K36/'Balance Sheet'!K$44</f>
        <v>0.64901627985021471</v>
      </c>
      <c r="L35" s="2"/>
    </row>
    <row r="36" spans="1:12" x14ac:dyDescent="0.35">
      <c r="A36" s="128" t="s">
        <v>74</v>
      </c>
      <c r="B36" s="127">
        <f>'Balance Sheet'!B37/'Balance Sheet'!B$44</f>
        <v>5.1788923378532905E-3</v>
      </c>
      <c r="C36" s="127">
        <f>'Balance Sheet'!C37/'Balance Sheet'!C$44</f>
        <v>9.0555387331387014E-4</v>
      </c>
      <c r="D36" s="127">
        <f>'Balance Sheet'!D37/'Balance Sheet'!D$44</f>
        <v>0</v>
      </c>
      <c r="E36" s="127">
        <f>'Balance Sheet'!E37/'Balance Sheet'!E$44</f>
        <v>0</v>
      </c>
      <c r="F36" s="127">
        <f>'Balance Sheet'!F37/'Balance Sheet'!F$44</f>
        <v>0</v>
      </c>
      <c r="G36" s="127">
        <f>'Balance Sheet'!G37/'Balance Sheet'!G$44</f>
        <v>0</v>
      </c>
      <c r="H36" s="127">
        <f>'Balance Sheet'!H37/'Balance Sheet'!H$44</f>
        <v>0</v>
      </c>
      <c r="I36" s="127">
        <f>'Balance Sheet'!I37/'Balance Sheet'!I$44</f>
        <v>0</v>
      </c>
      <c r="J36" s="127">
        <f>'Balance Sheet'!J37/'Balance Sheet'!J$44</f>
        <v>0</v>
      </c>
      <c r="K36" s="127">
        <f>'Balance Sheet'!K37/'Balance Sheet'!K$44</f>
        <v>1.2530390421856478E-3</v>
      </c>
      <c r="L36" s="2"/>
    </row>
    <row r="37" spans="1:12" x14ac:dyDescent="0.35">
      <c r="A37" s="129" t="s">
        <v>7</v>
      </c>
      <c r="B37" s="127">
        <f>'Balance Sheet'!B38/'Balance Sheet'!B$44</f>
        <v>0.39127593530468868</v>
      </c>
      <c r="C37" s="127">
        <f>'Balance Sheet'!C38/'Balance Sheet'!C$44</f>
        <v>0.29763870400100556</v>
      </c>
      <c r="D37" s="127">
        <f>'Balance Sheet'!D38/'Balance Sheet'!D$44</f>
        <v>0.24136642906820299</v>
      </c>
      <c r="E37" s="127">
        <f>'Balance Sheet'!E38/'Balance Sheet'!E$44</f>
        <v>0.26618482088959622</v>
      </c>
      <c r="F37" s="127">
        <f>'Balance Sheet'!F38/'Balance Sheet'!F$44</f>
        <v>0.30475399393298219</v>
      </c>
      <c r="G37" s="127">
        <f>'Balance Sheet'!G38/'Balance Sheet'!G$44</f>
        <v>0.32757419067440413</v>
      </c>
      <c r="H37" s="127">
        <f>'Balance Sheet'!H38/'Balance Sheet'!H$44</f>
        <v>0.29481706430758153</v>
      </c>
      <c r="I37" s="127">
        <f>'Balance Sheet'!I38/'Balance Sheet'!I$44</f>
        <v>0.27980192937129622</v>
      </c>
      <c r="J37" s="127">
        <f>'Balance Sheet'!J38/'Balance Sheet'!J$44</f>
        <v>0.28280727028856362</v>
      </c>
      <c r="K37" s="127">
        <f>'Balance Sheet'!K38/'Balance Sheet'!K$44</f>
        <v>0.20210143580408166</v>
      </c>
      <c r="L37" s="2"/>
    </row>
    <row r="38" spans="1:12" x14ac:dyDescent="0.35">
      <c r="A38" s="128" t="s">
        <v>75</v>
      </c>
      <c r="B38" s="127">
        <f>'Balance Sheet'!B39/'Balance Sheet'!B$44</f>
        <v>5.0579970593040341E-2</v>
      </c>
      <c r="C38" s="127">
        <f>'Balance Sheet'!C39/'Balance Sheet'!C$44</f>
        <v>0.23501551153795616</v>
      </c>
      <c r="D38" s="127">
        <f>'Balance Sheet'!D39/'Balance Sheet'!D$44</f>
        <v>0.23000786595680708</v>
      </c>
      <c r="E38" s="127">
        <f>'Balance Sheet'!E39/'Balance Sheet'!E$44</f>
        <v>0.22539148624350752</v>
      </c>
      <c r="F38" s="127">
        <f>'Balance Sheet'!F39/'Balance Sheet'!F$44</f>
        <v>0.21666156872539311</v>
      </c>
      <c r="G38" s="127">
        <f>'Balance Sheet'!G39/'Balance Sheet'!G$44</f>
        <v>0.21328067557761074</v>
      </c>
      <c r="H38" s="127">
        <f>'Balance Sheet'!H39/'Balance Sheet'!H$44</f>
        <v>0.19282658622162488</v>
      </c>
      <c r="I38" s="127">
        <f>'Balance Sheet'!I39/'Balance Sheet'!I$44</f>
        <v>0.18745327860099031</v>
      </c>
      <c r="J38" s="127">
        <f>'Balance Sheet'!J39/'Balance Sheet'!J$44</f>
        <v>0.12899152793215721</v>
      </c>
      <c r="K38" s="127">
        <f>'Balance Sheet'!K39/'Balance Sheet'!K$44</f>
        <v>6.2620565774892376E-2</v>
      </c>
      <c r="L38" s="2"/>
    </row>
    <row r="39" spans="1:12" x14ac:dyDescent="0.35">
      <c r="A39" s="128" t="s">
        <v>79</v>
      </c>
      <c r="B39" s="127">
        <f>'Balance Sheet'!B40/'Balance Sheet'!B$44</f>
        <v>5.9581767685018772E-2</v>
      </c>
      <c r="C39" s="127">
        <f>'Balance Sheet'!C40/'Balance Sheet'!C$44</f>
        <v>6.9387708463072253E-2</v>
      </c>
      <c r="D39" s="127">
        <f>'Balance Sheet'!D40/'Balance Sheet'!D$44</f>
        <v>7.5115331934266116E-2</v>
      </c>
      <c r="E39" s="127">
        <f>'Balance Sheet'!E40/'Balance Sheet'!E$44</f>
        <v>4.7778914781732899E-2</v>
      </c>
      <c r="F39" s="127">
        <f>'Balance Sheet'!F40/'Balance Sheet'!F$44</f>
        <v>4.9908377367385709E-2</v>
      </c>
      <c r="G39" s="127">
        <f>'Balance Sheet'!G40/'Balance Sheet'!G$44</f>
        <v>5.5956449577165251E-2</v>
      </c>
      <c r="H39" s="127">
        <f>'Balance Sheet'!H40/'Balance Sheet'!H$44</f>
        <v>0.10590166353965638</v>
      </c>
      <c r="I39" s="127">
        <f>'Balance Sheet'!I40/'Balance Sheet'!I$44</f>
        <v>0.16523496999525994</v>
      </c>
      <c r="J39" s="127">
        <f>'Balance Sheet'!J40/'Balance Sheet'!J$44</f>
        <v>0.16092789117335968</v>
      </c>
      <c r="K39" s="127">
        <f>'Balance Sheet'!K40/'Balance Sheet'!K$44</f>
        <v>0.35376261791000813</v>
      </c>
      <c r="L39" s="2"/>
    </row>
    <row r="40" spans="1:12" x14ac:dyDescent="0.35">
      <c r="A40" s="128" t="s">
        <v>78</v>
      </c>
      <c r="B40" s="127">
        <f>'Balance Sheet'!B41/'Balance Sheet'!B$44</f>
        <v>4.9681424603822896E-2</v>
      </c>
      <c r="C40" s="127">
        <f>'Balance Sheet'!C41/'Balance Sheet'!C$44</f>
        <v>3.2537093429163978E-2</v>
      </c>
      <c r="D40" s="127">
        <f>'Balance Sheet'!D41/'Balance Sheet'!D$44</f>
        <v>3.6638958656652502E-2</v>
      </c>
      <c r="E40" s="127">
        <f>'Balance Sheet'!E41/'Balance Sheet'!E$44</f>
        <v>3.4450143811273128E-2</v>
      </c>
      <c r="F40" s="127">
        <f>'Balance Sheet'!F41/'Balance Sheet'!F$44</f>
        <v>3.383442822145457E-2</v>
      </c>
      <c r="G40" s="127">
        <f>'Balance Sheet'!G41/'Balance Sheet'!G$44</f>
        <v>4.0281267139117546E-2</v>
      </c>
      <c r="H40" s="127">
        <f>'Balance Sheet'!H41/'Balance Sheet'!H$44</f>
        <v>4.588990091216269E-2</v>
      </c>
      <c r="I40" s="127">
        <f>'Balance Sheet'!I41/'Balance Sheet'!I$44</f>
        <v>3.9602884501891332E-2</v>
      </c>
      <c r="J40" s="127">
        <f>'Balance Sheet'!J41/'Balance Sheet'!J$44</f>
        <v>3.5662168791410771E-2</v>
      </c>
      <c r="K40" s="127">
        <f>'Balance Sheet'!K41/'Balance Sheet'!K$44</f>
        <v>2.0603921360332018E-2</v>
      </c>
      <c r="L40" s="2"/>
    </row>
    <row r="41" spans="1:12" x14ac:dyDescent="0.35">
      <c r="A41" s="128" t="s">
        <v>8</v>
      </c>
      <c r="B41" s="127">
        <f>'Balance Sheet'!B42/'Balance Sheet'!B$44</f>
        <v>6.1427871262865526E-3</v>
      </c>
      <c r="C41" s="127">
        <f>'Balance Sheet'!C42/'Balance Sheet'!C$44</f>
        <v>8.3699458952985481E-4</v>
      </c>
      <c r="D41" s="127">
        <f>'Balance Sheet'!D42/'Balance Sheet'!D$44</f>
        <v>2.4114168744514331E-3</v>
      </c>
      <c r="E41" s="127">
        <f>'Balance Sheet'!E42/'Balance Sheet'!E$44</f>
        <v>3.3184733731248849E-3</v>
      </c>
      <c r="F41" s="127">
        <f>'Balance Sheet'!F42/'Balance Sheet'!F$44</f>
        <v>3.3534164157450618E-3</v>
      </c>
      <c r="G41" s="127">
        <f>'Balance Sheet'!G42/'Balance Sheet'!G$44</f>
        <v>2.7925535099715239E-3</v>
      </c>
      <c r="H41" s="127">
        <f>'Balance Sheet'!H42/'Balance Sheet'!H$44</f>
        <v>2.8131911382242906E-3</v>
      </c>
      <c r="I41" s="127">
        <f>'Balance Sheet'!I42/'Balance Sheet'!I$44</f>
        <v>3.6964940449537137E-3</v>
      </c>
      <c r="J41" s="127">
        <f>'Balance Sheet'!J42/'Balance Sheet'!J$44</f>
        <v>4.5413429873094923E-3</v>
      </c>
      <c r="K41" s="127">
        <f>'Balance Sheet'!K42/'Balance Sheet'!K$44</f>
        <v>8.6746999587148984E-3</v>
      </c>
      <c r="L41" s="2"/>
    </row>
    <row r="42" spans="1:12" x14ac:dyDescent="0.35">
      <c r="A42" s="56"/>
      <c r="B42" s="22"/>
      <c r="C42" s="22"/>
      <c r="D42" s="22"/>
      <c r="E42" s="22"/>
      <c r="F42" s="22"/>
      <c r="G42" s="22"/>
      <c r="H42" s="22"/>
      <c r="I42" s="22"/>
      <c r="J42" s="22"/>
      <c r="K42" s="22"/>
      <c r="L42" s="2"/>
    </row>
    <row r="43" spans="1:12" x14ac:dyDescent="0.35">
      <c r="A43" s="114" t="s">
        <v>175</v>
      </c>
      <c r="B43" s="132">
        <f>B25+B35</f>
        <v>0.99999999999999989</v>
      </c>
      <c r="C43" s="132">
        <f t="shared" ref="C43:K43" si="1">C25+C35</f>
        <v>1</v>
      </c>
      <c r="D43" s="132">
        <f t="shared" si="1"/>
        <v>1</v>
      </c>
      <c r="E43" s="132">
        <f t="shared" si="1"/>
        <v>1</v>
      </c>
      <c r="F43" s="132">
        <f t="shared" si="1"/>
        <v>1</v>
      </c>
      <c r="G43" s="132">
        <f t="shared" si="1"/>
        <v>1</v>
      </c>
      <c r="H43" s="132">
        <f t="shared" si="1"/>
        <v>1</v>
      </c>
      <c r="I43" s="132">
        <f t="shared" si="1"/>
        <v>0.99999999999999989</v>
      </c>
      <c r="J43" s="132">
        <f t="shared" si="1"/>
        <v>1</v>
      </c>
      <c r="K43" s="132">
        <f t="shared" si="1"/>
        <v>1</v>
      </c>
    </row>
  </sheetData>
  <mergeCells count="1">
    <mergeCell ref="A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G91"/>
  <sheetViews>
    <sheetView workbookViewId="0">
      <selection sqref="A1:K1"/>
    </sheetView>
  </sheetViews>
  <sheetFormatPr defaultColWidth="9.1796875" defaultRowHeight="15.5" x14ac:dyDescent="0.35"/>
  <cols>
    <col min="1" max="1" width="47.453125" style="3" bestFit="1" customWidth="1"/>
    <col min="2" max="4" width="8.453125" style="3" bestFit="1" customWidth="1"/>
    <col min="5" max="10" width="9.7265625" style="3" bestFit="1" customWidth="1"/>
    <col min="11" max="11" width="10.1796875" style="3" bestFit="1" customWidth="1"/>
    <col min="12" max="12" width="8.81640625" style="3" bestFit="1" customWidth="1"/>
    <col min="13" max="16384" width="9.1796875" style="3"/>
  </cols>
  <sheetData>
    <row r="1" spans="1:189" ht="19" x14ac:dyDescent="0.4">
      <c r="A1" s="247" t="s">
        <v>168</v>
      </c>
      <c r="B1" s="247"/>
      <c r="C1" s="247"/>
      <c r="D1" s="247"/>
      <c r="E1" s="247"/>
      <c r="F1" s="247"/>
      <c r="G1" s="247"/>
      <c r="H1" s="247"/>
      <c r="I1" s="247"/>
      <c r="J1" s="247"/>
      <c r="K1" s="247"/>
    </row>
    <row r="2" spans="1:189" ht="16.5" customHeight="1" x14ac:dyDescent="0.35">
      <c r="A2" s="245" t="s">
        <v>194</v>
      </c>
      <c r="B2" s="246"/>
      <c r="C2" s="246"/>
      <c r="D2" s="246"/>
      <c r="E2" s="246"/>
      <c r="F2" s="246"/>
      <c r="G2" s="246"/>
      <c r="H2" s="246"/>
      <c r="I2" s="246"/>
      <c r="J2" s="246"/>
      <c r="K2" s="246"/>
    </row>
    <row r="3" spans="1:189" x14ac:dyDescent="0.35">
      <c r="A3" s="118" t="s">
        <v>109</v>
      </c>
      <c r="B3" s="119" t="s">
        <v>162</v>
      </c>
      <c r="C3" s="119" t="s">
        <v>161</v>
      </c>
      <c r="D3" s="119" t="s">
        <v>160</v>
      </c>
      <c r="E3" s="119" t="s">
        <v>155</v>
      </c>
      <c r="F3" s="119" t="s">
        <v>156</v>
      </c>
      <c r="G3" s="119" t="s">
        <v>157</v>
      </c>
      <c r="H3" s="119" t="s">
        <v>158</v>
      </c>
      <c r="I3" s="119" t="s">
        <v>159</v>
      </c>
      <c r="J3" s="119" t="s">
        <v>154</v>
      </c>
      <c r="K3" s="119" t="s">
        <v>153</v>
      </c>
      <c r="L3" s="29" t="s">
        <v>87</v>
      </c>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row>
    <row r="4" spans="1:189" x14ac:dyDescent="0.35">
      <c r="A4" s="133" t="s">
        <v>48</v>
      </c>
      <c r="B4" s="78">
        <v>1547.22</v>
      </c>
      <c r="C4" s="78">
        <v>5002.93</v>
      </c>
      <c r="D4" s="78">
        <v>5477.49</v>
      </c>
      <c r="E4" s="78">
        <v>5162.57</v>
      </c>
      <c r="F4" s="78">
        <v>5612.63</v>
      </c>
      <c r="G4" s="78">
        <v>6518.2</v>
      </c>
      <c r="H4" s="78">
        <v>7247.89</v>
      </c>
      <c r="I4" s="78">
        <v>8185.8</v>
      </c>
      <c r="J4" s="78">
        <v>8569.43</v>
      </c>
      <c r="K4" s="78">
        <v>7714.18</v>
      </c>
      <c r="L4" s="20">
        <f>(K4/C4)^(1/8)-1</f>
        <v>5.5621356024257551E-2</v>
      </c>
      <c r="M4" s="7"/>
    </row>
    <row r="5" spans="1:189" x14ac:dyDescent="0.35">
      <c r="A5" s="122"/>
      <c r="B5" s="27"/>
      <c r="C5" s="27"/>
      <c r="D5" s="27"/>
      <c r="E5" s="27"/>
      <c r="F5" s="27"/>
      <c r="G5" s="27"/>
      <c r="H5" s="27"/>
      <c r="I5" s="27"/>
      <c r="J5" s="27"/>
      <c r="K5" s="27"/>
      <c r="L5" s="20"/>
    </row>
    <row r="6" spans="1:189" x14ac:dyDescent="0.35">
      <c r="A6" s="134" t="s">
        <v>57</v>
      </c>
      <c r="B6" s="27"/>
      <c r="C6" s="27"/>
      <c r="D6" s="27"/>
      <c r="E6" s="27"/>
      <c r="F6" s="27"/>
      <c r="G6" s="27"/>
      <c r="H6" s="27"/>
      <c r="I6" s="27"/>
      <c r="J6" s="27"/>
      <c r="K6" s="27"/>
    </row>
    <row r="7" spans="1:189" x14ac:dyDescent="0.35">
      <c r="A7" s="120" t="s">
        <v>182</v>
      </c>
      <c r="B7" s="78">
        <v>906.23</v>
      </c>
      <c r="C7" s="78">
        <v>2073.75</v>
      </c>
      <c r="D7" s="78">
        <v>1911.21</v>
      </c>
      <c r="E7" s="78">
        <v>1914.22</v>
      </c>
      <c r="F7" s="78">
        <v>2585.85</v>
      </c>
      <c r="G7" s="78">
        <v>2565.25</v>
      </c>
      <c r="H7" s="78">
        <v>2726.7</v>
      </c>
      <c r="I7" s="78">
        <v>3149.42</v>
      </c>
      <c r="J7" s="78">
        <v>3239.18</v>
      </c>
      <c r="K7" s="78">
        <v>3213.37</v>
      </c>
    </row>
    <row r="8" spans="1:189" x14ac:dyDescent="0.35">
      <c r="A8" s="120" t="s">
        <v>183</v>
      </c>
      <c r="B8" s="78">
        <f>986.17-B7</f>
        <v>79.939999999999941</v>
      </c>
      <c r="C8" s="78">
        <f>2712.65-C7</f>
        <v>638.90000000000009</v>
      </c>
      <c r="D8" s="78">
        <f>3007.01-D7</f>
        <v>1095.8000000000002</v>
      </c>
      <c r="E8" s="78">
        <f>2915.44-E7</f>
        <v>1001.22</v>
      </c>
      <c r="F8" s="78">
        <v>837.99</v>
      </c>
      <c r="G8" s="78">
        <v>1248.82</v>
      </c>
      <c r="H8" s="78">
        <v>1437.02</v>
      </c>
      <c r="I8" s="78">
        <v>1613.14</v>
      </c>
      <c r="J8" s="78">
        <v>1486.23</v>
      </c>
      <c r="K8" s="78">
        <v>1243.07</v>
      </c>
    </row>
    <row r="9" spans="1:189" x14ac:dyDescent="0.35">
      <c r="A9" s="120" t="s">
        <v>184</v>
      </c>
      <c r="B9" s="78">
        <v>0</v>
      </c>
      <c r="C9" s="78">
        <v>0</v>
      </c>
      <c r="D9" s="78">
        <v>0</v>
      </c>
      <c r="E9" s="78">
        <v>0</v>
      </c>
      <c r="F9" s="78">
        <v>-231.34</v>
      </c>
      <c r="G9" s="78">
        <v>-186.86</v>
      </c>
      <c r="H9" s="78">
        <v>-0.88</v>
      </c>
      <c r="I9" s="78">
        <v>-122.81</v>
      </c>
      <c r="J9" s="78">
        <v>103.76</v>
      </c>
      <c r="K9" s="78">
        <v>-73.239999999999995</v>
      </c>
    </row>
    <row r="10" spans="1:189" x14ac:dyDescent="0.35">
      <c r="A10" s="120" t="s">
        <v>49</v>
      </c>
      <c r="B10" s="78">
        <f>51.46+1.62</f>
        <v>53.08</v>
      </c>
      <c r="C10" s="78">
        <f>761.28+2.3</f>
        <v>763.57999999999993</v>
      </c>
      <c r="D10" s="78">
        <f>845.23+2.51</f>
        <v>847.74</v>
      </c>
      <c r="E10" s="78">
        <f>760.2+4.26</f>
        <v>764.46</v>
      </c>
      <c r="F10" s="78">
        <v>640.47</v>
      </c>
      <c r="G10" s="78">
        <v>790.44</v>
      </c>
      <c r="H10" s="78">
        <v>905.6</v>
      </c>
      <c r="I10" s="78">
        <v>1086.8699999999999</v>
      </c>
      <c r="J10" s="78">
        <v>1187.5</v>
      </c>
      <c r="K10" s="78">
        <v>859.48</v>
      </c>
    </row>
    <row r="11" spans="1:189" x14ac:dyDescent="0.35">
      <c r="A11" s="120" t="s">
        <v>50</v>
      </c>
      <c r="B11" s="78">
        <f>36.38+17.55+19</f>
        <v>72.930000000000007</v>
      </c>
      <c r="C11" s="78">
        <f>63.79+31.91+27.45</f>
        <v>123.15</v>
      </c>
      <c r="D11" s="78">
        <f>54.72+41.98+25.04</f>
        <v>121.73999999999998</v>
      </c>
      <c r="E11" s="78">
        <f>26.45+55.32+86.44</f>
        <v>168.20999999999998</v>
      </c>
      <c r="F11" s="78">
        <f>24.93+60.23+93.32</f>
        <v>178.48</v>
      </c>
      <c r="G11" s="78">
        <f>24.9+67.58+100.15</f>
        <v>192.63</v>
      </c>
      <c r="H11" s="78">
        <f>29.88+72.63+120.25</f>
        <v>222.76</v>
      </c>
      <c r="I11" s="78">
        <f>37.64+80.77+128.05</f>
        <v>246.46</v>
      </c>
      <c r="J11" s="78">
        <f>37.43+84.21+151.89</f>
        <v>273.52999999999997</v>
      </c>
      <c r="K11" s="78">
        <f>41.3+80.87+167.12</f>
        <v>289.29000000000002</v>
      </c>
    </row>
    <row r="12" spans="1:189" x14ac:dyDescent="0.35">
      <c r="A12" s="120" t="s">
        <v>186</v>
      </c>
      <c r="B12" s="78">
        <v>31.58</v>
      </c>
      <c r="C12" s="78">
        <v>103.38</v>
      </c>
      <c r="D12" s="78">
        <v>112</v>
      </c>
      <c r="E12" s="78">
        <v>136.80000000000001</v>
      </c>
      <c r="F12" s="78">
        <v>130.34</v>
      </c>
      <c r="G12" s="78">
        <v>184.69</v>
      </c>
      <c r="H12" s="78">
        <v>227.86</v>
      </c>
      <c r="I12" s="78">
        <v>222.94</v>
      </c>
      <c r="J12" s="78">
        <v>259.26</v>
      </c>
      <c r="K12" s="78">
        <v>245.02</v>
      </c>
      <c r="L12" s="31"/>
    </row>
    <row r="13" spans="1:189" x14ac:dyDescent="0.35">
      <c r="A13" s="120" t="s">
        <v>187</v>
      </c>
      <c r="B13" s="78">
        <f>99.41+37.57+225.19-B11-B12</f>
        <v>257.65999999999997</v>
      </c>
      <c r="C13" s="78">
        <f>279.85-C11+211+687.25-C12+2</f>
        <v>953.57</v>
      </c>
      <c r="D13" s="78">
        <f>765.67-D12+301.88+266.59-D11+0.05</f>
        <v>1100.4499999999998</v>
      </c>
      <c r="E13" s="78">
        <f>324.98-E11+277.84+557.65-E12</f>
        <v>855.46</v>
      </c>
      <c r="F13" s="78">
        <f>1222.64-F11-F12</f>
        <v>913.82</v>
      </c>
      <c r="G13" s="78">
        <f>1443.22-G11-G12</f>
        <v>1065.9000000000001</v>
      </c>
      <c r="H13" s="78">
        <f>1505.07-H11-H12</f>
        <v>1054.4499999999998</v>
      </c>
      <c r="I13" s="78">
        <f>1716.69-I11-I12</f>
        <v>1247.29</v>
      </c>
      <c r="J13" s="78">
        <f>1831.63-J11-J12</f>
        <v>1298.8400000000001</v>
      </c>
      <c r="K13" s="78">
        <f>1671.29-K11-K12</f>
        <v>1136.98</v>
      </c>
    </row>
    <row r="14" spans="1:189" x14ac:dyDescent="0.35">
      <c r="A14" s="135" t="s">
        <v>191</v>
      </c>
      <c r="B14" s="26">
        <f t="shared" ref="B14:I14" si="0">SUM(B7:B13)</f>
        <v>1401.42</v>
      </c>
      <c r="C14" s="26">
        <f t="shared" si="0"/>
        <v>4656.33</v>
      </c>
      <c r="D14" s="26">
        <f t="shared" si="0"/>
        <v>5188.9399999999996</v>
      </c>
      <c r="E14" s="26">
        <f t="shared" si="0"/>
        <v>4840.3700000000008</v>
      </c>
      <c r="F14" s="26">
        <f t="shared" si="0"/>
        <v>5055.6099999999997</v>
      </c>
      <c r="G14" s="26">
        <f t="shared" si="0"/>
        <v>5860.869999999999</v>
      </c>
      <c r="H14" s="26">
        <f t="shared" si="0"/>
        <v>6573.5099999999993</v>
      </c>
      <c r="I14" s="26">
        <f t="shared" si="0"/>
        <v>7443.3099999999995</v>
      </c>
      <c r="J14" s="26">
        <f>SUM(J7:J13)</f>
        <v>7848.3</v>
      </c>
      <c r="K14" s="26">
        <f>SUM(K7:K13)</f>
        <v>6913.9700000000012</v>
      </c>
      <c r="L14" s="20"/>
    </row>
    <row r="15" spans="1:189" x14ac:dyDescent="0.35">
      <c r="A15" s="135" t="s">
        <v>101</v>
      </c>
      <c r="B15" s="26">
        <f t="shared" ref="B15:K15" si="1">B4-B7-B8-B9-B11</f>
        <v>488.12000000000006</v>
      </c>
      <c r="C15" s="26">
        <f t="shared" si="1"/>
        <v>2167.13</v>
      </c>
      <c r="D15" s="26">
        <f t="shared" si="1"/>
        <v>2348.7399999999998</v>
      </c>
      <c r="E15" s="26">
        <f t="shared" si="1"/>
        <v>2078.9199999999992</v>
      </c>
      <c r="F15" s="26">
        <f t="shared" si="1"/>
        <v>2241.65</v>
      </c>
      <c r="G15" s="26">
        <f t="shared" si="1"/>
        <v>2698.36</v>
      </c>
      <c r="H15" s="26">
        <f t="shared" si="1"/>
        <v>2862.2900000000009</v>
      </c>
      <c r="I15" s="26">
        <f t="shared" si="1"/>
        <v>3299.5899999999997</v>
      </c>
      <c r="J15" s="26">
        <f t="shared" si="1"/>
        <v>3466.7299999999996</v>
      </c>
      <c r="K15" s="26">
        <f t="shared" si="1"/>
        <v>3041.6900000000005</v>
      </c>
      <c r="L15" s="20">
        <f t="shared" ref="L15:L16" si="2">(K15/C15)^(1/8)-1</f>
        <v>4.328688561155869E-2</v>
      </c>
      <c r="M15" s="7"/>
    </row>
    <row r="16" spans="1:189" x14ac:dyDescent="0.35">
      <c r="A16" s="135" t="s">
        <v>58</v>
      </c>
      <c r="B16" s="26">
        <f t="shared" ref="B16:K16" si="3">B4-B14</f>
        <v>145.79999999999995</v>
      </c>
      <c r="C16" s="26">
        <f t="shared" si="3"/>
        <v>346.60000000000036</v>
      </c>
      <c r="D16" s="26">
        <f t="shared" si="3"/>
        <v>288.55000000000018</v>
      </c>
      <c r="E16" s="26">
        <f t="shared" si="3"/>
        <v>322.19999999999891</v>
      </c>
      <c r="F16" s="26">
        <f t="shared" si="3"/>
        <v>557.02000000000044</v>
      </c>
      <c r="G16" s="26">
        <f t="shared" si="3"/>
        <v>657.33000000000084</v>
      </c>
      <c r="H16" s="26">
        <f t="shared" si="3"/>
        <v>674.38000000000102</v>
      </c>
      <c r="I16" s="26">
        <f t="shared" si="3"/>
        <v>742.49000000000069</v>
      </c>
      <c r="J16" s="26">
        <f t="shared" si="3"/>
        <v>721.13000000000011</v>
      </c>
      <c r="K16" s="26">
        <f t="shared" si="3"/>
        <v>800.20999999999913</v>
      </c>
      <c r="L16" s="20">
        <f t="shared" si="2"/>
        <v>0.11025292751365834</v>
      </c>
    </row>
    <row r="17" spans="1:13" x14ac:dyDescent="0.35">
      <c r="A17" s="120" t="s">
        <v>51</v>
      </c>
      <c r="B17" s="75">
        <v>5.43</v>
      </c>
      <c r="C17" s="75">
        <v>25.03</v>
      </c>
      <c r="D17" s="75">
        <v>8.61</v>
      </c>
      <c r="E17" s="75">
        <v>22.17</v>
      </c>
      <c r="F17" s="75">
        <v>23.72</v>
      </c>
      <c r="G17" s="75">
        <v>41.35</v>
      </c>
      <c r="H17" s="75">
        <v>27.88</v>
      </c>
      <c r="I17" s="75">
        <v>41.25</v>
      </c>
      <c r="J17" s="75">
        <v>50.46</v>
      </c>
      <c r="K17" s="75">
        <v>86.25</v>
      </c>
    </row>
    <row r="18" spans="1:13" x14ac:dyDescent="0.35">
      <c r="A18" s="120" t="s">
        <v>52</v>
      </c>
      <c r="B18" s="75">
        <v>9.74</v>
      </c>
      <c r="C18" s="75">
        <v>69.430000000000007</v>
      </c>
      <c r="D18" s="75">
        <v>90.5</v>
      </c>
      <c r="E18" s="75">
        <v>83.69</v>
      </c>
      <c r="F18" s="75">
        <v>80.44</v>
      </c>
      <c r="G18" s="75">
        <v>94.85</v>
      </c>
      <c r="H18" s="75">
        <v>109.66</v>
      </c>
      <c r="I18" s="75">
        <v>115.54</v>
      </c>
      <c r="J18" s="75">
        <v>138.66</v>
      </c>
      <c r="K18" s="75">
        <v>126.67</v>
      </c>
    </row>
    <row r="19" spans="1:13" x14ac:dyDescent="0.35">
      <c r="A19" s="135" t="s">
        <v>59</v>
      </c>
      <c r="B19" s="26">
        <f>B16+B17-B18</f>
        <v>141.48999999999995</v>
      </c>
      <c r="C19" s="26">
        <f t="shared" ref="C19:K19" si="4">C16+C17-C18</f>
        <v>302.20000000000033</v>
      </c>
      <c r="D19" s="26">
        <f t="shared" si="4"/>
        <v>206.6600000000002</v>
      </c>
      <c r="E19" s="26">
        <f t="shared" si="4"/>
        <v>260.67999999999893</v>
      </c>
      <c r="F19" s="26">
        <f t="shared" si="4"/>
        <v>500.30000000000047</v>
      </c>
      <c r="G19" s="26">
        <f t="shared" si="4"/>
        <v>603.83000000000084</v>
      </c>
      <c r="H19" s="26">
        <f t="shared" si="4"/>
        <v>592.60000000000105</v>
      </c>
      <c r="I19" s="26">
        <f t="shared" si="4"/>
        <v>668.20000000000073</v>
      </c>
      <c r="J19" s="26">
        <f t="shared" si="4"/>
        <v>632.93000000000018</v>
      </c>
      <c r="K19" s="26">
        <f t="shared" si="4"/>
        <v>759.78999999999917</v>
      </c>
      <c r="L19" s="20">
        <f>(K19/C19)^(1/8)-1</f>
        <v>0.12214735249147357</v>
      </c>
      <c r="M19" s="7"/>
    </row>
    <row r="20" spans="1:13" x14ac:dyDescent="0.35">
      <c r="A20" s="120" t="s">
        <v>185</v>
      </c>
      <c r="B20" s="75">
        <v>20.94</v>
      </c>
      <c r="C20" s="75">
        <v>103.59</v>
      </c>
      <c r="D20" s="75">
        <v>125.27</v>
      </c>
      <c r="E20" s="75">
        <v>97.6</v>
      </c>
      <c r="F20" s="75">
        <v>90.16</v>
      </c>
      <c r="G20" s="75">
        <v>128.1</v>
      </c>
      <c r="H20" s="75">
        <v>123.22</v>
      </c>
      <c r="I20" s="75">
        <v>74.11</v>
      </c>
      <c r="J20" s="75">
        <v>63.96</v>
      </c>
      <c r="K20" s="75">
        <v>44.94</v>
      </c>
    </row>
    <row r="21" spans="1:13" x14ac:dyDescent="0.35">
      <c r="A21" s="120" t="s">
        <v>53</v>
      </c>
      <c r="B21" s="75">
        <v>0</v>
      </c>
      <c r="C21" s="75">
        <v>0</v>
      </c>
      <c r="D21" s="75">
        <f>0.09-198.69</f>
        <v>-198.6</v>
      </c>
      <c r="E21" s="75">
        <v>0</v>
      </c>
      <c r="F21" s="75">
        <f>0.47-3.59</f>
        <v>-3.12</v>
      </c>
      <c r="G21" s="75">
        <v>0</v>
      </c>
      <c r="H21" s="75">
        <v>194.41</v>
      </c>
      <c r="I21" s="75">
        <v>0</v>
      </c>
      <c r="J21" s="75">
        <v>0</v>
      </c>
      <c r="K21" s="75">
        <v>724.02</v>
      </c>
    </row>
    <row r="22" spans="1:13" x14ac:dyDescent="0.35">
      <c r="A22" s="135" t="s">
        <v>54</v>
      </c>
      <c r="B22" s="26">
        <f t="shared" ref="B22:H22" si="5">B19-B20+B21</f>
        <v>120.54999999999995</v>
      </c>
      <c r="C22" s="26">
        <f t="shared" si="5"/>
        <v>198.61000000000033</v>
      </c>
      <c r="D22" s="26">
        <f t="shared" si="5"/>
        <v>-117.20999999999979</v>
      </c>
      <c r="E22" s="26">
        <f t="shared" si="5"/>
        <v>163.07999999999893</v>
      </c>
      <c r="F22" s="26">
        <f t="shared" si="5"/>
        <v>407.02000000000044</v>
      </c>
      <c r="G22" s="26">
        <f t="shared" si="5"/>
        <v>475.73000000000081</v>
      </c>
      <c r="H22" s="26">
        <f t="shared" si="5"/>
        <v>663.79000000000099</v>
      </c>
      <c r="I22" s="26">
        <f>I19-I20+I21</f>
        <v>594.09000000000071</v>
      </c>
      <c r="J22" s="26">
        <f t="shared" ref="J22:K22" si="6">J19-J20+J21</f>
        <v>568.97000000000014</v>
      </c>
      <c r="K22" s="26">
        <f t="shared" si="6"/>
        <v>1438.8699999999992</v>
      </c>
      <c r="L22" s="20"/>
    </row>
    <row r="23" spans="1:13" x14ac:dyDescent="0.35">
      <c r="A23" s="120" t="s">
        <v>188</v>
      </c>
      <c r="B23" s="75">
        <v>14.6</v>
      </c>
      <c r="C23" s="75">
        <v>30.39</v>
      </c>
      <c r="D23" s="75">
        <v>41.68</v>
      </c>
      <c r="E23" s="75">
        <v>59.52</v>
      </c>
      <c r="F23" s="75">
        <v>100.79</v>
      </c>
      <c r="G23" s="75">
        <v>112.4</v>
      </c>
      <c r="H23" s="75">
        <v>102.31</v>
      </c>
      <c r="I23" s="75">
        <v>159.57</v>
      </c>
      <c r="J23" s="75">
        <v>242.63</v>
      </c>
      <c r="K23" s="75">
        <v>217.38</v>
      </c>
    </row>
    <row r="24" spans="1:13" x14ac:dyDescent="0.35">
      <c r="A24" s="120" t="s">
        <v>189</v>
      </c>
      <c r="B24" s="75">
        <f>1.45+2.3+0.04</f>
        <v>3.79</v>
      </c>
      <c r="C24" s="75">
        <f>1.66+5.55+0.05</f>
        <v>7.26</v>
      </c>
      <c r="D24" s="75">
        <f>1.76-0.6+0.07</f>
        <v>1.2300000000000002</v>
      </c>
      <c r="E24" s="75">
        <f>3.65+0.5+29.46+0.05</f>
        <v>33.659999999999997</v>
      </c>
      <c r="F24" s="75">
        <f>-8.01+0.42+9.89</f>
        <v>2.3000000000000007</v>
      </c>
      <c r="G24" s="75">
        <f>-6.76+0.41-0.24</f>
        <v>-6.59</v>
      </c>
      <c r="H24" s="75">
        <f>-12.4+0.03-7.58</f>
        <v>-19.950000000000003</v>
      </c>
      <c r="I24" s="75">
        <f>-10.42-1.39</f>
        <v>-11.81</v>
      </c>
      <c r="J24" s="75">
        <f>-0.37-58.71</f>
        <v>-59.08</v>
      </c>
      <c r="K24" s="75">
        <f>-23.21-5.77+41.56</f>
        <v>12.580000000000002</v>
      </c>
    </row>
    <row r="25" spans="1:13" x14ac:dyDescent="0.35">
      <c r="A25" s="135" t="s">
        <v>190</v>
      </c>
      <c r="B25" s="26">
        <f>B23+B24</f>
        <v>18.39</v>
      </c>
      <c r="C25" s="26">
        <f t="shared" ref="C25:K25" si="7">C23+C24</f>
        <v>37.65</v>
      </c>
      <c r="D25" s="26">
        <f t="shared" si="7"/>
        <v>42.91</v>
      </c>
      <c r="E25" s="26">
        <f t="shared" si="7"/>
        <v>93.18</v>
      </c>
      <c r="F25" s="26">
        <f t="shared" si="7"/>
        <v>103.09</v>
      </c>
      <c r="G25" s="26">
        <f t="shared" si="7"/>
        <v>105.81</v>
      </c>
      <c r="H25" s="26">
        <f t="shared" si="7"/>
        <v>82.36</v>
      </c>
      <c r="I25" s="26">
        <f t="shared" si="7"/>
        <v>147.76</v>
      </c>
      <c r="J25" s="26">
        <f t="shared" si="7"/>
        <v>183.55</v>
      </c>
      <c r="K25" s="26">
        <f t="shared" si="7"/>
        <v>229.96</v>
      </c>
      <c r="L25" s="20"/>
    </row>
    <row r="26" spans="1:13" x14ac:dyDescent="0.35">
      <c r="A26" s="135" t="s">
        <v>55</v>
      </c>
      <c r="B26" s="26">
        <f t="shared" ref="B26:I26" si="8">B22-B25</f>
        <v>102.15999999999995</v>
      </c>
      <c r="C26" s="26">
        <f t="shared" si="8"/>
        <v>160.96000000000032</v>
      </c>
      <c r="D26" s="26">
        <f t="shared" si="8"/>
        <v>-160.11999999999978</v>
      </c>
      <c r="E26" s="26">
        <f t="shared" si="8"/>
        <v>69.899999999998926</v>
      </c>
      <c r="F26" s="26">
        <f t="shared" si="8"/>
        <v>303.9300000000004</v>
      </c>
      <c r="G26" s="26">
        <f t="shared" si="8"/>
        <v>369.92000000000081</v>
      </c>
      <c r="H26" s="26">
        <f t="shared" si="8"/>
        <v>581.43000000000097</v>
      </c>
      <c r="I26" s="26">
        <f t="shared" si="8"/>
        <v>446.33000000000072</v>
      </c>
      <c r="J26" s="26">
        <f>J22-J25</f>
        <v>385.42000000000013</v>
      </c>
      <c r="K26" s="26">
        <f>K22-K25</f>
        <v>1208.9099999999992</v>
      </c>
      <c r="L26" s="20"/>
    </row>
    <row r="27" spans="1:13" x14ac:dyDescent="0.35">
      <c r="A27" s="120" t="s">
        <v>6</v>
      </c>
      <c r="B27" s="75">
        <v>0</v>
      </c>
      <c r="C27" s="75">
        <v>0</v>
      </c>
      <c r="D27" s="75">
        <v>0</v>
      </c>
      <c r="E27" s="75">
        <v>-0.04</v>
      </c>
      <c r="F27" s="75">
        <v>-0.36</v>
      </c>
      <c r="G27" s="75">
        <v>0</v>
      </c>
      <c r="H27" s="75">
        <v>0</v>
      </c>
      <c r="I27" s="75">
        <v>0</v>
      </c>
      <c r="J27" s="75">
        <v>0</v>
      </c>
      <c r="K27" s="75">
        <v>-0.13</v>
      </c>
    </row>
    <row r="28" spans="1:13" x14ac:dyDescent="0.35">
      <c r="A28" s="120" t="s">
        <v>56</v>
      </c>
      <c r="B28" s="75">
        <v>0</v>
      </c>
      <c r="C28" s="75">
        <v>0</v>
      </c>
      <c r="D28" s="75">
        <v>0</v>
      </c>
      <c r="E28" s="75">
        <v>0</v>
      </c>
      <c r="F28" s="75">
        <v>0</v>
      </c>
      <c r="G28" s="75">
        <v>0</v>
      </c>
      <c r="H28" s="75">
        <v>0</v>
      </c>
      <c r="I28" s="75">
        <v>0</v>
      </c>
      <c r="J28" s="75">
        <v>0</v>
      </c>
      <c r="K28" s="75">
        <v>0</v>
      </c>
    </row>
    <row r="29" spans="1:13" x14ac:dyDescent="0.35">
      <c r="A29" s="135" t="s">
        <v>196</v>
      </c>
      <c r="B29" s="26">
        <f t="shared" ref="B29:J29" si="9">B26+B27+B28</f>
        <v>102.15999999999995</v>
      </c>
      <c r="C29" s="26">
        <f t="shared" si="9"/>
        <v>160.96000000000032</v>
      </c>
      <c r="D29" s="26">
        <f t="shared" si="9"/>
        <v>-160.11999999999978</v>
      </c>
      <c r="E29" s="26">
        <f t="shared" si="9"/>
        <v>69.859999999998919</v>
      </c>
      <c r="F29" s="26">
        <f t="shared" si="9"/>
        <v>303.57000000000039</v>
      </c>
      <c r="G29" s="26">
        <f t="shared" si="9"/>
        <v>369.92000000000081</v>
      </c>
      <c r="H29" s="26">
        <f t="shared" si="9"/>
        <v>581.43000000000097</v>
      </c>
      <c r="I29" s="26">
        <f t="shared" si="9"/>
        <v>446.33000000000072</v>
      </c>
      <c r="J29" s="26">
        <f t="shared" si="9"/>
        <v>385.42000000000013</v>
      </c>
      <c r="K29" s="26">
        <f>K26+K27+K28</f>
        <v>1208.7799999999991</v>
      </c>
      <c r="L29" s="20"/>
    </row>
    <row r="30" spans="1:13" x14ac:dyDescent="0.35">
      <c r="A30" s="135" t="s">
        <v>107</v>
      </c>
      <c r="B30" s="37">
        <f>B29/'First Page'!$B$14</f>
        <v>1.6349384110730698</v>
      </c>
      <c r="C30" s="37">
        <f>C29/'First Page'!$B$14</f>
        <v>2.5759562122780144</v>
      </c>
      <c r="D30" s="37">
        <f>D29/'First Page'!$B$14</f>
        <v>-2.5625131008322208</v>
      </c>
      <c r="E30" s="37">
        <f>E29/'First Page'!$B$14</f>
        <v>1.1180187685744218</v>
      </c>
      <c r="F30" s="37">
        <f>F29/'First Page'!$B$14</f>
        <v>4.8582444542820342</v>
      </c>
      <c r="G30" s="37">
        <f>G29/'First Page'!$B$14</f>
        <v>5.9200902214580227</v>
      </c>
      <c r="H30" s="37">
        <f>H29/'First Page'!$B$14</f>
        <v>9.3050336760984429</v>
      </c>
      <c r="I30" s="37">
        <f>I29/'First Page'!$B$14</f>
        <v>7.1429332519013773</v>
      </c>
      <c r="J30" s="37">
        <f>J29/'First Page'!$B$14</f>
        <v>6.1681476350409463</v>
      </c>
      <c r="K30" s="37">
        <f>K29/'First Page'!$B$14</f>
        <v>19.344957444566411</v>
      </c>
      <c r="L30" s="20"/>
    </row>
    <row r="31" spans="1:13" x14ac:dyDescent="0.35">
      <c r="A31" s="1"/>
      <c r="B31" s="4"/>
      <c r="C31" s="4"/>
      <c r="D31" s="4"/>
      <c r="E31" s="4"/>
      <c r="F31" s="4"/>
      <c r="G31" s="4"/>
      <c r="H31" s="4"/>
      <c r="I31" s="4"/>
      <c r="J31" s="4"/>
      <c r="K31" s="4"/>
    </row>
    <row r="32" spans="1:13" x14ac:dyDescent="0.35">
      <c r="A32" s="135" t="s">
        <v>197</v>
      </c>
      <c r="B32" s="26">
        <f t="shared" ref="B32:G32" si="10">B29-B21</f>
        <v>102.15999999999995</v>
      </c>
      <c r="C32" s="26">
        <f t="shared" si="10"/>
        <v>160.96000000000032</v>
      </c>
      <c r="D32" s="26">
        <f t="shared" si="10"/>
        <v>38.480000000000217</v>
      </c>
      <c r="E32" s="26">
        <f t="shared" si="10"/>
        <v>69.859999999998919</v>
      </c>
      <c r="F32" s="26">
        <f t="shared" si="10"/>
        <v>306.6900000000004</v>
      </c>
      <c r="G32" s="26">
        <f t="shared" si="10"/>
        <v>369.92000000000081</v>
      </c>
      <c r="H32" s="26">
        <f>H29-H21</f>
        <v>387.020000000001</v>
      </c>
      <c r="I32" s="26">
        <f t="shared" ref="I32:K32" si="11">I29-I21</f>
        <v>446.33000000000072</v>
      </c>
      <c r="J32" s="26">
        <f t="shared" si="11"/>
        <v>385.42000000000013</v>
      </c>
      <c r="K32" s="26">
        <f t="shared" si="11"/>
        <v>484.75999999999908</v>
      </c>
      <c r="L32" s="20">
        <f>(K32/C32)^(1/8)-1</f>
        <v>0.14776004328847625</v>
      </c>
    </row>
    <row r="33" spans="1:13" x14ac:dyDescent="0.35">
      <c r="A33" s="135" t="s">
        <v>198</v>
      </c>
      <c r="B33" s="37">
        <f>B32/'First Page'!$B$14</f>
        <v>1.6349384110730698</v>
      </c>
      <c r="C33" s="37">
        <f>C32/'First Page'!$B$14</f>
        <v>2.5759562122780144</v>
      </c>
      <c r="D33" s="37">
        <f>D32/'First Page'!$B$14</f>
        <v>0.61582253384976615</v>
      </c>
      <c r="E33" s="37">
        <f>E32/'First Page'!$B$14</f>
        <v>1.1180187685744218</v>
      </c>
      <c r="F33" s="37">
        <f>F32/'First Page'!$B$14</f>
        <v>4.9081760110806645</v>
      </c>
      <c r="G33" s="37">
        <f>G32/'First Page'!$B$14</f>
        <v>5.9200902214580227</v>
      </c>
      <c r="H33" s="37">
        <f>H32/'First Page'!$B$14</f>
        <v>6.1937535616043595</v>
      </c>
      <c r="I33" s="37">
        <f>I32/'First Page'!$B$14</f>
        <v>7.1429332519013773</v>
      </c>
      <c r="J33" s="37">
        <f>J32/'First Page'!$B$14</f>
        <v>6.1681476350409463</v>
      </c>
      <c r="K33" s="37">
        <f>K32/'First Page'!$B$14</f>
        <v>7.7579556005460075</v>
      </c>
      <c r="L33" s="20"/>
      <c r="M33" s="7"/>
    </row>
    <row r="34" spans="1:13" x14ac:dyDescent="0.35">
      <c r="B34" s="2"/>
      <c r="C34" s="2"/>
      <c r="D34" s="2"/>
      <c r="E34" s="2"/>
      <c r="F34" s="2"/>
      <c r="G34" s="2"/>
      <c r="H34" s="2"/>
      <c r="I34" s="2"/>
      <c r="J34" s="2"/>
      <c r="K34" s="2"/>
    </row>
    <row r="35" spans="1:13" x14ac:dyDescent="0.35">
      <c r="B35" s="2"/>
      <c r="C35" s="2"/>
      <c r="D35" s="2"/>
      <c r="E35" s="2"/>
      <c r="F35" s="2"/>
      <c r="G35" s="2"/>
      <c r="H35" s="2"/>
      <c r="I35" s="2"/>
      <c r="J35" s="2"/>
      <c r="K35" s="2"/>
    </row>
    <row r="36" spans="1:13" x14ac:dyDescent="0.35">
      <c r="B36" s="2"/>
      <c r="C36" s="2"/>
      <c r="D36" s="2"/>
      <c r="E36" s="2"/>
      <c r="F36" s="2"/>
      <c r="G36" s="2"/>
      <c r="H36" s="2"/>
      <c r="I36" s="2"/>
      <c r="J36" s="2"/>
      <c r="K36" s="2"/>
    </row>
    <row r="37" spans="1:13" x14ac:dyDescent="0.35">
      <c r="B37" s="2"/>
      <c r="C37" s="2"/>
      <c r="D37" s="2"/>
      <c r="E37" s="2"/>
      <c r="F37" s="2"/>
      <c r="G37" s="2"/>
      <c r="H37" s="2"/>
      <c r="I37" s="2"/>
      <c r="J37" s="2"/>
      <c r="K37" s="2"/>
    </row>
    <row r="38" spans="1:13" x14ac:dyDescent="0.35">
      <c r="B38" s="2"/>
      <c r="C38" s="2"/>
      <c r="D38" s="2"/>
      <c r="E38" s="2"/>
      <c r="F38" s="2"/>
      <c r="G38" s="2"/>
      <c r="H38" s="2"/>
      <c r="I38" s="2"/>
      <c r="J38" s="2"/>
      <c r="K38" s="2"/>
    </row>
    <row r="39" spans="1:13" x14ac:dyDescent="0.35">
      <c r="B39" s="2"/>
      <c r="C39" s="2"/>
      <c r="D39" s="2"/>
      <c r="E39" s="2"/>
      <c r="F39" s="2"/>
      <c r="G39" s="2"/>
      <c r="H39" s="2"/>
      <c r="I39" s="2"/>
      <c r="J39" s="2"/>
      <c r="K39" s="2"/>
    </row>
    <row r="40" spans="1:13" x14ac:dyDescent="0.35">
      <c r="B40" s="2"/>
      <c r="C40" s="2"/>
      <c r="D40" s="2"/>
      <c r="E40" s="2"/>
      <c r="F40" s="2"/>
      <c r="G40" s="2"/>
      <c r="H40" s="2"/>
      <c r="I40" s="2"/>
      <c r="J40" s="2"/>
      <c r="K40" s="2"/>
    </row>
    <row r="41" spans="1:13" x14ac:dyDescent="0.35">
      <c r="B41" s="2"/>
      <c r="C41" s="2"/>
      <c r="D41" s="2"/>
      <c r="E41" s="2"/>
      <c r="F41" s="2"/>
      <c r="G41" s="2"/>
      <c r="H41" s="2"/>
      <c r="I41" s="2"/>
      <c r="J41" s="2"/>
      <c r="K41" s="2"/>
    </row>
    <row r="42" spans="1:13" x14ac:dyDescent="0.35">
      <c r="B42" s="2"/>
      <c r="C42" s="2"/>
      <c r="D42" s="2"/>
      <c r="E42" s="2"/>
      <c r="F42" s="2"/>
      <c r="G42" s="2"/>
      <c r="H42" s="2"/>
      <c r="I42" s="2"/>
      <c r="J42" s="2"/>
      <c r="K42" s="2"/>
    </row>
    <row r="43" spans="1:13" x14ac:dyDescent="0.35">
      <c r="B43" s="2"/>
      <c r="C43" s="2"/>
      <c r="D43" s="2"/>
      <c r="E43" s="2"/>
      <c r="F43" s="2"/>
      <c r="G43" s="2"/>
      <c r="H43" s="2"/>
      <c r="I43" s="2"/>
      <c r="J43" s="2"/>
      <c r="K43" s="2"/>
    </row>
    <row r="44" spans="1:13" x14ac:dyDescent="0.35">
      <c r="B44" s="2"/>
      <c r="C44" s="2"/>
      <c r="D44" s="2"/>
      <c r="E44" s="2"/>
      <c r="F44" s="2"/>
      <c r="G44" s="2"/>
      <c r="H44" s="2"/>
      <c r="I44" s="2"/>
      <c r="J44" s="2"/>
      <c r="K44" s="2"/>
    </row>
    <row r="45" spans="1:13" x14ac:dyDescent="0.35">
      <c r="B45" s="2"/>
      <c r="C45" s="2"/>
      <c r="D45" s="2"/>
      <c r="E45" s="2"/>
      <c r="F45" s="2"/>
      <c r="G45" s="2"/>
      <c r="H45" s="2"/>
      <c r="I45" s="2"/>
      <c r="J45" s="2"/>
      <c r="K45" s="2"/>
    </row>
    <row r="46" spans="1:13" x14ac:dyDescent="0.35">
      <c r="B46" s="2"/>
      <c r="C46" s="2"/>
      <c r="D46" s="2"/>
      <c r="E46" s="2"/>
      <c r="F46" s="2"/>
      <c r="G46" s="2"/>
      <c r="H46" s="2"/>
      <c r="I46" s="2"/>
      <c r="J46" s="2"/>
      <c r="K46" s="2"/>
    </row>
    <row r="47" spans="1:13" x14ac:dyDescent="0.35">
      <c r="B47" s="2"/>
      <c r="C47" s="2"/>
      <c r="D47" s="2"/>
      <c r="E47" s="2"/>
      <c r="F47" s="2"/>
      <c r="G47" s="2"/>
      <c r="H47" s="2"/>
      <c r="I47" s="2"/>
      <c r="J47" s="2"/>
      <c r="K47" s="2"/>
    </row>
    <row r="48" spans="1:13" x14ac:dyDescent="0.35">
      <c r="B48" s="2"/>
      <c r="C48" s="2"/>
      <c r="D48" s="2"/>
      <c r="E48" s="2"/>
      <c r="F48" s="2"/>
      <c r="G48" s="2"/>
      <c r="H48" s="2"/>
      <c r="I48" s="2"/>
      <c r="J48" s="2"/>
      <c r="K48" s="2"/>
    </row>
    <row r="49" spans="2:11" x14ac:dyDescent="0.35">
      <c r="B49" s="2"/>
      <c r="C49" s="2"/>
      <c r="D49" s="2"/>
      <c r="E49" s="2"/>
      <c r="F49" s="2"/>
      <c r="G49" s="2"/>
      <c r="H49" s="2"/>
      <c r="I49" s="2"/>
      <c r="J49" s="2"/>
      <c r="K49" s="2"/>
    </row>
    <row r="50" spans="2:11" x14ac:dyDescent="0.35">
      <c r="B50" s="2"/>
      <c r="C50" s="2"/>
      <c r="D50" s="2"/>
      <c r="E50" s="2"/>
      <c r="F50" s="2"/>
      <c r="G50" s="2"/>
      <c r="H50" s="2"/>
      <c r="I50" s="2"/>
      <c r="J50" s="2"/>
      <c r="K50" s="2"/>
    </row>
    <row r="51" spans="2:11" x14ac:dyDescent="0.35">
      <c r="B51" s="2"/>
      <c r="C51" s="2"/>
      <c r="D51" s="2"/>
      <c r="E51" s="2"/>
      <c r="F51" s="2"/>
      <c r="G51" s="2"/>
      <c r="H51" s="2"/>
      <c r="I51" s="2"/>
      <c r="J51" s="2"/>
      <c r="K51" s="2"/>
    </row>
    <row r="52" spans="2:11" x14ac:dyDescent="0.35">
      <c r="B52" s="2"/>
      <c r="C52" s="2"/>
      <c r="D52" s="2"/>
      <c r="E52" s="2"/>
      <c r="F52" s="2"/>
      <c r="G52" s="2"/>
      <c r="H52" s="2"/>
      <c r="I52" s="2"/>
      <c r="J52" s="2"/>
      <c r="K52" s="2"/>
    </row>
    <row r="53" spans="2:11" x14ac:dyDescent="0.35">
      <c r="B53" s="2"/>
      <c r="C53" s="2"/>
      <c r="D53" s="2"/>
      <c r="E53" s="2"/>
      <c r="F53" s="2"/>
      <c r="G53" s="2"/>
      <c r="H53" s="2"/>
      <c r="I53" s="2"/>
      <c r="J53" s="2"/>
      <c r="K53" s="2"/>
    </row>
    <row r="54" spans="2:11" x14ac:dyDescent="0.35">
      <c r="B54" s="2"/>
      <c r="C54" s="2"/>
      <c r="D54" s="2"/>
      <c r="E54" s="2"/>
      <c r="F54" s="2"/>
      <c r="G54" s="2"/>
      <c r="H54" s="2"/>
      <c r="I54" s="2"/>
      <c r="J54" s="2"/>
      <c r="K54" s="2"/>
    </row>
    <row r="55" spans="2:11" x14ac:dyDescent="0.35">
      <c r="B55" s="2"/>
      <c r="C55" s="2"/>
      <c r="D55" s="2"/>
      <c r="E55" s="2"/>
      <c r="F55" s="2"/>
      <c r="G55" s="2"/>
      <c r="H55" s="2"/>
      <c r="I55" s="2"/>
      <c r="J55" s="2"/>
      <c r="K55" s="2"/>
    </row>
    <row r="56" spans="2:11" x14ac:dyDescent="0.35">
      <c r="B56" s="2"/>
      <c r="C56" s="2"/>
      <c r="D56" s="2"/>
      <c r="E56" s="2"/>
      <c r="F56" s="2"/>
      <c r="G56" s="2"/>
      <c r="H56" s="2"/>
      <c r="I56" s="2"/>
      <c r="J56" s="2"/>
      <c r="K56" s="2"/>
    </row>
    <row r="57" spans="2:11" x14ac:dyDescent="0.35">
      <c r="B57" s="2"/>
      <c r="C57" s="2"/>
      <c r="D57" s="2"/>
      <c r="E57" s="2"/>
      <c r="F57" s="2"/>
      <c r="G57" s="2"/>
      <c r="H57" s="2"/>
      <c r="I57" s="2"/>
      <c r="J57" s="2"/>
      <c r="K57" s="2"/>
    </row>
    <row r="58" spans="2:11" x14ac:dyDescent="0.35">
      <c r="B58" s="2"/>
      <c r="C58" s="2"/>
      <c r="D58" s="2"/>
      <c r="E58" s="2"/>
      <c r="F58" s="2"/>
      <c r="G58" s="2"/>
      <c r="H58" s="2"/>
      <c r="I58" s="2"/>
      <c r="J58" s="2"/>
      <c r="K58" s="2"/>
    </row>
    <row r="59" spans="2:11" x14ac:dyDescent="0.35">
      <c r="B59" s="2"/>
      <c r="C59" s="2"/>
      <c r="D59" s="2"/>
      <c r="E59" s="2"/>
      <c r="F59" s="2"/>
      <c r="G59" s="2"/>
      <c r="H59" s="2"/>
      <c r="I59" s="2"/>
      <c r="J59" s="2"/>
      <c r="K59" s="2"/>
    </row>
    <row r="60" spans="2:11" x14ac:dyDescent="0.35">
      <c r="B60" s="2"/>
      <c r="C60" s="2"/>
      <c r="D60" s="2"/>
      <c r="E60" s="2"/>
      <c r="F60" s="2"/>
      <c r="G60" s="2"/>
      <c r="H60" s="2"/>
      <c r="I60" s="2"/>
      <c r="J60" s="2"/>
      <c r="K60" s="2"/>
    </row>
    <row r="61" spans="2:11" x14ac:dyDescent="0.35">
      <c r="B61" s="2"/>
      <c r="C61" s="2"/>
      <c r="D61" s="2"/>
      <c r="E61" s="2"/>
      <c r="F61" s="2"/>
      <c r="G61" s="2"/>
      <c r="H61" s="2"/>
      <c r="I61" s="2"/>
      <c r="J61" s="2"/>
      <c r="K61" s="2"/>
    </row>
    <row r="62" spans="2:11" x14ac:dyDescent="0.35">
      <c r="B62" s="2"/>
      <c r="C62" s="2"/>
      <c r="D62" s="2"/>
      <c r="E62" s="2"/>
      <c r="F62" s="2"/>
      <c r="G62" s="2"/>
      <c r="H62" s="2"/>
      <c r="I62" s="2"/>
      <c r="J62" s="2"/>
      <c r="K62" s="2"/>
    </row>
    <row r="63" spans="2:11" x14ac:dyDescent="0.35">
      <c r="B63" s="2"/>
      <c r="C63" s="2"/>
      <c r="D63" s="2"/>
      <c r="E63" s="2"/>
      <c r="F63" s="2"/>
      <c r="G63" s="2"/>
      <c r="H63" s="2"/>
      <c r="I63" s="2"/>
      <c r="J63" s="2"/>
      <c r="K63" s="2"/>
    </row>
    <row r="64" spans="2:11" x14ac:dyDescent="0.35">
      <c r="B64" s="2"/>
      <c r="C64" s="2"/>
      <c r="D64" s="2"/>
      <c r="E64" s="2"/>
      <c r="F64" s="2"/>
      <c r="G64" s="2"/>
      <c r="H64" s="2"/>
      <c r="I64" s="2"/>
      <c r="J64" s="2"/>
      <c r="K64" s="2"/>
    </row>
    <row r="65" spans="2:11" x14ac:dyDescent="0.35">
      <c r="B65" s="2"/>
      <c r="C65" s="2"/>
      <c r="D65" s="2"/>
      <c r="E65" s="2"/>
      <c r="F65" s="2"/>
      <c r="G65" s="2"/>
      <c r="H65" s="2"/>
      <c r="I65" s="2"/>
      <c r="J65" s="2"/>
      <c r="K65" s="2"/>
    </row>
    <row r="66" spans="2:11" x14ac:dyDescent="0.35">
      <c r="B66" s="2"/>
      <c r="C66" s="2"/>
      <c r="D66" s="2"/>
      <c r="E66" s="2"/>
      <c r="F66" s="2"/>
      <c r="G66" s="2"/>
      <c r="H66" s="2"/>
      <c r="I66" s="2"/>
      <c r="J66" s="2"/>
      <c r="K66" s="2"/>
    </row>
    <row r="67" spans="2:11" x14ac:dyDescent="0.35">
      <c r="B67" s="2"/>
      <c r="C67" s="2"/>
      <c r="D67" s="2"/>
      <c r="E67" s="2"/>
      <c r="F67" s="2"/>
      <c r="G67" s="2"/>
      <c r="H67" s="2"/>
      <c r="I67" s="2"/>
      <c r="J67" s="2"/>
      <c r="K67" s="2"/>
    </row>
    <row r="68" spans="2:11" x14ac:dyDescent="0.35">
      <c r="B68" s="2"/>
      <c r="C68" s="2"/>
      <c r="D68" s="2"/>
      <c r="E68" s="2"/>
      <c r="F68" s="2"/>
      <c r="G68" s="2"/>
      <c r="H68" s="2"/>
      <c r="I68" s="2"/>
      <c r="J68" s="2"/>
      <c r="K68" s="2"/>
    </row>
    <row r="69" spans="2:11" x14ac:dyDescent="0.35">
      <c r="B69" s="2"/>
      <c r="C69" s="2"/>
      <c r="D69" s="2"/>
      <c r="E69" s="2"/>
      <c r="F69" s="2"/>
      <c r="G69" s="2"/>
      <c r="H69" s="2"/>
      <c r="I69" s="2"/>
      <c r="J69" s="2"/>
      <c r="K69" s="2"/>
    </row>
    <row r="70" spans="2:11" x14ac:dyDescent="0.35">
      <c r="B70" s="2"/>
      <c r="C70" s="2"/>
      <c r="D70" s="2"/>
      <c r="E70" s="2"/>
      <c r="F70" s="2"/>
      <c r="G70" s="2"/>
      <c r="H70" s="2"/>
      <c r="I70" s="2"/>
      <c r="J70" s="2"/>
      <c r="K70" s="2"/>
    </row>
    <row r="71" spans="2:11" x14ac:dyDescent="0.35">
      <c r="B71" s="2"/>
      <c r="C71" s="2"/>
      <c r="D71" s="2"/>
      <c r="E71" s="2"/>
      <c r="F71" s="2"/>
      <c r="G71" s="2"/>
      <c r="H71" s="2"/>
      <c r="I71" s="2"/>
      <c r="J71" s="2"/>
      <c r="K71" s="2"/>
    </row>
    <row r="72" spans="2:11" x14ac:dyDescent="0.35">
      <c r="B72" s="2"/>
      <c r="C72" s="2"/>
      <c r="D72" s="2"/>
      <c r="E72" s="2"/>
      <c r="F72" s="2"/>
      <c r="G72" s="2"/>
      <c r="H72" s="2"/>
      <c r="I72" s="2"/>
      <c r="J72" s="2"/>
      <c r="K72" s="2"/>
    </row>
    <row r="73" spans="2:11" x14ac:dyDescent="0.35">
      <c r="B73" s="2"/>
      <c r="C73" s="2"/>
      <c r="D73" s="2"/>
      <c r="E73" s="2"/>
      <c r="F73" s="2"/>
      <c r="G73" s="2"/>
      <c r="H73" s="2"/>
      <c r="I73" s="2"/>
      <c r="J73" s="2"/>
      <c r="K73" s="2"/>
    </row>
    <row r="74" spans="2:11" x14ac:dyDescent="0.35">
      <c r="B74" s="2"/>
      <c r="C74" s="2"/>
      <c r="D74" s="2"/>
      <c r="E74" s="2"/>
      <c r="F74" s="2"/>
      <c r="G74" s="2"/>
      <c r="H74" s="2"/>
      <c r="I74" s="2"/>
      <c r="J74" s="2"/>
      <c r="K74" s="2"/>
    </row>
    <row r="75" spans="2:11" x14ac:dyDescent="0.35">
      <c r="B75" s="2"/>
      <c r="C75" s="2"/>
      <c r="D75" s="2"/>
      <c r="E75" s="2"/>
      <c r="F75" s="2"/>
      <c r="G75" s="2"/>
      <c r="H75" s="2"/>
      <c r="I75" s="2"/>
      <c r="J75" s="2"/>
      <c r="K75" s="2"/>
    </row>
    <row r="76" spans="2:11" x14ac:dyDescent="0.35">
      <c r="B76" s="2"/>
      <c r="C76" s="2"/>
      <c r="D76" s="2"/>
      <c r="E76" s="2"/>
      <c r="F76" s="2"/>
      <c r="G76" s="2"/>
      <c r="H76" s="2"/>
      <c r="I76" s="2"/>
      <c r="J76" s="2"/>
      <c r="K76" s="2"/>
    </row>
    <row r="77" spans="2:11" x14ac:dyDescent="0.35">
      <c r="B77" s="2"/>
      <c r="C77" s="2"/>
      <c r="D77" s="2"/>
      <c r="E77" s="2"/>
      <c r="F77" s="2"/>
      <c r="G77" s="2"/>
      <c r="H77" s="2"/>
      <c r="I77" s="2"/>
      <c r="J77" s="2"/>
      <c r="K77" s="2"/>
    </row>
    <row r="78" spans="2:11" x14ac:dyDescent="0.35">
      <c r="B78" s="2"/>
      <c r="C78" s="2"/>
      <c r="D78" s="2"/>
      <c r="E78" s="2"/>
      <c r="F78" s="2"/>
      <c r="G78" s="2"/>
      <c r="H78" s="2"/>
      <c r="I78" s="2"/>
      <c r="J78" s="2"/>
      <c r="K78" s="2"/>
    </row>
    <row r="79" spans="2:11" x14ac:dyDescent="0.35">
      <c r="B79" s="2"/>
      <c r="C79" s="2"/>
      <c r="D79" s="2"/>
      <c r="E79" s="2"/>
      <c r="F79" s="2"/>
      <c r="G79" s="2"/>
      <c r="H79" s="2"/>
      <c r="I79" s="2"/>
      <c r="J79" s="2"/>
      <c r="K79" s="2"/>
    </row>
    <row r="80" spans="2:11" x14ac:dyDescent="0.35">
      <c r="B80" s="2"/>
      <c r="C80" s="2"/>
      <c r="D80" s="2"/>
      <c r="E80" s="2"/>
      <c r="F80" s="2"/>
      <c r="G80" s="2"/>
      <c r="H80" s="2"/>
      <c r="I80" s="2"/>
      <c r="J80" s="2"/>
      <c r="K80" s="2"/>
    </row>
    <row r="81" spans="2:11" x14ac:dyDescent="0.35">
      <c r="B81" s="2"/>
      <c r="C81" s="2"/>
      <c r="D81" s="2"/>
      <c r="E81" s="2"/>
      <c r="F81" s="2"/>
      <c r="G81" s="2"/>
      <c r="H81" s="2"/>
      <c r="I81" s="2"/>
      <c r="J81" s="2"/>
      <c r="K81" s="2"/>
    </row>
    <row r="82" spans="2:11" x14ac:dyDescent="0.35">
      <c r="B82" s="2"/>
      <c r="C82" s="2"/>
      <c r="D82" s="2"/>
      <c r="E82" s="2"/>
      <c r="F82" s="2"/>
      <c r="G82" s="2"/>
      <c r="H82" s="2"/>
      <c r="I82" s="2"/>
      <c r="J82" s="2"/>
      <c r="K82" s="2"/>
    </row>
    <row r="83" spans="2:11" x14ac:dyDescent="0.35">
      <c r="B83" s="2"/>
      <c r="C83" s="2"/>
      <c r="D83" s="2"/>
      <c r="E83" s="2"/>
      <c r="F83" s="2"/>
      <c r="G83" s="2"/>
      <c r="H83" s="2"/>
      <c r="I83" s="2"/>
      <c r="J83" s="2"/>
      <c r="K83" s="2"/>
    </row>
    <row r="84" spans="2:11" x14ac:dyDescent="0.35">
      <c r="B84" s="2"/>
      <c r="C84" s="2"/>
      <c r="D84" s="2"/>
      <c r="E84" s="2"/>
      <c r="F84" s="2"/>
      <c r="G84" s="2"/>
      <c r="H84" s="2"/>
      <c r="I84" s="2"/>
      <c r="J84" s="2"/>
      <c r="K84" s="2"/>
    </row>
    <row r="85" spans="2:11" x14ac:dyDescent="0.35">
      <c r="B85" s="2"/>
      <c r="C85" s="2"/>
      <c r="D85" s="2"/>
      <c r="E85" s="2"/>
      <c r="F85" s="2"/>
      <c r="G85" s="2"/>
      <c r="H85" s="2"/>
      <c r="I85" s="2"/>
      <c r="J85" s="2"/>
      <c r="K85" s="2"/>
    </row>
    <row r="86" spans="2:11" x14ac:dyDescent="0.35">
      <c r="B86" s="2"/>
      <c r="C86" s="2"/>
      <c r="D86" s="2"/>
      <c r="E86" s="2"/>
      <c r="F86" s="2"/>
      <c r="G86" s="2"/>
      <c r="H86" s="2"/>
      <c r="I86" s="2"/>
      <c r="J86" s="2"/>
      <c r="K86" s="2"/>
    </row>
    <row r="87" spans="2:11" x14ac:dyDescent="0.35">
      <c r="B87" s="2"/>
      <c r="C87" s="2"/>
      <c r="D87" s="2"/>
      <c r="E87" s="2"/>
      <c r="F87" s="2"/>
      <c r="G87" s="2"/>
      <c r="H87" s="2"/>
      <c r="I87" s="2"/>
      <c r="J87" s="2"/>
      <c r="K87" s="2"/>
    </row>
    <row r="88" spans="2:11" x14ac:dyDescent="0.35">
      <c r="B88" s="2"/>
      <c r="C88" s="2"/>
      <c r="D88" s="2"/>
      <c r="E88" s="2"/>
      <c r="F88" s="2"/>
      <c r="G88" s="2"/>
      <c r="H88" s="2"/>
      <c r="I88" s="2"/>
      <c r="J88" s="2"/>
      <c r="K88" s="2"/>
    </row>
    <row r="89" spans="2:11" x14ac:dyDescent="0.35">
      <c r="B89" s="2"/>
      <c r="C89" s="2"/>
      <c r="D89" s="2"/>
      <c r="E89" s="2"/>
      <c r="F89" s="2"/>
      <c r="G89" s="2"/>
      <c r="H89" s="2"/>
      <c r="I89" s="2"/>
      <c r="J89" s="2"/>
      <c r="K89" s="2"/>
    </row>
    <row r="90" spans="2:11" x14ac:dyDescent="0.35">
      <c r="B90" s="2"/>
      <c r="C90" s="2"/>
      <c r="D90" s="2"/>
      <c r="E90" s="2"/>
      <c r="F90" s="2"/>
      <c r="G90" s="2"/>
      <c r="H90" s="2"/>
      <c r="I90" s="2"/>
      <c r="J90" s="2"/>
      <c r="K90" s="2"/>
    </row>
    <row r="91" spans="2:11" x14ac:dyDescent="0.35">
      <c r="B91" s="2"/>
      <c r="C91" s="2"/>
      <c r="D91" s="2"/>
      <c r="E91" s="2"/>
      <c r="F91" s="2"/>
      <c r="G91" s="2"/>
      <c r="H91" s="2"/>
      <c r="I91" s="2"/>
      <c r="J91" s="2"/>
      <c r="K91" s="2"/>
    </row>
  </sheetData>
  <mergeCells count="2">
    <mergeCell ref="A1:K1"/>
    <mergeCell ref="A2:K2"/>
  </mergeCells>
  <pageMargins left="0.7" right="0.7" top="0.75" bottom="0.75" header="0.3" footer="0.3"/>
  <legacyDrawing r:id="rId1"/>
  <extLst>
    <ext xmlns:x14="http://schemas.microsoft.com/office/spreadsheetml/2009/9/main" uri="{05C60535-1F16-4fd2-B633-F4F36F0B64E0}">
      <x14:sparklineGroups xmlns:xm="http://schemas.microsoft.com/office/excel/2006/main">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'P &amp; L Account'!B4:K4</xm:f>
              <xm:sqref>M4</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'P &amp; L Account'!B15:K15</xm:f>
              <xm:sqref>M15</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'P &amp; L Account'!B19:K19</xm:f>
              <xm:sqref>M19</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'P &amp; L Account'!B33:K33</xm:f>
              <xm:sqref>M33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89"/>
  <sheetViews>
    <sheetView workbookViewId="0">
      <selection activeCell="A11" sqref="A11"/>
    </sheetView>
  </sheetViews>
  <sheetFormatPr defaultColWidth="9.1796875" defaultRowHeight="15.5" x14ac:dyDescent="0.35"/>
  <cols>
    <col min="1" max="1" width="43.6328125" style="3" customWidth="1"/>
    <col min="2" max="4" width="8.453125" style="3" customWidth="1"/>
    <col min="5" max="10" width="9.7265625" style="3" customWidth="1"/>
    <col min="11" max="11" width="10.1796875" style="3" customWidth="1"/>
    <col min="12" max="12" width="8.81640625" style="3" customWidth="1"/>
    <col min="13" max="16384" width="9.1796875" style="3"/>
  </cols>
  <sheetData>
    <row r="1" spans="1:189" ht="19" x14ac:dyDescent="0.4">
      <c r="A1" s="247" t="s">
        <v>192</v>
      </c>
      <c r="B1" s="247"/>
      <c r="C1" s="247"/>
      <c r="D1" s="247"/>
      <c r="E1" s="247"/>
      <c r="F1" s="247"/>
      <c r="G1" s="247"/>
      <c r="H1" s="247"/>
      <c r="I1" s="247"/>
      <c r="J1" s="247"/>
      <c r="K1" s="247"/>
    </row>
    <row r="2" spans="1:189" x14ac:dyDescent="0.35">
      <c r="A2" s="118" t="s">
        <v>109</v>
      </c>
      <c r="B2" s="119" t="s">
        <v>162</v>
      </c>
      <c r="C2" s="119" t="s">
        <v>161</v>
      </c>
      <c r="D2" s="119" t="s">
        <v>160</v>
      </c>
      <c r="E2" s="119" t="s">
        <v>155</v>
      </c>
      <c r="F2" s="119" t="s">
        <v>156</v>
      </c>
      <c r="G2" s="119" t="s">
        <v>157</v>
      </c>
      <c r="H2" s="119" t="s">
        <v>158</v>
      </c>
      <c r="I2" s="119" t="s">
        <v>159</v>
      </c>
      <c r="J2" s="119" t="s">
        <v>154</v>
      </c>
      <c r="K2" s="119" t="s">
        <v>153</v>
      </c>
      <c r="L2" s="29"/>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row>
    <row r="3" spans="1:189" x14ac:dyDescent="0.35">
      <c r="A3" s="121" t="s">
        <v>48</v>
      </c>
      <c r="B3" s="140">
        <v>1</v>
      </c>
      <c r="C3" s="140">
        <v>1</v>
      </c>
      <c r="D3" s="140">
        <v>1</v>
      </c>
      <c r="E3" s="140">
        <v>1</v>
      </c>
      <c r="F3" s="140">
        <v>1</v>
      </c>
      <c r="G3" s="140">
        <v>1</v>
      </c>
      <c r="H3" s="140">
        <v>1</v>
      </c>
      <c r="I3" s="140">
        <v>1</v>
      </c>
      <c r="J3" s="140">
        <v>1</v>
      </c>
      <c r="K3" s="140">
        <v>1</v>
      </c>
      <c r="L3" s="20"/>
    </row>
    <row r="4" spans="1:189" x14ac:dyDescent="0.35">
      <c r="A4" s="136"/>
      <c r="B4" s="137"/>
      <c r="C4" s="137"/>
      <c r="D4" s="137"/>
      <c r="E4" s="137"/>
      <c r="F4" s="137"/>
      <c r="G4" s="137"/>
      <c r="H4" s="137"/>
      <c r="I4" s="137"/>
      <c r="J4" s="137"/>
      <c r="K4" s="137"/>
      <c r="L4" s="20"/>
    </row>
    <row r="5" spans="1:189" x14ac:dyDescent="0.35">
      <c r="A5" s="138" t="s">
        <v>57</v>
      </c>
      <c r="B5" s="137"/>
      <c r="C5" s="137"/>
      <c r="D5" s="137"/>
      <c r="E5" s="137"/>
      <c r="F5" s="137"/>
      <c r="G5" s="137"/>
      <c r="H5" s="137"/>
      <c r="I5" s="137"/>
      <c r="J5" s="137"/>
      <c r="K5" s="137"/>
    </row>
    <row r="6" spans="1:189" x14ac:dyDescent="0.35">
      <c r="A6" s="136" t="s">
        <v>182</v>
      </c>
      <c r="B6" s="139">
        <f>'P &amp; L Account'!B7/'P &amp; L Account'!B$4</f>
        <v>0.58571502436628275</v>
      </c>
      <c r="C6" s="139">
        <f>'P &amp; L Account'!C7/'P &amp; L Account'!C$4</f>
        <v>0.41450709884007969</v>
      </c>
      <c r="D6" s="139">
        <f>'P &amp; L Account'!D7/'P &amp; L Account'!D$4</f>
        <v>0.34892076480285683</v>
      </c>
      <c r="E6" s="139">
        <f>'P &amp; L Account'!E7/'P &amp; L Account'!E$4</f>
        <v>0.37078819270247187</v>
      </c>
      <c r="F6" s="139">
        <f>'P &amp; L Account'!F7/'P &amp; L Account'!F$4</f>
        <v>0.4607198407876521</v>
      </c>
      <c r="G6" s="139">
        <f>'P &amp; L Account'!G7/'P &amp; L Account'!G$4</f>
        <v>0.39355190083151792</v>
      </c>
      <c r="H6" s="139">
        <f>'P &amp; L Account'!H7/'P &amp; L Account'!H$4</f>
        <v>0.37620604065459046</v>
      </c>
      <c r="I6" s="139">
        <f>'P &amp; L Account'!I7/'P &amp; L Account'!I$4</f>
        <v>0.38474187006767818</v>
      </c>
      <c r="J6" s="139">
        <f>'P &amp; L Account'!J7/'P &amp; L Account'!J$4</f>
        <v>0.37799246857725655</v>
      </c>
      <c r="K6" s="139">
        <f>'P &amp; L Account'!K7/'P &amp; L Account'!K$4</f>
        <v>0.41655367129105098</v>
      </c>
    </row>
    <row r="7" spans="1:189" x14ac:dyDescent="0.35">
      <c r="A7" s="136" t="s">
        <v>183</v>
      </c>
      <c r="B7" s="139">
        <f>'P &amp; L Account'!B8/'P &amp; L Account'!B$4</f>
        <v>5.1666860562815851E-2</v>
      </c>
      <c r="C7" s="139">
        <f>'P &amp; L Account'!C8/'P &amp; L Account'!C$4</f>
        <v>0.12770516477344276</v>
      </c>
      <c r="D7" s="139">
        <f>'P &amp; L Account'!D8/'P &amp; L Account'!D$4</f>
        <v>0.20005513474237291</v>
      </c>
      <c r="E7" s="139">
        <f>'P &amp; L Account'!E8/'P &amp; L Account'!E$4</f>
        <v>0.19393829042511773</v>
      </c>
      <c r="F7" s="139">
        <f>'P &amp; L Account'!F8/'P &amp; L Account'!F$4</f>
        <v>0.14930433682605124</v>
      </c>
      <c r="G7" s="139">
        <f>'P &amp; L Account'!G8/'P &amp; L Account'!G$4</f>
        <v>0.19158970267865361</v>
      </c>
      <c r="H7" s="139">
        <f>'P &amp; L Account'!H8/'P &amp; L Account'!H$4</f>
        <v>0.19826735781034202</v>
      </c>
      <c r="I7" s="139">
        <f>'P &amp; L Account'!I8/'P &amp; L Account'!I$4</f>
        <v>0.19706565027242298</v>
      </c>
      <c r="J7" s="139">
        <f>'P &amp; L Account'!J8/'P &amp; L Account'!J$4</f>
        <v>0.17343393901344664</v>
      </c>
      <c r="K7" s="139">
        <f>'P &amp; L Account'!K8/'P &amp; L Account'!K$4</f>
        <v>0.16114091193101535</v>
      </c>
    </row>
    <row r="8" spans="1:189" x14ac:dyDescent="0.35">
      <c r="A8" s="136" t="s">
        <v>184</v>
      </c>
      <c r="B8" s="139">
        <f>'P &amp; L Account'!B9/'P &amp; L Account'!B$4</f>
        <v>0</v>
      </c>
      <c r="C8" s="139">
        <f>'P &amp; L Account'!C9/'P &amp; L Account'!C$4</f>
        <v>0</v>
      </c>
      <c r="D8" s="139">
        <f>'P &amp; L Account'!D9/'P &amp; L Account'!D$4</f>
        <v>0</v>
      </c>
      <c r="E8" s="139">
        <f>'P &amp; L Account'!E9/'P &amp; L Account'!E$4</f>
        <v>0</v>
      </c>
      <c r="F8" s="139">
        <f>'P &amp; L Account'!F9/'P &amp; L Account'!F$4</f>
        <v>-4.1217753530875902E-2</v>
      </c>
      <c r="G8" s="139">
        <f>'P &amp; L Account'!G9/'P &amp; L Account'!G$4</f>
        <v>-2.8667423521831183E-2</v>
      </c>
      <c r="H8" s="139">
        <f>'P &amp; L Account'!H9/'P &amp; L Account'!H$4</f>
        <v>-1.2141464619358185E-4</v>
      </c>
      <c r="I8" s="139">
        <f>'P &amp; L Account'!I9/'P &amp; L Account'!I$4</f>
        <v>-1.500280974370251E-2</v>
      </c>
      <c r="J8" s="139">
        <f>'P &amp; L Account'!J9/'P &amp; L Account'!J$4</f>
        <v>1.2108156551836004E-2</v>
      </c>
      <c r="K8" s="139">
        <f>'P &amp; L Account'!K9/'P &amp; L Account'!K$4</f>
        <v>-9.4942041798350557E-3</v>
      </c>
    </row>
    <row r="9" spans="1:189" x14ac:dyDescent="0.35">
      <c r="A9" s="136" t="s">
        <v>49</v>
      </c>
      <c r="B9" s="139">
        <f>'P &amp; L Account'!B10/'P &amp; L Account'!B$4</f>
        <v>3.430669200243016E-2</v>
      </c>
      <c r="C9" s="139">
        <f>'P &amp; L Account'!C10/'P &amp; L Account'!C$4</f>
        <v>0.15262656083535045</v>
      </c>
      <c r="D9" s="139">
        <f>'P &amp; L Account'!D10/'P &amp; L Account'!D$4</f>
        <v>0.15476796854033509</v>
      </c>
      <c r="E9" s="139">
        <f>'P &amp; L Account'!E10/'P &amp; L Account'!E$4</f>
        <v>0.14807741105689609</v>
      </c>
      <c r="F9" s="139">
        <f>'P &amp; L Account'!F10/'P &amp; L Account'!F$4</f>
        <v>0.1141122789138069</v>
      </c>
      <c r="G9" s="139">
        <f>'P &amp; L Account'!G10/'P &amp; L Account'!G$4</f>
        <v>0.12126660734558621</v>
      </c>
      <c r="H9" s="139">
        <f>'P &amp; L Account'!H10/'P &amp; L Account'!H$4</f>
        <v>0.12494670862830423</v>
      </c>
      <c r="I9" s="139">
        <f>'P &amp; L Account'!I10/'P &amp; L Account'!I$4</f>
        <v>0.1327750494759217</v>
      </c>
      <c r="J9" s="139">
        <f>'P &amp; L Account'!J10/'P &amp; L Account'!J$4</f>
        <v>0.13857397749908687</v>
      </c>
      <c r="K9" s="139">
        <f>'P &amp; L Account'!K10/'P &amp; L Account'!K$4</f>
        <v>0.1114156008804565</v>
      </c>
    </row>
    <row r="10" spans="1:189" x14ac:dyDescent="0.35">
      <c r="A10" s="136" t="s">
        <v>50</v>
      </c>
      <c r="B10" s="139">
        <f>'P &amp; L Account'!B11/'P &amp; L Account'!B$4</f>
        <v>4.7136153875984028E-2</v>
      </c>
      <c r="C10" s="139">
        <f>'P &amp; L Account'!C11/'P &amp; L Account'!C$4</f>
        <v>2.4615575272890086E-2</v>
      </c>
      <c r="D10" s="139">
        <f>'P &amp; L Account'!D11/'P &amp; L Account'!D$4</f>
        <v>2.222550839891994E-2</v>
      </c>
      <c r="E10" s="139">
        <f>'P &amp; L Account'!E11/'P &amp; L Account'!E$4</f>
        <v>3.258260904936882E-2</v>
      </c>
      <c r="F10" s="139">
        <f>'P &amp; L Account'!F11/'P &amp; L Account'!F$4</f>
        <v>3.1799708870885839E-2</v>
      </c>
      <c r="G10" s="139">
        <f>'P &amp; L Account'!G11/'P &amp; L Account'!G$4</f>
        <v>2.9552637231137432E-2</v>
      </c>
      <c r="H10" s="139">
        <f>'P &amp; L Account'!H11/'P &amp; L Account'!H$4</f>
        <v>3.0734462029638969E-2</v>
      </c>
      <c r="I10" s="139">
        <f>'P &amp; L Account'!I11/'P &amp; L Account'!I$4</f>
        <v>3.0108236213931442E-2</v>
      </c>
      <c r="J10" s="139">
        <f>'P &amp; L Account'!J11/'P &amp; L Account'!J$4</f>
        <v>3.1919275844484403E-2</v>
      </c>
      <c r="K10" s="139">
        <f>'P &amp; L Account'!K11/'P &amp; L Account'!K$4</f>
        <v>3.7501069459099999E-2</v>
      </c>
    </row>
    <row r="11" spans="1:189" x14ac:dyDescent="0.35">
      <c r="A11" s="136" t="s">
        <v>186</v>
      </c>
      <c r="B11" s="139">
        <f>'P &amp; L Account'!B12/'P &amp; L Account'!B$4</f>
        <v>2.0410801308152687E-2</v>
      </c>
      <c r="C11" s="139">
        <f>'P &amp; L Account'!C12/'P &amp; L Account'!C$4</f>
        <v>2.0663890959897499E-2</v>
      </c>
      <c r="D11" s="139">
        <f>'P &amp; L Account'!D12/'P &amp; L Account'!D$4</f>
        <v>2.0447321674708672E-2</v>
      </c>
      <c r="E11" s="139">
        <f>'P &amp; L Account'!E12/'P &amp; L Account'!E$4</f>
        <v>2.6498430045500596E-2</v>
      </c>
      <c r="F11" s="139">
        <f>'P &amp; L Account'!F12/'P &amp; L Account'!F$4</f>
        <v>2.3222624687535078E-2</v>
      </c>
      <c r="G11" s="139">
        <f>'P &amp; L Account'!G12/'P &amp; L Account'!G$4</f>
        <v>2.8334509527170079E-2</v>
      </c>
      <c r="H11" s="139">
        <f>'P &amp; L Account'!H12/'P &amp; L Account'!H$4</f>
        <v>3.1438115092806321E-2</v>
      </c>
      <c r="I11" s="139">
        <f>'P &amp; L Account'!I12/'P &amp; L Account'!I$4</f>
        <v>2.7234967871191576E-2</v>
      </c>
      <c r="J11" s="139">
        <f>'P &amp; L Account'!J12/'P &amp; L Account'!J$4</f>
        <v>3.0254054236979588E-2</v>
      </c>
      <c r="K11" s="139">
        <f>'P &amp; L Account'!K12/'P &amp; L Account'!K$4</f>
        <v>3.1762287112823397E-2</v>
      </c>
      <c r="L11" s="31"/>
    </row>
    <row r="12" spans="1:189" x14ac:dyDescent="0.35">
      <c r="A12" s="136" t="s">
        <v>187</v>
      </c>
      <c r="B12" s="139">
        <f>'P &amp; L Account'!B13/'P &amp; L Account'!B$4</f>
        <v>0.16653093936221092</v>
      </c>
      <c r="C12" s="139">
        <f>'P &amp; L Account'!C13/'P &amp; L Account'!C$4</f>
        <v>0.19060230704806982</v>
      </c>
      <c r="D12" s="139">
        <f>'P &amp; L Account'!D13/'P &amp; L Account'!D$4</f>
        <v>0.20090406372261746</v>
      </c>
      <c r="E12" s="139">
        <f>'P &amp; L Account'!E13/'P &amp; L Account'!E$4</f>
        <v>0.16570429069242645</v>
      </c>
      <c r="F12" s="139">
        <f>'P &amp; L Account'!F13/'P &amp; L Account'!F$4</f>
        <v>0.16281493702595753</v>
      </c>
      <c r="G12" s="139">
        <f>'P &amp; L Account'!G13/'P &amp; L Account'!G$4</f>
        <v>0.1635267405111841</v>
      </c>
      <c r="H12" s="139">
        <f>'P &amp; L Account'!H13/'P &amp; L Account'!H$4</f>
        <v>0.14548372008957086</v>
      </c>
      <c r="I12" s="139">
        <f>'P &amp; L Account'!I13/'P &amp; L Account'!I$4</f>
        <v>0.15237240098707516</v>
      </c>
      <c r="J12" s="139">
        <f>'P &amp; L Account'!J13/'P &amp; L Account'!J$4</f>
        <v>0.15156667362940127</v>
      </c>
      <c r="K12" s="139">
        <f>'P &amp; L Account'!K13/'P &amp; L Account'!K$4</f>
        <v>0.147388316062109</v>
      </c>
    </row>
    <row r="13" spans="1:189" x14ac:dyDescent="0.35">
      <c r="A13" s="121" t="s">
        <v>191</v>
      </c>
      <c r="B13" s="131">
        <f>'P &amp; L Account'!B14/'P &amp; L Account'!B$4</f>
        <v>0.90576647147787648</v>
      </c>
      <c r="C13" s="131">
        <f>'P &amp; L Account'!C14/'P &amp; L Account'!C$4</f>
        <v>0.93072059772973026</v>
      </c>
      <c r="D13" s="131">
        <f>'P &amp; L Account'!D14/'P &amp; L Account'!D$4</f>
        <v>0.9473207618818108</v>
      </c>
      <c r="E13" s="131">
        <f>'P &amp; L Account'!E14/'P &amp; L Account'!E$4</f>
        <v>0.93758922397178168</v>
      </c>
      <c r="F13" s="131">
        <f>'P &amp; L Account'!F14/'P &amp; L Account'!F$4</f>
        <v>0.90075597358101278</v>
      </c>
      <c r="G13" s="131">
        <f>'P &amp; L Account'!G14/'P &amp; L Account'!G$4</f>
        <v>0.89915467460341802</v>
      </c>
      <c r="H13" s="131">
        <f>'P &amp; L Account'!H14/'P &amp; L Account'!H$4</f>
        <v>0.9069549896590593</v>
      </c>
      <c r="I13" s="131">
        <f>'P &amp; L Account'!I14/'P &amp; L Account'!I$4</f>
        <v>0.90929536514451847</v>
      </c>
      <c r="J13" s="131">
        <f>'P &amp; L Account'!J14/'P &amp; L Account'!J$4</f>
        <v>0.91584854535249138</v>
      </c>
      <c r="K13" s="131">
        <f>'P &amp; L Account'!K14/'P &amp; L Account'!K$4</f>
        <v>0.89626765255672036</v>
      </c>
      <c r="L13" s="20"/>
    </row>
    <row r="14" spans="1:189" x14ac:dyDescent="0.35">
      <c r="A14" s="121" t="s">
        <v>101</v>
      </c>
      <c r="B14" s="131">
        <f>'P &amp; L Account'!B15/'P &amp; L Account'!B$4</f>
        <v>0.31548196119491739</v>
      </c>
      <c r="C14" s="131">
        <f>'P &amp; L Account'!C15/'P &amp; L Account'!C$4</f>
        <v>0.43317216111358742</v>
      </c>
      <c r="D14" s="131">
        <f>'P &amp; L Account'!D15/'P &amp; L Account'!D$4</f>
        <v>0.42879859205585036</v>
      </c>
      <c r="E14" s="131">
        <f>'P &amp; L Account'!E15/'P &amp; L Account'!E$4</f>
        <v>0.40269090782304151</v>
      </c>
      <c r="F14" s="131">
        <f>'P &amp; L Account'!F15/'P &amp; L Account'!F$4</f>
        <v>0.39939386704628671</v>
      </c>
      <c r="G14" s="131">
        <f>'P &amp; L Account'!G15/'P &amp; L Account'!G$4</f>
        <v>0.41397318278052225</v>
      </c>
      <c r="H14" s="131">
        <f>'P &amp; L Account'!H15/'P &amp; L Account'!H$4</f>
        <v>0.39491355415162216</v>
      </c>
      <c r="I14" s="131">
        <f>'P &amp; L Account'!I15/'P &amp; L Account'!I$4</f>
        <v>0.40308705318966986</v>
      </c>
      <c r="J14" s="131">
        <f>'P &amp; L Account'!J15/'P &amp; L Account'!J$4</f>
        <v>0.40454616001297627</v>
      </c>
      <c r="K14" s="131">
        <f>'P &amp; L Account'!K15/'P &amp; L Account'!K$4</f>
        <v>0.39429855149866871</v>
      </c>
      <c r="L14" s="20"/>
    </row>
    <row r="15" spans="1:189" x14ac:dyDescent="0.35">
      <c r="A15" s="121" t="s">
        <v>58</v>
      </c>
      <c r="B15" s="131">
        <f>'P &amp; L Account'!B16/'P &amp; L Account'!B$4</f>
        <v>9.4233528522123522E-2</v>
      </c>
      <c r="C15" s="131">
        <f>'P &amp; L Account'!C16/'P &amp; L Account'!C$4</f>
        <v>6.9279402270269685E-2</v>
      </c>
      <c r="D15" s="131">
        <f>'P &amp; L Account'!D16/'P &amp; L Account'!D$4</f>
        <v>5.2679238118189205E-2</v>
      </c>
      <c r="E15" s="131">
        <f>'P &amp; L Account'!E16/'P &amp; L Account'!E$4</f>
        <v>6.2410776028218297E-2</v>
      </c>
      <c r="F15" s="131">
        <f>'P &amp; L Account'!F16/'P &amp; L Account'!F$4</f>
        <v>9.9244026418987247E-2</v>
      </c>
      <c r="G15" s="131">
        <f>'P &amp; L Account'!G16/'P &amp; L Account'!G$4</f>
        <v>0.100845325396582</v>
      </c>
      <c r="H15" s="131">
        <f>'P &amp; L Account'!H16/'P &amp; L Account'!H$4</f>
        <v>9.3045010340940745E-2</v>
      </c>
      <c r="I15" s="131">
        <f>'P &amp; L Account'!I16/'P &amp; L Account'!I$4</f>
        <v>9.0704634855481525E-2</v>
      </c>
      <c r="J15" s="131">
        <f>'P &amp; L Account'!J16/'P &amp; L Account'!J$4</f>
        <v>8.4151454647508658E-2</v>
      </c>
      <c r="K15" s="131">
        <f>'P &amp; L Account'!K16/'P &amp; L Account'!K$4</f>
        <v>0.10373234744327967</v>
      </c>
      <c r="L15" s="20"/>
    </row>
    <row r="16" spans="1:189" x14ac:dyDescent="0.35">
      <c r="A16" s="136" t="s">
        <v>51</v>
      </c>
      <c r="B16" s="139">
        <f>'P &amp; L Account'!B17/'P &amp; L Account'!B$4</f>
        <v>3.5095203009268233E-3</v>
      </c>
      <c r="C16" s="139">
        <f>'P &amp; L Account'!C17/'P &amp; L Account'!C$4</f>
        <v>5.003068202033608E-3</v>
      </c>
      <c r="D16" s="139">
        <f>'P &amp; L Account'!D17/'P &amp; L Account'!D$4</f>
        <v>1.571887853743229E-3</v>
      </c>
      <c r="E16" s="139">
        <f>'P &amp; L Account'!E17/'P &amp; L Account'!E$4</f>
        <v>4.2943727639528379E-3</v>
      </c>
      <c r="F16" s="139">
        <f>'P &amp; L Account'!F17/'P &amp; L Account'!F$4</f>
        <v>4.2261827342974685E-3</v>
      </c>
      <c r="G16" s="139">
        <f>'P &amp; L Account'!G17/'P &amp; L Account'!G$4</f>
        <v>6.3437758890491245E-3</v>
      </c>
      <c r="H16" s="139">
        <f>'P &amp; L Account'!H17/'P &amp; L Account'!H$4</f>
        <v>3.8466367453148429E-3</v>
      </c>
      <c r="I16" s="139">
        <f>'P &amp; L Account'!I17/'P &amp; L Account'!I$4</f>
        <v>5.0392142490654551E-3</v>
      </c>
      <c r="J16" s="139">
        <f>'P &amp; L Account'!J17/'P &amp; L Account'!J$4</f>
        <v>5.8883729722980409E-3</v>
      </c>
      <c r="K16" s="139">
        <f>'P &amp; L Account'!K17/'P &amp; L Account'!K$4</f>
        <v>1.1180708772675773E-2</v>
      </c>
    </row>
    <row r="17" spans="1:12" x14ac:dyDescent="0.35">
      <c r="A17" s="136" t="s">
        <v>52</v>
      </c>
      <c r="B17" s="139">
        <f>'P &amp; L Account'!B18/'P &amp; L Account'!B$4</f>
        <v>6.2951616447564016E-3</v>
      </c>
      <c r="C17" s="139">
        <f>'P &amp; L Account'!C18/'P &amp; L Account'!C$4</f>
        <v>1.3877867569604213E-2</v>
      </c>
      <c r="D17" s="139">
        <f>'P &amp; L Account'!D18/'P &amp; L Account'!D$4</f>
        <v>1.6522166174652988E-2</v>
      </c>
      <c r="E17" s="139">
        <f>'P &amp; L Account'!E18/'P &amp; L Account'!E$4</f>
        <v>1.6210918205467433E-2</v>
      </c>
      <c r="F17" s="139">
        <f>'P &amp; L Account'!F18/'P &amp; L Account'!F$4</f>
        <v>1.433196202136966E-2</v>
      </c>
      <c r="G17" s="139">
        <f>'P &amp; L Account'!G18/'P &amp; L Account'!G$4</f>
        <v>1.455156331502562E-2</v>
      </c>
      <c r="H17" s="139">
        <f>'P &amp; L Account'!H18/'P &amp; L Account'!H$4</f>
        <v>1.5129920569986573E-2</v>
      </c>
      <c r="I17" s="139">
        <f>'P &amp; L Account'!I18/'P &amp; L Account'!I$4</f>
        <v>1.4114686408170247E-2</v>
      </c>
      <c r="J17" s="139">
        <f>'P &amp; L Account'!J18/'P &amp; L Account'!J$4</f>
        <v>1.6180772816861796E-2</v>
      </c>
      <c r="K17" s="139">
        <f>'P &amp; L Account'!K18/'P &amp; L Account'!K$4</f>
        <v>1.6420410205621336E-2</v>
      </c>
    </row>
    <row r="18" spans="1:12" x14ac:dyDescent="0.35">
      <c r="A18" s="121" t="s">
        <v>59</v>
      </c>
      <c r="B18" s="131">
        <f>'P &amp; L Account'!B19/'P &amp; L Account'!B$4</f>
        <v>9.1447887178293941E-2</v>
      </c>
      <c r="C18" s="131">
        <f>'P &amp; L Account'!C19/'P &amp; L Account'!C$4</f>
        <v>6.0404602902699084E-2</v>
      </c>
      <c r="D18" s="131">
        <f>'P &amp; L Account'!D19/'P &amp; L Account'!D$4</f>
        <v>3.772895979727945E-2</v>
      </c>
      <c r="E18" s="131">
        <f>'P &amp; L Account'!E19/'P &amp; L Account'!E$4</f>
        <v>5.0494230586703708E-2</v>
      </c>
      <c r="F18" s="131">
        <f>'P &amp; L Account'!F19/'P &amp; L Account'!F$4</f>
        <v>8.9138247131915066E-2</v>
      </c>
      <c r="G18" s="131">
        <f>'P &amp; L Account'!G19/'P &amp; L Account'!G$4</f>
        <v>9.2637537970605519E-2</v>
      </c>
      <c r="H18" s="131">
        <f>'P &amp; L Account'!H19/'P &amp; L Account'!H$4</f>
        <v>8.1761726516269007E-2</v>
      </c>
      <c r="I18" s="131">
        <f>'P &amp; L Account'!I19/'P &amp; L Account'!I$4</f>
        <v>8.1629162696376739E-2</v>
      </c>
      <c r="J18" s="131">
        <f>'P &amp; L Account'!J19/'P &amp; L Account'!J$4</f>
        <v>7.3859054802944898E-2</v>
      </c>
      <c r="K18" s="131">
        <f>'P &amp; L Account'!K19/'P &amp; L Account'!K$4</f>
        <v>9.8492646010334098E-2</v>
      </c>
      <c r="L18" s="20"/>
    </row>
    <row r="19" spans="1:12" x14ac:dyDescent="0.35">
      <c r="A19" s="136" t="s">
        <v>185</v>
      </c>
      <c r="B19" s="139">
        <f>'P &amp; L Account'!B20/'P &amp; L Account'!B$4</f>
        <v>1.3533951215728856E-2</v>
      </c>
      <c r="C19" s="139">
        <f>'P &amp; L Account'!C20/'P &amp; L Account'!C$4</f>
        <v>2.0705866362311684E-2</v>
      </c>
      <c r="D19" s="139">
        <f>'P &amp; L Account'!D20/'P &amp; L Account'!D$4</f>
        <v>2.2869964162417458E-2</v>
      </c>
      <c r="E19" s="139">
        <f>'P &amp; L Account'!E20/'P &amp; L Account'!E$4</f>
        <v>1.8905312664041361E-2</v>
      </c>
      <c r="F19" s="139">
        <f>'P &amp; L Account'!F20/'P &amp; L Account'!F$4</f>
        <v>1.6063770460550578E-2</v>
      </c>
      <c r="G19" s="139">
        <f>'P &amp; L Account'!G20/'P &amp; L Account'!G$4</f>
        <v>1.9652664846123161E-2</v>
      </c>
      <c r="H19" s="139">
        <f>'P &amp; L Account'!H20/'P &amp; L Account'!H$4</f>
        <v>1.7000809890878585E-2</v>
      </c>
      <c r="I19" s="139">
        <f>'P &amp; L Account'!I20/'P &amp; L Account'!I$4</f>
        <v>9.0534828605634138E-3</v>
      </c>
      <c r="J19" s="139">
        <f>'P &amp; L Account'!J20/'P &amp; L Account'!J$4</f>
        <v>7.4637402954455543E-3</v>
      </c>
      <c r="K19" s="139">
        <f>'P &amp; L Account'!K20/'P &amp; L Account'!K$4</f>
        <v>5.8256353883368028E-3</v>
      </c>
    </row>
    <row r="20" spans="1:12" x14ac:dyDescent="0.35">
      <c r="A20" s="136" t="s">
        <v>53</v>
      </c>
      <c r="B20" s="139">
        <f>'P &amp; L Account'!B21/'P &amp; L Account'!B$4</f>
        <v>0</v>
      </c>
      <c r="C20" s="139">
        <f>'P &amp; L Account'!C21/'P &amp; L Account'!C$4</f>
        <v>0</v>
      </c>
      <c r="D20" s="139">
        <f>'P &amp; L Account'!D21/'P &amp; L Account'!D$4</f>
        <v>-3.6257482898188767E-2</v>
      </c>
      <c r="E20" s="139">
        <f>'P &amp; L Account'!E21/'P &amp; L Account'!E$4</f>
        <v>0</v>
      </c>
      <c r="F20" s="139">
        <f>'P &amp; L Account'!F21/'P &amp; L Account'!F$4</f>
        <v>-5.5588912862597397E-4</v>
      </c>
      <c r="G20" s="139">
        <f>'P &amp; L Account'!G21/'P &amp; L Account'!G$4</f>
        <v>0</v>
      </c>
      <c r="H20" s="139">
        <f>'P &amp; L Account'!H21/'P &amp; L Account'!H$4</f>
        <v>2.6822978825561644E-2</v>
      </c>
      <c r="I20" s="139">
        <f>'P &amp; L Account'!I21/'P &amp; L Account'!I$4</f>
        <v>0</v>
      </c>
      <c r="J20" s="139">
        <f>'P &amp; L Account'!J21/'P &amp; L Account'!J$4</f>
        <v>0</v>
      </c>
      <c r="K20" s="139">
        <f>'P &amp; L Account'!K21/'P &amp; L Account'!K$4</f>
        <v>9.3855730615567692E-2</v>
      </c>
    </row>
    <row r="21" spans="1:12" x14ac:dyDescent="0.35">
      <c r="A21" s="121" t="s">
        <v>54</v>
      </c>
      <c r="B21" s="131">
        <f>'P &amp; L Account'!B22/'P &amp; L Account'!B$4</f>
        <v>7.7913935962565087E-2</v>
      </c>
      <c r="C21" s="131">
        <f>'P &amp; L Account'!C22/'P &amp; L Account'!C$4</f>
        <v>3.9698736540387393E-2</v>
      </c>
      <c r="D21" s="131">
        <f>'P &amp; L Account'!D22/'P &amp; L Account'!D$4</f>
        <v>-2.1398487263326778E-2</v>
      </c>
      <c r="E21" s="131">
        <f>'P &amp; L Account'!E22/'P &amp; L Account'!E$4</f>
        <v>3.1588917922662343E-2</v>
      </c>
      <c r="F21" s="131">
        <f>'P &amp; L Account'!F22/'P &amp; L Account'!F$4</f>
        <v>7.2518587542738502E-2</v>
      </c>
      <c r="G21" s="131">
        <f>'P &amp; L Account'!G22/'P &amp; L Account'!G$4</f>
        <v>7.2984873124482347E-2</v>
      </c>
      <c r="H21" s="131">
        <f>'P &amp; L Account'!H22/'P &amp; L Account'!H$4</f>
        <v>9.1583895450952066E-2</v>
      </c>
      <c r="I21" s="131">
        <f>'P &amp; L Account'!I22/'P &amp; L Account'!I$4</f>
        <v>7.2575679835813325E-2</v>
      </c>
      <c r="J21" s="131">
        <f>'P &amp; L Account'!J22/'P &amp; L Account'!J$4</f>
        <v>6.6395314507499345E-2</v>
      </c>
      <c r="K21" s="131">
        <f>'P &amp; L Account'!K22/'P &amp; L Account'!K$4</f>
        <v>0.18652274123756499</v>
      </c>
      <c r="L21" s="20"/>
    </row>
    <row r="22" spans="1:12" x14ac:dyDescent="0.35">
      <c r="A22" s="136" t="s">
        <v>188</v>
      </c>
      <c r="B22" s="139">
        <f>'P &amp; L Account'!B23/'P &amp; L Account'!B$4</f>
        <v>9.4362792621605195E-3</v>
      </c>
      <c r="C22" s="139">
        <f>'P &amp; L Account'!C23/'P &amp; L Account'!C$4</f>
        <v>6.0744403779385281E-3</v>
      </c>
      <c r="D22" s="139">
        <f>'P &amp; L Account'!D23/'P &amp; L Account'!D$4</f>
        <v>7.6093247089451558E-3</v>
      </c>
      <c r="E22" s="139">
        <f>'P &amp; L Account'!E23/'P &amp; L Account'!E$4</f>
        <v>1.1529141493480961E-2</v>
      </c>
      <c r="F22" s="139">
        <f>'P &amp; L Account'!F23/'P &amp; L Account'!F$4</f>
        <v>1.7957713228914075E-2</v>
      </c>
      <c r="G22" s="139">
        <f>'P &amp; L Account'!G23/'P &amp; L Account'!G$4</f>
        <v>1.7244024423920715E-2</v>
      </c>
      <c r="H22" s="139">
        <f>'P &amp; L Account'!H23/'P &amp; L Account'!H$4</f>
        <v>1.4115832331892455E-2</v>
      </c>
      <c r="I22" s="139">
        <f>'P &amp; L Account'!I23/'P &amp; L Account'!I$4</f>
        <v>1.9493513156930292E-2</v>
      </c>
      <c r="J22" s="139">
        <f>'P &amp; L Account'!J23/'P &amp; L Account'!J$4</f>
        <v>2.8313435082613428E-2</v>
      </c>
      <c r="K22" s="139">
        <f>'P &amp; L Account'!K23/'P &amp; L Account'!K$4</f>
        <v>2.8179275049324749E-2</v>
      </c>
    </row>
    <row r="23" spans="1:12" x14ac:dyDescent="0.35">
      <c r="A23" s="136" t="s">
        <v>189</v>
      </c>
      <c r="B23" s="139">
        <f>'P &amp; L Account'!B24/'P &amp; L Account'!B$4</f>
        <v>2.4495546851772856E-3</v>
      </c>
      <c r="C23" s="139">
        <f>'P &amp; L Account'!C24/'P &amp; L Account'!C$4</f>
        <v>1.451149626318977E-3</v>
      </c>
      <c r="D23" s="139">
        <f>'P &amp; L Account'!D24/'P &amp; L Account'!D$4</f>
        <v>2.2455540767760419E-4</v>
      </c>
      <c r="E23" s="139">
        <f>'P &amp; L Account'!E24/'P &amp; L Account'!E$4</f>
        <v>6.5200084454060669E-3</v>
      </c>
      <c r="F23" s="139">
        <f>'P &amp; L Account'!F24/'P &amp; L Account'!F$4</f>
        <v>4.0979006276914756E-4</v>
      </c>
      <c r="G23" s="139">
        <f>'P &amp; L Account'!G24/'P &amp; L Account'!G$4</f>
        <v>-1.0110153109754226E-3</v>
      </c>
      <c r="H23" s="139">
        <f>'P &amp; L Account'!H24/'P &amp; L Account'!H$4</f>
        <v>-2.7525252176840436E-3</v>
      </c>
      <c r="I23" s="139">
        <f>'P &amp; L Account'!I24/'P &amp; L Account'!I$4</f>
        <v>-1.4427423098536489E-3</v>
      </c>
      <c r="J23" s="139">
        <f>'P &amp; L Account'!J24/'P &amp; L Account'!J$4</f>
        <v>-6.8942741815966749E-3</v>
      </c>
      <c r="K23" s="139">
        <f>'P &amp; L Account'!K24/'P &amp; L Account'!K$4</f>
        <v>1.630763088234913E-3</v>
      </c>
    </row>
    <row r="24" spans="1:12" x14ac:dyDescent="0.35">
      <c r="A24" s="121" t="s">
        <v>190</v>
      </c>
      <c r="B24" s="131">
        <f>'P &amp; L Account'!B25/'P &amp; L Account'!B$4</f>
        <v>1.1885833947337806E-2</v>
      </c>
      <c r="C24" s="131">
        <f>'P &amp; L Account'!C25/'P &amp; L Account'!C$4</f>
        <v>7.5255900042575045E-3</v>
      </c>
      <c r="D24" s="131">
        <f>'P &amp; L Account'!D25/'P &amp; L Account'!D$4</f>
        <v>7.8338801166227597E-3</v>
      </c>
      <c r="E24" s="131">
        <f>'P &amp; L Account'!E25/'P &amp; L Account'!E$4</f>
        <v>1.8049149938887031E-2</v>
      </c>
      <c r="F24" s="131">
        <f>'P &amp; L Account'!F25/'P &amp; L Account'!F$4</f>
        <v>1.8367503291683223E-2</v>
      </c>
      <c r="G24" s="131">
        <f>'P &amp; L Account'!G25/'P &amp; L Account'!G$4</f>
        <v>1.6233009112945292E-2</v>
      </c>
      <c r="H24" s="131">
        <f>'P &amp; L Account'!H25/'P &amp; L Account'!H$4</f>
        <v>1.136330711420841E-2</v>
      </c>
      <c r="I24" s="131">
        <f>'P &amp; L Account'!I25/'P &amp; L Account'!I$4</f>
        <v>1.8050770847076642E-2</v>
      </c>
      <c r="J24" s="131">
        <f>'P &amp; L Account'!J25/'P &amp; L Account'!J$4</f>
        <v>2.1419160901016754E-2</v>
      </c>
      <c r="K24" s="131">
        <f>'P &amp; L Account'!K25/'P &amp; L Account'!K$4</f>
        <v>2.9810038137559662E-2</v>
      </c>
      <c r="L24" s="20"/>
    </row>
    <row r="25" spans="1:12" x14ac:dyDescent="0.35">
      <c r="A25" s="121" t="s">
        <v>55</v>
      </c>
      <c r="B25" s="131">
        <f>'P &amp; L Account'!B26/'P &amp; L Account'!B$4</f>
        <v>6.6028102015227283E-2</v>
      </c>
      <c r="C25" s="131">
        <f>'P &amp; L Account'!C26/'P &amp; L Account'!C$4</f>
        <v>3.217314653612989E-2</v>
      </c>
      <c r="D25" s="131">
        <f>'P &amp; L Account'!D26/'P &amp; L Account'!D$4</f>
        <v>-2.9232367379949536E-2</v>
      </c>
      <c r="E25" s="131">
        <f>'P &amp; L Account'!E26/'P &amp; L Account'!E$4</f>
        <v>1.3539767983775316E-2</v>
      </c>
      <c r="F25" s="131">
        <f>'P &amp; L Account'!F26/'P &amp; L Account'!F$4</f>
        <v>5.4151084251055283E-2</v>
      </c>
      <c r="G25" s="131">
        <f>'P &amp; L Account'!G26/'P &amp; L Account'!G$4</f>
        <v>5.6751864011537055E-2</v>
      </c>
      <c r="H25" s="131">
        <f>'P &amp; L Account'!H26/'P &amp; L Account'!H$4</f>
        <v>8.0220588336743656E-2</v>
      </c>
      <c r="I25" s="131">
        <f>'P &amp; L Account'!I26/'P &amp; L Account'!I$4</f>
        <v>5.452490898873668E-2</v>
      </c>
      <c r="J25" s="131">
        <f>'P &amp; L Account'!J26/'P &amp; L Account'!J$4</f>
        <v>4.4976153606482591E-2</v>
      </c>
      <c r="K25" s="131">
        <f>'P &amp; L Account'!K26/'P &amp; L Account'!K$4</f>
        <v>0.15671270310000532</v>
      </c>
      <c r="L25" s="20"/>
    </row>
    <row r="26" spans="1:12" x14ac:dyDescent="0.35">
      <c r="A26" s="136" t="s">
        <v>6</v>
      </c>
      <c r="B26" s="139">
        <f>'P &amp; L Account'!B27/'P &amp; L Account'!B$4</f>
        <v>0</v>
      </c>
      <c r="C26" s="139">
        <f>'P &amp; L Account'!C27/'P &amp; L Account'!C$4</f>
        <v>0</v>
      </c>
      <c r="D26" s="139">
        <f>'P &amp; L Account'!D27/'P &amp; L Account'!D$4</f>
        <v>0</v>
      </c>
      <c r="E26" s="139">
        <f>'P &amp; L Account'!E27/'P &amp; L Account'!E$4</f>
        <v>-7.7480789606726893E-6</v>
      </c>
      <c r="F26" s="139">
        <f>'P &amp; L Account'!F27/'P &amp; L Account'!F$4</f>
        <v>-6.4141053302996993E-5</v>
      </c>
      <c r="G26" s="139">
        <f>'P &amp; L Account'!G27/'P &amp; L Account'!G$4</f>
        <v>0</v>
      </c>
      <c r="H26" s="139">
        <f>'P &amp; L Account'!H27/'P &amp; L Account'!H$4</f>
        <v>0</v>
      </c>
      <c r="I26" s="139">
        <f>'P &amp; L Account'!I27/'P &amp; L Account'!I$4</f>
        <v>0</v>
      </c>
      <c r="J26" s="139">
        <f>'P &amp; L Account'!J27/'P &amp; L Account'!J$4</f>
        <v>0</v>
      </c>
      <c r="K26" s="139">
        <f>'P &amp; L Account'!K27/'P &amp; L Account'!K$4</f>
        <v>-1.6852082787801165E-5</v>
      </c>
    </row>
    <row r="27" spans="1:12" x14ac:dyDescent="0.35">
      <c r="A27" s="136" t="s">
        <v>56</v>
      </c>
      <c r="B27" s="139">
        <f>'P &amp; L Account'!B28/'P &amp; L Account'!B$4</f>
        <v>0</v>
      </c>
      <c r="C27" s="139">
        <f>'P &amp; L Account'!C28/'P &amp; L Account'!C$4</f>
        <v>0</v>
      </c>
      <c r="D27" s="139">
        <f>'P &amp; L Account'!D28/'P &amp; L Account'!D$4</f>
        <v>0</v>
      </c>
      <c r="E27" s="139">
        <f>'P &amp; L Account'!E28/'P &amp; L Account'!E$4</f>
        <v>0</v>
      </c>
      <c r="F27" s="139">
        <f>'P &amp; L Account'!F28/'P &amp; L Account'!F$4</f>
        <v>0</v>
      </c>
      <c r="G27" s="139">
        <f>'P &amp; L Account'!G28/'P &amp; L Account'!G$4</f>
        <v>0</v>
      </c>
      <c r="H27" s="139">
        <f>'P &amp; L Account'!H28/'P &amp; L Account'!H$4</f>
        <v>0</v>
      </c>
      <c r="I27" s="139">
        <f>'P &amp; L Account'!I28/'P &amp; L Account'!I$4</f>
        <v>0</v>
      </c>
      <c r="J27" s="139">
        <f>'P &amp; L Account'!J28/'P &amp; L Account'!J$4</f>
        <v>0</v>
      </c>
      <c r="K27" s="139">
        <f>'P &amp; L Account'!K28/'P &amp; L Account'!K$4</f>
        <v>0</v>
      </c>
    </row>
    <row r="28" spans="1:12" x14ac:dyDescent="0.35">
      <c r="A28" s="121" t="s">
        <v>142</v>
      </c>
      <c r="B28" s="131">
        <f>'P &amp; L Account'!B29/'P &amp; L Account'!B$4</f>
        <v>6.6028102015227283E-2</v>
      </c>
      <c r="C28" s="131">
        <f>'P &amp; L Account'!C29/'P &amp; L Account'!C$4</f>
        <v>3.217314653612989E-2</v>
      </c>
      <c r="D28" s="131">
        <f>'P &amp; L Account'!D29/'P &amp; L Account'!D$4</f>
        <v>-2.9232367379949536E-2</v>
      </c>
      <c r="E28" s="131">
        <f>'P &amp; L Account'!E29/'P &amp; L Account'!E$4</f>
        <v>1.3532019904814641E-2</v>
      </c>
      <c r="F28" s="131">
        <f>'P &amp; L Account'!F29/'P &amp; L Account'!F$4</f>
        <v>5.4086943197752278E-2</v>
      </c>
      <c r="G28" s="131">
        <f>'P &amp; L Account'!G29/'P &amp; L Account'!G$4</f>
        <v>5.6751864011537055E-2</v>
      </c>
      <c r="H28" s="131">
        <f>'P &amp; L Account'!H29/'P &amp; L Account'!H$4</f>
        <v>8.0220588336743656E-2</v>
      </c>
      <c r="I28" s="131">
        <f>'P &amp; L Account'!I29/'P &amp; L Account'!I$4</f>
        <v>5.452490898873668E-2</v>
      </c>
      <c r="J28" s="131">
        <f>'P &amp; L Account'!J29/'P &amp; L Account'!J$4</f>
        <v>4.4976153606482591E-2</v>
      </c>
      <c r="K28" s="131">
        <f>'P &amp; L Account'!K29/'P &amp; L Account'!K$4</f>
        <v>0.1566958510172175</v>
      </c>
      <c r="L28" s="20"/>
    </row>
    <row r="29" spans="1:12" x14ac:dyDescent="0.35">
      <c r="A29" s="1"/>
      <c r="B29" s="4"/>
      <c r="C29" s="4"/>
      <c r="D29" s="4"/>
      <c r="E29" s="4"/>
      <c r="F29" s="4"/>
      <c r="G29" s="4"/>
      <c r="H29" s="4"/>
      <c r="I29" s="4"/>
      <c r="J29" s="4"/>
      <c r="K29" s="4"/>
    </row>
    <row r="30" spans="1:12" x14ac:dyDescent="0.35">
      <c r="A30" s="1"/>
      <c r="B30" s="4"/>
      <c r="C30" s="4"/>
      <c r="D30" s="4"/>
      <c r="E30" s="4"/>
      <c r="F30" s="4"/>
      <c r="G30" s="4"/>
      <c r="H30" s="4"/>
      <c r="I30" s="4"/>
      <c r="J30" s="4"/>
      <c r="K30" s="4"/>
    </row>
    <row r="31" spans="1:12" x14ac:dyDescent="0.35">
      <c r="B31" s="2"/>
      <c r="C31" s="2"/>
      <c r="D31" s="2"/>
      <c r="E31" s="2"/>
      <c r="F31" s="2"/>
      <c r="G31" s="2"/>
      <c r="H31" s="2"/>
      <c r="I31" s="2"/>
      <c r="J31" s="2"/>
      <c r="K31" s="2"/>
    </row>
    <row r="32" spans="1:12" x14ac:dyDescent="0.35">
      <c r="B32" s="2"/>
      <c r="C32" s="2"/>
      <c r="D32" s="2"/>
      <c r="E32" s="2"/>
      <c r="F32" s="2"/>
      <c r="G32" s="2"/>
      <c r="H32" s="2"/>
      <c r="I32" s="2"/>
      <c r="J32" s="2"/>
      <c r="K32" s="2"/>
    </row>
    <row r="33" spans="2:11" x14ac:dyDescent="0.35">
      <c r="B33" s="2"/>
      <c r="C33" s="2"/>
      <c r="D33" s="2"/>
      <c r="E33" s="2"/>
      <c r="F33" s="2"/>
      <c r="G33" s="2"/>
      <c r="H33" s="2"/>
      <c r="I33" s="2"/>
      <c r="J33" s="2"/>
      <c r="K33" s="2"/>
    </row>
    <row r="34" spans="2:11" x14ac:dyDescent="0.35">
      <c r="B34" s="2"/>
      <c r="C34" s="2"/>
      <c r="D34" s="2"/>
      <c r="E34" s="2"/>
      <c r="F34" s="2"/>
      <c r="G34" s="2"/>
      <c r="H34" s="2"/>
      <c r="I34" s="2"/>
      <c r="J34" s="2"/>
      <c r="K34" s="2"/>
    </row>
    <row r="35" spans="2:11" x14ac:dyDescent="0.35">
      <c r="B35" s="2"/>
      <c r="C35" s="2"/>
      <c r="D35" s="2"/>
      <c r="E35" s="2"/>
      <c r="F35" s="2"/>
      <c r="G35" s="2"/>
      <c r="H35" s="2"/>
      <c r="I35" s="2"/>
      <c r="J35" s="2"/>
      <c r="K35" s="2"/>
    </row>
    <row r="36" spans="2:11" x14ac:dyDescent="0.35">
      <c r="B36" s="2"/>
      <c r="C36" s="2"/>
      <c r="D36" s="2"/>
      <c r="E36" s="2"/>
      <c r="F36" s="2"/>
      <c r="G36" s="2"/>
      <c r="H36" s="2"/>
      <c r="I36" s="2"/>
      <c r="J36" s="2"/>
      <c r="K36" s="2"/>
    </row>
    <row r="37" spans="2:11" x14ac:dyDescent="0.35">
      <c r="B37" s="2"/>
      <c r="C37" s="2"/>
      <c r="D37" s="2"/>
      <c r="E37" s="2"/>
      <c r="F37" s="2"/>
      <c r="G37" s="2"/>
      <c r="H37" s="2"/>
      <c r="I37" s="2"/>
      <c r="J37" s="2"/>
      <c r="K37" s="2"/>
    </row>
    <row r="38" spans="2:11" x14ac:dyDescent="0.35">
      <c r="B38" s="2"/>
      <c r="C38" s="2"/>
      <c r="D38" s="2"/>
      <c r="E38" s="2"/>
      <c r="F38" s="2"/>
      <c r="G38" s="2"/>
      <c r="H38" s="2"/>
      <c r="I38" s="2"/>
      <c r="J38" s="2"/>
      <c r="K38" s="2"/>
    </row>
    <row r="39" spans="2:11" x14ac:dyDescent="0.35">
      <c r="B39" s="2"/>
      <c r="C39" s="2"/>
      <c r="D39" s="2"/>
      <c r="E39" s="2"/>
      <c r="F39" s="2"/>
      <c r="G39" s="2"/>
      <c r="H39" s="2"/>
      <c r="I39" s="2"/>
      <c r="J39" s="2"/>
      <c r="K39" s="2"/>
    </row>
    <row r="40" spans="2:11" x14ac:dyDescent="0.35">
      <c r="B40" s="2"/>
      <c r="C40" s="2"/>
      <c r="D40" s="2"/>
      <c r="E40" s="2"/>
      <c r="F40" s="2"/>
      <c r="G40" s="2"/>
      <c r="H40" s="2"/>
      <c r="I40" s="2"/>
      <c r="J40" s="2"/>
      <c r="K40" s="2"/>
    </row>
    <row r="41" spans="2:11" x14ac:dyDescent="0.35">
      <c r="B41" s="2"/>
      <c r="C41" s="2"/>
      <c r="D41" s="2"/>
      <c r="E41" s="2"/>
      <c r="F41" s="2"/>
      <c r="G41" s="2"/>
      <c r="H41" s="2"/>
      <c r="I41" s="2"/>
      <c r="J41" s="2"/>
      <c r="K41" s="2"/>
    </row>
    <row r="42" spans="2:11" x14ac:dyDescent="0.35">
      <c r="B42" s="2"/>
      <c r="C42" s="2"/>
      <c r="D42" s="2"/>
      <c r="E42" s="2"/>
      <c r="F42" s="2"/>
      <c r="G42" s="2"/>
      <c r="H42" s="2"/>
      <c r="I42" s="2"/>
      <c r="J42" s="2"/>
      <c r="K42" s="2"/>
    </row>
    <row r="43" spans="2:11" x14ac:dyDescent="0.35">
      <c r="B43" s="2"/>
      <c r="C43" s="2"/>
      <c r="D43" s="2"/>
      <c r="E43" s="2"/>
      <c r="F43" s="2"/>
      <c r="G43" s="2"/>
      <c r="H43" s="2"/>
      <c r="I43" s="2"/>
      <c r="J43" s="2"/>
      <c r="K43" s="2"/>
    </row>
    <row r="44" spans="2:11" x14ac:dyDescent="0.35">
      <c r="B44" s="2"/>
      <c r="C44" s="2"/>
      <c r="D44" s="2"/>
      <c r="E44" s="2"/>
      <c r="F44" s="2"/>
      <c r="G44" s="2"/>
      <c r="H44" s="2"/>
      <c r="I44" s="2"/>
      <c r="J44" s="2"/>
      <c r="K44" s="2"/>
    </row>
    <row r="45" spans="2:11" x14ac:dyDescent="0.35">
      <c r="B45" s="2"/>
      <c r="C45" s="2"/>
      <c r="D45" s="2"/>
      <c r="E45" s="2"/>
      <c r="F45" s="2"/>
      <c r="G45" s="2"/>
      <c r="H45" s="2"/>
      <c r="I45" s="2"/>
      <c r="J45" s="2"/>
      <c r="K45" s="2"/>
    </row>
    <row r="46" spans="2:11" x14ac:dyDescent="0.35">
      <c r="B46" s="2"/>
      <c r="C46" s="2"/>
      <c r="D46" s="2"/>
      <c r="E46" s="2"/>
      <c r="F46" s="2"/>
      <c r="G46" s="2"/>
      <c r="H46" s="2"/>
      <c r="I46" s="2"/>
      <c r="J46" s="2"/>
      <c r="K46" s="2"/>
    </row>
    <row r="47" spans="2:11" x14ac:dyDescent="0.35">
      <c r="B47" s="2"/>
      <c r="C47" s="2"/>
      <c r="D47" s="2"/>
      <c r="E47" s="2"/>
      <c r="F47" s="2"/>
      <c r="G47" s="2"/>
      <c r="H47" s="2"/>
      <c r="I47" s="2"/>
      <c r="J47" s="2"/>
      <c r="K47" s="2"/>
    </row>
    <row r="48" spans="2:11" x14ac:dyDescent="0.35">
      <c r="B48" s="2"/>
      <c r="C48" s="2"/>
      <c r="D48" s="2"/>
      <c r="E48" s="2"/>
      <c r="F48" s="2"/>
      <c r="G48" s="2"/>
      <c r="H48" s="2"/>
      <c r="I48" s="2"/>
      <c r="J48" s="2"/>
      <c r="K48" s="2"/>
    </row>
    <row r="49" spans="2:11" x14ac:dyDescent="0.35">
      <c r="B49" s="2"/>
      <c r="C49" s="2"/>
      <c r="D49" s="2"/>
      <c r="E49" s="2"/>
      <c r="F49" s="2"/>
      <c r="G49" s="2"/>
      <c r="H49" s="2"/>
      <c r="I49" s="2"/>
      <c r="J49" s="2"/>
      <c r="K49" s="2"/>
    </row>
    <row r="50" spans="2:11" x14ac:dyDescent="0.35">
      <c r="B50" s="2"/>
      <c r="C50" s="2"/>
      <c r="D50" s="2"/>
      <c r="E50" s="2"/>
      <c r="F50" s="2"/>
      <c r="G50" s="2"/>
      <c r="H50" s="2"/>
      <c r="I50" s="2"/>
      <c r="J50" s="2"/>
      <c r="K50" s="2"/>
    </row>
    <row r="51" spans="2:11" x14ac:dyDescent="0.35">
      <c r="B51" s="2"/>
      <c r="C51" s="2"/>
      <c r="D51" s="2"/>
      <c r="E51" s="2"/>
      <c r="F51" s="2"/>
      <c r="G51" s="2"/>
      <c r="H51" s="2"/>
      <c r="I51" s="2"/>
      <c r="J51" s="2"/>
      <c r="K51" s="2"/>
    </row>
    <row r="52" spans="2:11" x14ac:dyDescent="0.35">
      <c r="B52" s="2"/>
      <c r="C52" s="2"/>
      <c r="D52" s="2"/>
      <c r="E52" s="2"/>
      <c r="F52" s="2"/>
      <c r="G52" s="2"/>
      <c r="H52" s="2"/>
      <c r="I52" s="2"/>
      <c r="J52" s="2"/>
      <c r="K52" s="2"/>
    </row>
    <row r="53" spans="2:11" x14ac:dyDescent="0.35">
      <c r="B53" s="2"/>
      <c r="C53" s="2"/>
      <c r="D53" s="2"/>
      <c r="E53" s="2"/>
      <c r="F53" s="2"/>
      <c r="G53" s="2"/>
      <c r="H53" s="2"/>
      <c r="I53" s="2"/>
      <c r="J53" s="2"/>
      <c r="K53" s="2"/>
    </row>
    <row r="54" spans="2:11" x14ac:dyDescent="0.35">
      <c r="B54" s="2"/>
      <c r="C54" s="2"/>
      <c r="D54" s="2"/>
      <c r="E54" s="2"/>
      <c r="F54" s="2"/>
      <c r="G54" s="2"/>
      <c r="H54" s="2"/>
      <c r="I54" s="2"/>
      <c r="J54" s="2"/>
      <c r="K54" s="2"/>
    </row>
    <row r="55" spans="2:11" x14ac:dyDescent="0.35">
      <c r="B55" s="2"/>
      <c r="C55" s="2"/>
      <c r="D55" s="2"/>
      <c r="E55" s="2"/>
      <c r="F55" s="2"/>
      <c r="G55" s="2"/>
      <c r="H55" s="2"/>
      <c r="I55" s="2"/>
      <c r="J55" s="2"/>
      <c r="K55" s="2"/>
    </row>
    <row r="56" spans="2:11" x14ac:dyDescent="0.35">
      <c r="B56" s="2"/>
      <c r="C56" s="2"/>
      <c r="D56" s="2"/>
      <c r="E56" s="2"/>
      <c r="F56" s="2"/>
      <c r="G56" s="2"/>
      <c r="H56" s="2"/>
      <c r="I56" s="2"/>
      <c r="J56" s="2"/>
      <c r="K56" s="2"/>
    </row>
    <row r="57" spans="2:11" x14ac:dyDescent="0.35">
      <c r="B57" s="2"/>
      <c r="C57" s="2"/>
      <c r="D57" s="2"/>
      <c r="E57" s="2"/>
      <c r="F57" s="2"/>
      <c r="G57" s="2"/>
      <c r="H57" s="2"/>
      <c r="I57" s="2"/>
      <c r="J57" s="2"/>
      <c r="K57" s="2"/>
    </row>
    <row r="58" spans="2:11" x14ac:dyDescent="0.35">
      <c r="B58" s="2"/>
      <c r="C58" s="2"/>
      <c r="D58" s="2"/>
      <c r="E58" s="2"/>
      <c r="F58" s="2"/>
      <c r="G58" s="2"/>
      <c r="H58" s="2"/>
      <c r="I58" s="2"/>
      <c r="J58" s="2"/>
      <c r="K58" s="2"/>
    </row>
    <row r="59" spans="2:11" x14ac:dyDescent="0.35">
      <c r="B59" s="2"/>
      <c r="C59" s="2"/>
      <c r="D59" s="2"/>
      <c r="E59" s="2"/>
      <c r="F59" s="2"/>
      <c r="G59" s="2"/>
      <c r="H59" s="2"/>
      <c r="I59" s="2"/>
      <c r="J59" s="2"/>
      <c r="K59" s="2"/>
    </row>
    <row r="60" spans="2:11" x14ac:dyDescent="0.35">
      <c r="B60" s="2"/>
      <c r="C60" s="2"/>
      <c r="D60" s="2"/>
      <c r="E60" s="2"/>
      <c r="F60" s="2"/>
      <c r="G60" s="2"/>
      <c r="H60" s="2"/>
      <c r="I60" s="2"/>
      <c r="J60" s="2"/>
      <c r="K60" s="2"/>
    </row>
    <row r="61" spans="2:11" x14ac:dyDescent="0.35">
      <c r="B61" s="2"/>
      <c r="C61" s="2"/>
      <c r="D61" s="2"/>
      <c r="E61" s="2"/>
      <c r="F61" s="2"/>
      <c r="G61" s="2"/>
      <c r="H61" s="2"/>
      <c r="I61" s="2"/>
      <c r="J61" s="2"/>
      <c r="K61" s="2"/>
    </row>
    <row r="62" spans="2:11" x14ac:dyDescent="0.35">
      <c r="B62" s="2"/>
      <c r="C62" s="2"/>
      <c r="D62" s="2"/>
      <c r="E62" s="2"/>
      <c r="F62" s="2"/>
      <c r="G62" s="2"/>
      <c r="H62" s="2"/>
      <c r="I62" s="2"/>
      <c r="J62" s="2"/>
      <c r="K62" s="2"/>
    </row>
    <row r="63" spans="2:11" x14ac:dyDescent="0.35">
      <c r="B63" s="2"/>
      <c r="C63" s="2"/>
      <c r="D63" s="2"/>
      <c r="E63" s="2"/>
      <c r="F63" s="2"/>
      <c r="G63" s="2"/>
      <c r="H63" s="2"/>
      <c r="I63" s="2"/>
      <c r="J63" s="2"/>
      <c r="K63" s="2"/>
    </row>
    <row r="64" spans="2:11" x14ac:dyDescent="0.35">
      <c r="B64" s="2"/>
      <c r="C64" s="2"/>
      <c r="D64" s="2"/>
      <c r="E64" s="2"/>
      <c r="F64" s="2"/>
      <c r="G64" s="2"/>
      <c r="H64" s="2"/>
      <c r="I64" s="2"/>
      <c r="J64" s="2"/>
      <c r="K64" s="2"/>
    </row>
    <row r="65" spans="2:11" x14ac:dyDescent="0.35">
      <c r="B65" s="2"/>
      <c r="C65" s="2"/>
      <c r="D65" s="2"/>
      <c r="E65" s="2"/>
      <c r="F65" s="2"/>
      <c r="G65" s="2"/>
      <c r="H65" s="2"/>
      <c r="I65" s="2"/>
      <c r="J65" s="2"/>
      <c r="K65" s="2"/>
    </row>
    <row r="66" spans="2:11" x14ac:dyDescent="0.35">
      <c r="B66" s="2"/>
      <c r="C66" s="2"/>
      <c r="D66" s="2"/>
      <c r="E66" s="2"/>
      <c r="F66" s="2"/>
      <c r="G66" s="2"/>
      <c r="H66" s="2"/>
      <c r="I66" s="2"/>
      <c r="J66" s="2"/>
      <c r="K66" s="2"/>
    </row>
    <row r="67" spans="2:11" x14ac:dyDescent="0.35">
      <c r="B67" s="2"/>
      <c r="C67" s="2"/>
      <c r="D67" s="2"/>
      <c r="E67" s="2"/>
      <c r="F67" s="2"/>
      <c r="G67" s="2"/>
      <c r="H67" s="2"/>
      <c r="I67" s="2"/>
      <c r="J67" s="2"/>
      <c r="K67" s="2"/>
    </row>
    <row r="68" spans="2:11" x14ac:dyDescent="0.35">
      <c r="B68" s="2"/>
      <c r="C68" s="2"/>
      <c r="D68" s="2"/>
      <c r="E68" s="2"/>
      <c r="F68" s="2"/>
      <c r="G68" s="2"/>
      <c r="H68" s="2"/>
      <c r="I68" s="2"/>
      <c r="J68" s="2"/>
      <c r="K68" s="2"/>
    </row>
    <row r="69" spans="2:11" x14ac:dyDescent="0.35">
      <c r="B69" s="2"/>
      <c r="C69" s="2"/>
      <c r="D69" s="2"/>
      <c r="E69" s="2"/>
      <c r="F69" s="2"/>
      <c r="G69" s="2"/>
      <c r="H69" s="2"/>
      <c r="I69" s="2"/>
      <c r="J69" s="2"/>
      <c r="K69" s="2"/>
    </row>
    <row r="70" spans="2:11" x14ac:dyDescent="0.35">
      <c r="B70" s="2"/>
      <c r="C70" s="2"/>
      <c r="D70" s="2"/>
      <c r="E70" s="2"/>
      <c r="F70" s="2"/>
      <c r="G70" s="2"/>
      <c r="H70" s="2"/>
      <c r="I70" s="2"/>
      <c r="J70" s="2"/>
      <c r="K70" s="2"/>
    </row>
    <row r="71" spans="2:11" x14ac:dyDescent="0.35">
      <c r="B71" s="2"/>
      <c r="C71" s="2"/>
      <c r="D71" s="2"/>
      <c r="E71" s="2"/>
      <c r="F71" s="2"/>
      <c r="G71" s="2"/>
      <c r="H71" s="2"/>
      <c r="I71" s="2"/>
      <c r="J71" s="2"/>
      <c r="K71" s="2"/>
    </row>
    <row r="72" spans="2:11" x14ac:dyDescent="0.35">
      <c r="B72" s="2"/>
      <c r="C72" s="2"/>
      <c r="D72" s="2"/>
      <c r="E72" s="2"/>
      <c r="F72" s="2"/>
      <c r="G72" s="2"/>
      <c r="H72" s="2"/>
      <c r="I72" s="2"/>
      <c r="J72" s="2"/>
      <c r="K72" s="2"/>
    </row>
    <row r="73" spans="2:11" x14ac:dyDescent="0.35">
      <c r="B73" s="2"/>
      <c r="C73" s="2"/>
      <c r="D73" s="2"/>
      <c r="E73" s="2"/>
      <c r="F73" s="2"/>
      <c r="G73" s="2"/>
      <c r="H73" s="2"/>
      <c r="I73" s="2"/>
      <c r="J73" s="2"/>
      <c r="K73" s="2"/>
    </row>
    <row r="74" spans="2:11" x14ac:dyDescent="0.35">
      <c r="B74" s="2"/>
      <c r="C74" s="2"/>
      <c r="D74" s="2"/>
      <c r="E74" s="2"/>
      <c r="F74" s="2"/>
      <c r="G74" s="2"/>
      <c r="H74" s="2"/>
      <c r="I74" s="2"/>
      <c r="J74" s="2"/>
      <c r="K74" s="2"/>
    </row>
    <row r="75" spans="2:11" x14ac:dyDescent="0.35">
      <c r="B75" s="2"/>
      <c r="C75" s="2"/>
      <c r="D75" s="2"/>
      <c r="E75" s="2"/>
      <c r="F75" s="2"/>
      <c r="G75" s="2"/>
      <c r="H75" s="2"/>
      <c r="I75" s="2"/>
      <c r="J75" s="2"/>
      <c r="K75" s="2"/>
    </row>
    <row r="76" spans="2:11" x14ac:dyDescent="0.35">
      <c r="B76" s="2"/>
      <c r="C76" s="2"/>
      <c r="D76" s="2"/>
      <c r="E76" s="2"/>
      <c r="F76" s="2"/>
      <c r="G76" s="2"/>
      <c r="H76" s="2"/>
      <c r="I76" s="2"/>
      <c r="J76" s="2"/>
      <c r="K76" s="2"/>
    </row>
    <row r="77" spans="2:11" x14ac:dyDescent="0.35">
      <c r="B77" s="2"/>
      <c r="C77" s="2"/>
      <c r="D77" s="2"/>
      <c r="E77" s="2"/>
      <c r="F77" s="2"/>
      <c r="G77" s="2"/>
      <c r="H77" s="2"/>
      <c r="I77" s="2"/>
      <c r="J77" s="2"/>
      <c r="K77" s="2"/>
    </row>
    <row r="78" spans="2:11" x14ac:dyDescent="0.35">
      <c r="B78" s="2"/>
      <c r="C78" s="2"/>
      <c r="D78" s="2"/>
      <c r="E78" s="2"/>
      <c r="F78" s="2"/>
      <c r="G78" s="2"/>
      <c r="H78" s="2"/>
      <c r="I78" s="2"/>
      <c r="J78" s="2"/>
      <c r="K78" s="2"/>
    </row>
    <row r="79" spans="2:11" x14ac:dyDescent="0.35">
      <c r="B79" s="2"/>
      <c r="C79" s="2"/>
      <c r="D79" s="2"/>
      <c r="E79" s="2"/>
      <c r="F79" s="2"/>
      <c r="G79" s="2"/>
      <c r="H79" s="2"/>
      <c r="I79" s="2"/>
      <c r="J79" s="2"/>
      <c r="K79" s="2"/>
    </row>
    <row r="80" spans="2:11" x14ac:dyDescent="0.35">
      <c r="B80" s="2"/>
      <c r="C80" s="2"/>
      <c r="D80" s="2"/>
      <c r="E80" s="2"/>
      <c r="F80" s="2"/>
      <c r="G80" s="2"/>
      <c r="H80" s="2"/>
      <c r="I80" s="2"/>
      <c r="J80" s="2"/>
      <c r="K80" s="2"/>
    </row>
    <row r="81" spans="2:11" x14ac:dyDescent="0.35">
      <c r="B81" s="2"/>
      <c r="C81" s="2"/>
      <c r="D81" s="2"/>
      <c r="E81" s="2"/>
      <c r="F81" s="2"/>
      <c r="G81" s="2"/>
      <c r="H81" s="2"/>
      <c r="I81" s="2"/>
      <c r="J81" s="2"/>
      <c r="K81" s="2"/>
    </row>
    <row r="82" spans="2:11" x14ac:dyDescent="0.35">
      <c r="B82" s="2"/>
      <c r="C82" s="2"/>
      <c r="D82" s="2"/>
      <c r="E82" s="2"/>
      <c r="F82" s="2"/>
      <c r="G82" s="2"/>
      <c r="H82" s="2"/>
      <c r="I82" s="2"/>
      <c r="J82" s="2"/>
      <c r="K82" s="2"/>
    </row>
    <row r="83" spans="2:11" x14ac:dyDescent="0.35">
      <c r="B83" s="2"/>
      <c r="C83" s="2"/>
      <c r="D83" s="2"/>
      <c r="E83" s="2"/>
      <c r="F83" s="2"/>
      <c r="G83" s="2"/>
      <c r="H83" s="2"/>
      <c r="I83" s="2"/>
      <c r="J83" s="2"/>
      <c r="K83" s="2"/>
    </row>
    <row r="84" spans="2:11" x14ac:dyDescent="0.35">
      <c r="B84" s="2"/>
      <c r="C84" s="2"/>
      <c r="D84" s="2"/>
      <c r="E84" s="2"/>
      <c r="F84" s="2"/>
      <c r="G84" s="2"/>
      <c r="H84" s="2"/>
      <c r="I84" s="2"/>
      <c r="J84" s="2"/>
      <c r="K84" s="2"/>
    </row>
    <row r="85" spans="2:11" x14ac:dyDescent="0.35">
      <c r="B85" s="2"/>
      <c r="C85" s="2"/>
      <c r="D85" s="2"/>
      <c r="E85" s="2"/>
      <c r="F85" s="2"/>
      <c r="G85" s="2"/>
      <c r="H85" s="2"/>
      <c r="I85" s="2"/>
      <c r="J85" s="2"/>
      <c r="K85" s="2"/>
    </row>
    <row r="86" spans="2:11" x14ac:dyDescent="0.35">
      <c r="B86" s="2"/>
      <c r="C86" s="2"/>
      <c r="D86" s="2"/>
      <c r="E86" s="2"/>
      <c r="F86" s="2"/>
      <c r="G86" s="2"/>
      <c r="H86" s="2"/>
      <c r="I86" s="2"/>
      <c r="J86" s="2"/>
      <c r="K86" s="2"/>
    </row>
    <row r="87" spans="2:11" x14ac:dyDescent="0.35">
      <c r="B87" s="2"/>
      <c r="C87" s="2"/>
      <c r="D87" s="2"/>
      <c r="E87" s="2"/>
      <c r="F87" s="2"/>
      <c r="G87" s="2"/>
      <c r="H87" s="2"/>
      <c r="I87" s="2"/>
      <c r="J87" s="2"/>
      <c r="K87" s="2"/>
    </row>
    <row r="88" spans="2:11" x14ac:dyDescent="0.35">
      <c r="B88" s="2"/>
      <c r="C88" s="2"/>
      <c r="D88" s="2"/>
      <c r="E88" s="2"/>
      <c r="F88" s="2"/>
      <c r="G88" s="2"/>
      <c r="H88" s="2"/>
      <c r="I88" s="2"/>
      <c r="J88" s="2"/>
      <c r="K88" s="2"/>
    </row>
    <row r="89" spans="2:11" x14ac:dyDescent="0.35">
      <c r="B89" s="2"/>
      <c r="C89" s="2"/>
      <c r="D89" s="2"/>
      <c r="E89" s="2"/>
      <c r="F89" s="2"/>
      <c r="G89" s="2"/>
      <c r="H89" s="2"/>
      <c r="I89" s="2"/>
      <c r="J89" s="2"/>
      <c r="K89" s="2"/>
    </row>
  </sheetData>
  <mergeCells count="1">
    <mergeCell ref="A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W9"/>
  <sheetViews>
    <sheetView topLeftCell="C1" workbookViewId="0">
      <selection activeCell="N4" sqref="N4:R8"/>
    </sheetView>
  </sheetViews>
  <sheetFormatPr defaultColWidth="9.1796875" defaultRowHeight="15.5" x14ac:dyDescent="0.35"/>
  <cols>
    <col min="1" max="1" width="56.81640625" style="3" bestFit="1" customWidth="1"/>
    <col min="2" max="4" width="7.26953125" style="3" bestFit="1" customWidth="1"/>
    <col min="5" max="6" width="8.453125" style="3" bestFit="1" customWidth="1"/>
    <col min="7" max="10" width="9.1796875" style="3" bestFit="1" customWidth="1"/>
    <col min="11" max="11" width="10.1796875" style="3" bestFit="1" customWidth="1"/>
    <col min="12" max="12" width="9.1796875" style="3"/>
    <col min="13" max="18" width="11" style="3" customWidth="1"/>
    <col min="19" max="16384" width="9.1796875" style="3"/>
  </cols>
  <sheetData>
    <row r="1" spans="1:49" ht="19" x14ac:dyDescent="0.4">
      <c r="A1" s="248" t="s">
        <v>169</v>
      </c>
      <c r="B1" s="249"/>
      <c r="C1" s="249"/>
      <c r="D1" s="249"/>
      <c r="E1" s="249"/>
      <c r="F1" s="249"/>
      <c r="G1" s="249"/>
      <c r="H1" s="249"/>
      <c r="I1" s="249"/>
      <c r="J1" s="249"/>
      <c r="K1" s="250"/>
    </row>
    <row r="2" spans="1:49" ht="16" thickBot="1" x14ac:dyDescent="0.4">
      <c r="A2" s="245" t="s">
        <v>194</v>
      </c>
      <c r="B2" s="246"/>
      <c r="C2" s="246"/>
      <c r="D2" s="246"/>
      <c r="E2" s="246"/>
      <c r="F2" s="246"/>
      <c r="G2" s="246"/>
      <c r="H2" s="246"/>
      <c r="I2" s="246"/>
      <c r="J2" s="246"/>
      <c r="K2" s="246"/>
    </row>
    <row r="3" spans="1:49" ht="15.75" customHeight="1" thickBot="1" x14ac:dyDescent="0.4">
      <c r="A3" s="42" t="s">
        <v>109</v>
      </c>
      <c r="B3" s="119" t="s">
        <v>162</v>
      </c>
      <c r="C3" s="119" t="s">
        <v>161</v>
      </c>
      <c r="D3" s="119" t="s">
        <v>160</v>
      </c>
      <c r="E3" s="119" t="s">
        <v>155</v>
      </c>
      <c r="F3" s="119" t="s">
        <v>156</v>
      </c>
      <c r="G3" s="119" t="s">
        <v>157</v>
      </c>
      <c r="H3" s="119" t="s">
        <v>158</v>
      </c>
      <c r="I3" s="119" t="s">
        <v>159</v>
      </c>
      <c r="J3" s="119" t="s">
        <v>154</v>
      </c>
      <c r="K3" s="119" t="s">
        <v>153</v>
      </c>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x14ac:dyDescent="0.35">
      <c r="A4" s="77" t="s">
        <v>80</v>
      </c>
      <c r="B4" s="75"/>
      <c r="C4" s="75">
        <v>-23.92</v>
      </c>
      <c r="D4" s="75">
        <v>219.89</v>
      </c>
      <c r="E4" s="75">
        <v>308.66000000000003</v>
      </c>
      <c r="F4" s="75">
        <v>252.99</v>
      </c>
      <c r="G4" s="75">
        <v>461.67</v>
      </c>
      <c r="H4" s="75">
        <v>637.73</v>
      </c>
      <c r="I4" s="75">
        <v>868.11</v>
      </c>
      <c r="J4" s="75">
        <v>962.56</v>
      </c>
      <c r="K4" s="76">
        <v>531.25</v>
      </c>
      <c r="L4" s="7"/>
      <c r="M4" s="2"/>
      <c r="N4" s="213" t="s">
        <v>135</v>
      </c>
      <c r="O4" s="251"/>
      <c r="P4" s="251"/>
      <c r="Q4" s="251"/>
      <c r="R4" s="252"/>
    </row>
    <row r="5" spans="1:49" x14ac:dyDescent="0.35">
      <c r="A5" s="77" t="s">
        <v>81</v>
      </c>
      <c r="B5" s="75"/>
      <c r="C5" s="75">
        <f>583.7+121.26</f>
        <v>704.96</v>
      </c>
      <c r="D5" s="75">
        <v>140.33000000000001</v>
      </c>
      <c r="E5" s="75">
        <v>153.55000000000001</v>
      </c>
      <c r="F5" s="75">
        <v>188.64</v>
      </c>
      <c r="G5" s="75">
        <v>171.64</v>
      </c>
      <c r="H5" s="75">
        <v>175.01</v>
      </c>
      <c r="I5" s="75">
        <v>176.35</v>
      </c>
      <c r="J5" s="75">
        <v>173.91</v>
      </c>
      <c r="K5" s="76">
        <v>225.23</v>
      </c>
      <c r="L5" s="7"/>
      <c r="M5" s="2"/>
      <c r="N5" s="253"/>
      <c r="O5" s="254"/>
      <c r="P5" s="254"/>
      <c r="Q5" s="254"/>
      <c r="R5" s="255"/>
    </row>
    <row r="6" spans="1:49" x14ac:dyDescent="0.35">
      <c r="A6" s="58" t="s">
        <v>85</v>
      </c>
      <c r="B6" s="59">
        <f t="shared" ref="B6:J6" si="0">B4-B5</f>
        <v>0</v>
      </c>
      <c r="C6" s="59">
        <f t="shared" si="0"/>
        <v>-728.88</v>
      </c>
      <c r="D6" s="59">
        <f t="shared" si="0"/>
        <v>79.559999999999974</v>
      </c>
      <c r="E6" s="59">
        <f t="shared" si="0"/>
        <v>155.11000000000001</v>
      </c>
      <c r="F6" s="59">
        <f t="shared" si="0"/>
        <v>64.350000000000023</v>
      </c>
      <c r="G6" s="59">
        <f t="shared" si="0"/>
        <v>290.03000000000003</v>
      </c>
      <c r="H6" s="59">
        <f t="shared" si="0"/>
        <v>462.72</v>
      </c>
      <c r="I6" s="59">
        <f t="shared" si="0"/>
        <v>691.76</v>
      </c>
      <c r="J6" s="59">
        <f t="shared" si="0"/>
        <v>788.65</v>
      </c>
      <c r="K6" s="59">
        <f>K4-K5</f>
        <v>306.02</v>
      </c>
      <c r="L6" s="7"/>
      <c r="M6" s="2"/>
      <c r="N6" s="253"/>
      <c r="O6" s="254"/>
      <c r="P6" s="254"/>
      <c r="Q6" s="254"/>
      <c r="R6" s="255"/>
    </row>
    <row r="7" spans="1:49" x14ac:dyDescent="0.35">
      <c r="A7" s="74" t="s">
        <v>82</v>
      </c>
      <c r="B7" s="75"/>
      <c r="C7" s="75">
        <v>-769.31</v>
      </c>
      <c r="D7" s="75">
        <v>-162.63</v>
      </c>
      <c r="E7" s="75">
        <v>-96.11</v>
      </c>
      <c r="F7" s="75">
        <v>-176.21</v>
      </c>
      <c r="G7" s="75">
        <v>-105.33</v>
      </c>
      <c r="H7" s="75">
        <v>-143.34</v>
      </c>
      <c r="I7" s="75">
        <v>-376.19</v>
      </c>
      <c r="J7" s="75">
        <v>-486.39</v>
      </c>
      <c r="K7" s="76">
        <v>28.05</v>
      </c>
      <c r="L7" s="7"/>
      <c r="N7" s="253"/>
      <c r="O7" s="254"/>
      <c r="P7" s="254"/>
      <c r="Q7" s="254"/>
      <c r="R7" s="255"/>
    </row>
    <row r="8" spans="1:49" ht="16" thickBot="1" x14ac:dyDescent="0.4">
      <c r="A8" s="74" t="s">
        <v>83</v>
      </c>
      <c r="B8" s="75"/>
      <c r="C8" s="75">
        <v>919.23</v>
      </c>
      <c r="D8" s="75">
        <v>-51.52</v>
      </c>
      <c r="E8" s="75">
        <v>-313.04000000000002</v>
      </c>
      <c r="F8" s="75">
        <v>-65.42</v>
      </c>
      <c r="G8" s="75">
        <v>-256.77999999999997</v>
      </c>
      <c r="H8" s="75">
        <v>-252.1</v>
      </c>
      <c r="I8" s="75">
        <v>-309.72000000000003</v>
      </c>
      <c r="J8" s="75">
        <v>-753.77</v>
      </c>
      <c r="K8" s="76">
        <v>-621.61</v>
      </c>
      <c r="L8" s="7"/>
      <c r="N8" s="256"/>
      <c r="O8" s="257"/>
      <c r="P8" s="257"/>
      <c r="Q8" s="257"/>
      <c r="R8" s="258"/>
    </row>
    <row r="9" spans="1:49" ht="16" thickBot="1" x14ac:dyDescent="0.4">
      <c r="A9" s="60" t="s">
        <v>84</v>
      </c>
      <c r="B9" s="61">
        <f t="shared" ref="B9:J9" si="1">B4+B7+B8</f>
        <v>0</v>
      </c>
      <c r="C9" s="61">
        <f t="shared" si="1"/>
        <v>126.00000000000011</v>
      </c>
      <c r="D9" s="61">
        <f t="shared" si="1"/>
        <v>5.7399999999999878</v>
      </c>
      <c r="E9" s="61">
        <f t="shared" si="1"/>
        <v>-100.49000000000001</v>
      </c>
      <c r="F9" s="61">
        <f t="shared" si="1"/>
        <v>11.36</v>
      </c>
      <c r="G9" s="61">
        <f t="shared" si="1"/>
        <v>99.560000000000059</v>
      </c>
      <c r="H9" s="61">
        <f t="shared" si="1"/>
        <v>242.29</v>
      </c>
      <c r="I9" s="61">
        <f t="shared" si="1"/>
        <v>182.2</v>
      </c>
      <c r="J9" s="61">
        <f t="shared" si="1"/>
        <v>-277.60000000000002</v>
      </c>
      <c r="K9" s="62">
        <f>K4+K7+K8</f>
        <v>-62.310000000000059</v>
      </c>
      <c r="L9" s="7"/>
    </row>
  </sheetData>
  <mergeCells count="3">
    <mergeCell ref="A1:K1"/>
    <mergeCell ref="A2:K2"/>
    <mergeCell ref="N4:R8"/>
  </mergeCells>
  <pageMargins left="0.7" right="0.7" top="0.75" bottom="0.75" header="0.3" footer="0.3"/>
  <pageSetup paperSize="9" orientation="portrait" r:id="rId1"/>
  <drawing r:id="rId2"/>
  <extLst>
    <ext xmlns:x14="http://schemas.microsoft.com/office/spreadsheetml/2009/9/main" uri="{05C60535-1F16-4fd2-B633-F4F36F0B64E0}">
      <x14:sparklineGroups xmlns:xm="http://schemas.microsoft.com/office/excel/2006/main">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'Cash Flow'!B4:K4</xm:f>
              <xm:sqref>L4</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'Cash Flow'!B5:K5</xm:f>
              <xm:sqref>L5</xm:sqref>
            </x14:sparkline>
            <x14:sparkline>
              <xm:f>'Cash Flow'!B6:K6</xm:f>
              <xm:sqref>L6</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'Cash Flow'!B7:K7</xm:f>
              <xm:sqref>L7</xm:sqref>
            </x14:sparkline>
            <x14:sparkline>
              <xm:f>'Cash Flow'!B8:K8</xm:f>
              <xm:sqref>L8</xm:sqref>
            </x14:sparkline>
            <x14:sparkline>
              <xm:f>'Cash Flow'!B9:K9</xm:f>
              <xm:sqref>L9</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V36"/>
  <sheetViews>
    <sheetView workbookViewId="0">
      <selection activeCell="A6" sqref="A6"/>
    </sheetView>
  </sheetViews>
  <sheetFormatPr defaultColWidth="7.26953125" defaultRowHeight="15.5" x14ac:dyDescent="0.35"/>
  <cols>
    <col min="1" max="1" width="35.36328125" style="3" bestFit="1" customWidth="1"/>
    <col min="2" max="2" width="9.81640625" style="3" bestFit="1" customWidth="1"/>
    <col min="3" max="3" width="6.6328125" style="3" bestFit="1" customWidth="1"/>
    <col min="4" max="5" width="7.36328125" style="3" bestFit="1" customWidth="1"/>
    <col min="6" max="11" width="6.6328125" style="3" bestFit="1" customWidth="1"/>
    <col min="12" max="12" width="8.26953125" style="3" bestFit="1" customWidth="1"/>
    <col min="13" max="16384" width="7.26953125" style="3"/>
  </cols>
  <sheetData>
    <row r="1" spans="1:22" s="18" customFormat="1" ht="19.5" thickBot="1" x14ac:dyDescent="0.45">
      <c r="A1" s="260" t="s">
        <v>170</v>
      </c>
      <c r="B1" s="261"/>
      <c r="C1" s="261"/>
      <c r="D1" s="261"/>
      <c r="E1" s="261"/>
      <c r="F1" s="261"/>
      <c r="G1" s="261"/>
      <c r="H1" s="261"/>
      <c r="I1" s="261"/>
      <c r="J1" s="261"/>
      <c r="K1" s="262"/>
      <c r="L1" s="111"/>
    </row>
    <row r="2" spans="1:22" s="18" customFormat="1" ht="16" thickBot="1" x14ac:dyDescent="0.4">
      <c r="A2" s="263" t="s">
        <v>122</v>
      </c>
      <c r="B2" s="263"/>
      <c r="C2" s="263"/>
      <c r="D2" s="263"/>
      <c r="E2" s="263"/>
      <c r="F2" s="263"/>
      <c r="G2" s="263"/>
      <c r="H2" s="263"/>
      <c r="I2" s="263"/>
      <c r="J2" s="263"/>
      <c r="K2" s="263"/>
      <c r="L2" s="96"/>
    </row>
    <row r="3" spans="1:22" s="19" customFormat="1" x14ac:dyDescent="0.35">
      <c r="A3" s="145" t="s">
        <v>26</v>
      </c>
      <c r="B3" s="119" t="s">
        <v>162</v>
      </c>
      <c r="C3" s="119" t="s">
        <v>161</v>
      </c>
      <c r="D3" s="119" t="s">
        <v>160</v>
      </c>
      <c r="E3" s="119" t="s">
        <v>155</v>
      </c>
      <c r="F3" s="119" t="s">
        <v>156</v>
      </c>
      <c r="G3" s="119" t="s">
        <v>157</v>
      </c>
      <c r="H3" s="119" t="s">
        <v>158</v>
      </c>
      <c r="I3" s="119" t="s">
        <v>159</v>
      </c>
      <c r="J3" s="119" t="s">
        <v>154</v>
      </c>
      <c r="K3" s="119" t="s">
        <v>153</v>
      </c>
      <c r="L3" s="119" t="s">
        <v>152</v>
      </c>
      <c r="P3" s="213" t="s">
        <v>133</v>
      </c>
      <c r="Q3" s="214"/>
      <c r="R3" s="214"/>
      <c r="S3" s="214"/>
      <c r="T3" s="214"/>
      <c r="U3" s="214"/>
      <c r="V3" s="215"/>
    </row>
    <row r="4" spans="1:22" x14ac:dyDescent="0.35">
      <c r="A4" s="122" t="s">
        <v>120</v>
      </c>
      <c r="B4" s="21">
        <f>'P &amp; L Account'!B33</f>
        <v>1.6349384110730698</v>
      </c>
      <c r="C4" s="21">
        <f>'P &amp; L Account'!C33</f>
        <v>2.5759562122780144</v>
      </c>
      <c r="D4" s="21">
        <f>'P &amp; L Account'!D33</f>
        <v>0.61582253384976615</v>
      </c>
      <c r="E4" s="21">
        <f>'P &amp; L Account'!E33</f>
        <v>1.1180187685744218</v>
      </c>
      <c r="F4" s="21">
        <f>'P &amp; L Account'!F33</f>
        <v>4.9081760110806645</v>
      </c>
      <c r="G4" s="21">
        <f>'P &amp; L Account'!G33</f>
        <v>5.9200902214580227</v>
      </c>
      <c r="H4" s="21">
        <f>'P &amp; L Account'!H33</f>
        <v>6.1937535616043595</v>
      </c>
      <c r="I4" s="21">
        <f>'P &amp; L Account'!I33</f>
        <v>7.1429332519013773</v>
      </c>
      <c r="J4" s="21">
        <f>'P &amp; L Account'!J33</f>
        <v>6.1681476350409463</v>
      </c>
      <c r="K4" s="21">
        <f>'P &amp; L Account'!K33</f>
        <v>7.7579556005460075</v>
      </c>
      <c r="L4" s="146"/>
      <c r="P4" s="216"/>
      <c r="Q4" s="217"/>
      <c r="R4" s="217"/>
      <c r="S4" s="217"/>
      <c r="T4" s="217"/>
      <c r="U4" s="217"/>
      <c r="V4" s="218"/>
    </row>
    <row r="5" spans="1:22" x14ac:dyDescent="0.35">
      <c r="A5" s="122" t="s">
        <v>121</v>
      </c>
      <c r="B5" s="21">
        <f>'Balance Sheet'!B7/'First Page'!$B$14</f>
        <v>4.1995319934385718</v>
      </c>
      <c r="C5" s="21">
        <f>'Balance Sheet'!C7/'First Page'!$B$14</f>
        <v>10.759290267858511</v>
      </c>
      <c r="D5" s="21">
        <f>'Balance Sheet'!D7/'First Page'!$B$14</f>
        <v>9.8040291700026803</v>
      </c>
      <c r="E5" s="21">
        <f>'Balance Sheet'!E7/'First Page'!$B$14</f>
        <v>6.4048424187113699</v>
      </c>
      <c r="F5" s="21">
        <f>'Balance Sheet'!F7/'First Page'!$B$14</f>
        <v>10.462261519723073</v>
      </c>
      <c r="G5" s="21">
        <f>'Balance Sheet'!G7/'First Page'!$B$14</f>
        <v>15.29329967703149</v>
      </c>
      <c r="H5" s="21">
        <f>'Balance Sheet'!H7/'First Page'!$B$14</f>
        <v>23.077981463428063</v>
      </c>
      <c r="I5" s="21">
        <f>'Balance Sheet'!I7/'First Page'!$B$14</f>
        <v>26.662331071180954</v>
      </c>
      <c r="J5" s="21">
        <f>'Balance Sheet'!J7/'First Page'!$B$14</f>
        <v>29.097614724401286</v>
      </c>
      <c r="K5" s="21">
        <f>'Balance Sheet'!K7/'First Page'!$B$14</f>
        <v>40.935874722825048</v>
      </c>
      <c r="L5" s="146"/>
      <c r="P5" s="216"/>
      <c r="Q5" s="217"/>
      <c r="R5" s="217"/>
      <c r="S5" s="217"/>
      <c r="T5" s="217"/>
      <c r="U5" s="217"/>
      <c r="V5" s="218"/>
    </row>
    <row r="6" spans="1:22" x14ac:dyDescent="0.35">
      <c r="A6" s="122" t="s">
        <v>35</v>
      </c>
      <c r="B6" s="28">
        <f>'P &amp; L Account'!B23/'P &amp; L Account'!B22</f>
        <v>0.12111157196184161</v>
      </c>
      <c r="C6" s="28">
        <f>'P &amp; L Account'!C23/'P &amp; L Account'!C22</f>
        <v>0.15301344343185111</v>
      </c>
      <c r="D6" s="28">
        <f>'P &amp; L Account'!D23/'P &amp; L Account'!D22</f>
        <v>-0.35560105793021135</v>
      </c>
      <c r="E6" s="28">
        <f>'P &amp; L Account'!E23/'P &amp; L Account'!E22</f>
        <v>0.36497424576895016</v>
      </c>
      <c r="F6" s="28">
        <f>'P &amp; L Account'!F23/'P &amp; L Account'!F22</f>
        <v>0.247629109134686</v>
      </c>
      <c r="G6" s="28">
        <f>'P &amp; L Account'!G23/'P &amp; L Account'!G22</f>
        <v>0.23626847161204845</v>
      </c>
      <c r="H6" s="28">
        <f>'P &amp; L Account'!H23/'P &amp; L Account'!H22</f>
        <v>0.15413007125747577</v>
      </c>
      <c r="I6" s="28">
        <f>'P &amp; L Account'!I23/'P &amp; L Account'!I22</f>
        <v>0.2685956673231325</v>
      </c>
      <c r="J6" s="28">
        <f>'P &amp; L Account'!J23/'P &amp; L Account'!J22</f>
        <v>0.42643724625199914</v>
      </c>
      <c r="K6" s="28">
        <f>'P &amp; L Account'!K23/'P &amp; L Account'!K22</f>
        <v>0.15107688672360958</v>
      </c>
      <c r="L6" s="146"/>
      <c r="P6" s="216"/>
      <c r="Q6" s="217"/>
      <c r="R6" s="217"/>
      <c r="S6" s="217"/>
      <c r="T6" s="217"/>
      <c r="U6" s="217"/>
      <c r="V6" s="218"/>
    </row>
    <row r="7" spans="1:22" x14ac:dyDescent="0.35">
      <c r="A7" s="1"/>
      <c r="B7" s="1"/>
      <c r="C7" s="1"/>
      <c r="D7" s="1"/>
      <c r="E7" s="1"/>
      <c r="F7" s="1"/>
      <c r="G7" s="1"/>
      <c r="H7" s="1"/>
      <c r="I7" s="1"/>
      <c r="J7" s="1"/>
      <c r="K7" s="1"/>
      <c r="L7" s="1"/>
      <c r="P7" s="216"/>
      <c r="Q7" s="217"/>
      <c r="R7" s="217"/>
      <c r="S7" s="217"/>
      <c r="T7" s="217"/>
      <c r="U7" s="217"/>
      <c r="V7" s="218"/>
    </row>
    <row r="8" spans="1:22" ht="16" thickBot="1" x14ac:dyDescent="0.4">
      <c r="A8" s="145" t="s">
        <v>30</v>
      </c>
      <c r="B8" s="119" t="s">
        <v>162</v>
      </c>
      <c r="C8" s="119" t="s">
        <v>161</v>
      </c>
      <c r="D8" s="119" t="s">
        <v>160</v>
      </c>
      <c r="E8" s="119" t="s">
        <v>155</v>
      </c>
      <c r="F8" s="119" t="s">
        <v>156</v>
      </c>
      <c r="G8" s="119" t="s">
        <v>157</v>
      </c>
      <c r="H8" s="119" t="s">
        <v>158</v>
      </c>
      <c r="I8" s="119" t="s">
        <v>159</v>
      </c>
      <c r="J8" s="119" t="s">
        <v>154</v>
      </c>
      <c r="K8" s="119" t="s">
        <v>153</v>
      </c>
      <c r="L8" s="119"/>
      <c r="P8" s="219"/>
      <c r="Q8" s="220"/>
      <c r="R8" s="220"/>
      <c r="S8" s="220"/>
      <c r="T8" s="220"/>
      <c r="U8" s="220"/>
      <c r="V8" s="221"/>
    </row>
    <row r="9" spans="1:22" ht="16" thickBot="1" x14ac:dyDescent="0.4">
      <c r="A9" s="122" t="s">
        <v>88</v>
      </c>
      <c r="B9" s="28">
        <f>'P &amp; L Account'!B15/'P &amp; L Account'!B4</f>
        <v>0.31548196119491739</v>
      </c>
      <c r="C9" s="28">
        <f>'P &amp; L Account'!C15/'P &amp; L Account'!C4</f>
        <v>0.43317216111358742</v>
      </c>
      <c r="D9" s="28">
        <f>'P &amp; L Account'!D15/'P &amp; L Account'!D4</f>
        <v>0.42879859205585036</v>
      </c>
      <c r="E9" s="28">
        <f>'P &amp; L Account'!E15/'P &amp; L Account'!E4</f>
        <v>0.40269090782304151</v>
      </c>
      <c r="F9" s="28">
        <f>'P &amp; L Account'!F15/'P &amp; L Account'!F4</f>
        <v>0.39939386704628671</v>
      </c>
      <c r="G9" s="28">
        <f>'P &amp; L Account'!G15/'P &amp; L Account'!G4</f>
        <v>0.41397318278052225</v>
      </c>
      <c r="H9" s="28">
        <f>'P &amp; L Account'!H15/'P &amp; L Account'!H4</f>
        <v>0.39491355415162216</v>
      </c>
      <c r="I9" s="28">
        <f>'P &amp; L Account'!I15/'P &amp; L Account'!I4</f>
        <v>0.40308705318966986</v>
      </c>
      <c r="J9" s="28">
        <f>'P &amp; L Account'!J15/'P &amp; L Account'!J4</f>
        <v>0.40454616001297627</v>
      </c>
      <c r="K9" s="28">
        <f>'P &amp; L Account'!K15/'P &amp; L Account'!K4</f>
        <v>0.39429855149866871</v>
      </c>
      <c r="L9" s="146"/>
    </row>
    <row r="10" spans="1:22" x14ac:dyDescent="0.35">
      <c r="A10" s="122" t="s">
        <v>36</v>
      </c>
      <c r="B10" s="28">
        <f>'P &amp; L Account'!B16/'P &amp; L Account'!B4</f>
        <v>9.4233528522123522E-2</v>
      </c>
      <c r="C10" s="28">
        <f>'P &amp; L Account'!C16/'P &amp; L Account'!C4</f>
        <v>6.9279402270269685E-2</v>
      </c>
      <c r="D10" s="28">
        <f>'P &amp; L Account'!D16/'P &amp; L Account'!D4</f>
        <v>5.2679238118189205E-2</v>
      </c>
      <c r="E10" s="28">
        <f>'P &amp; L Account'!E16/'P &amp; L Account'!E4</f>
        <v>6.2410776028218297E-2</v>
      </c>
      <c r="F10" s="28">
        <f>'P &amp; L Account'!F16/'P &amp; L Account'!F4</f>
        <v>9.9244026418987247E-2</v>
      </c>
      <c r="G10" s="28">
        <f>'P &amp; L Account'!G16/'P &amp; L Account'!G4</f>
        <v>0.100845325396582</v>
      </c>
      <c r="H10" s="28">
        <f>'P &amp; L Account'!H16/'P &amp; L Account'!H4</f>
        <v>9.3045010340940745E-2</v>
      </c>
      <c r="I10" s="28">
        <f>'P &amp; L Account'!I16/'P &amp; L Account'!I4</f>
        <v>9.0704634855481525E-2</v>
      </c>
      <c r="J10" s="28">
        <f>'P &amp; L Account'!J16/'P &amp; L Account'!J4</f>
        <v>8.4151454647508658E-2</v>
      </c>
      <c r="K10" s="28">
        <f>'P &amp; L Account'!K16/'P &amp; L Account'!K4</f>
        <v>0.10373234744327967</v>
      </c>
      <c r="L10" s="146"/>
      <c r="M10" s="7"/>
      <c r="P10" s="213" t="s">
        <v>134</v>
      </c>
      <c r="Q10" s="251"/>
      <c r="R10" s="251"/>
      <c r="S10" s="251"/>
      <c r="T10" s="251"/>
      <c r="U10" s="251"/>
      <c r="V10" s="252"/>
    </row>
    <row r="11" spans="1:22" x14ac:dyDescent="0.35">
      <c r="A11" s="122" t="s">
        <v>37</v>
      </c>
      <c r="B11" s="28">
        <f>'P &amp; L Account'!B19/'P &amp; L Account'!B4</f>
        <v>9.1447887178293941E-2</v>
      </c>
      <c r="C11" s="28">
        <f>'P &amp; L Account'!C19/'P &amp; L Account'!C4</f>
        <v>6.0404602902699084E-2</v>
      </c>
      <c r="D11" s="28">
        <f>'P &amp; L Account'!D19/'P &amp; L Account'!D4</f>
        <v>3.772895979727945E-2</v>
      </c>
      <c r="E11" s="28">
        <f>'P &amp; L Account'!E19/'P &amp; L Account'!E4</f>
        <v>5.0494230586703708E-2</v>
      </c>
      <c r="F11" s="28">
        <f>'P &amp; L Account'!F19/'P &amp; L Account'!F4</f>
        <v>8.9138247131915066E-2</v>
      </c>
      <c r="G11" s="28">
        <f>'P &amp; L Account'!G19/'P &amp; L Account'!G4</f>
        <v>9.2637537970605519E-2</v>
      </c>
      <c r="H11" s="28">
        <f>'P &amp; L Account'!H19/'P &amp; L Account'!H4</f>
        <v>8.1761726516269007E-2</v>
      </c>
      <c r="I11" s="28">
        <f>'P &amp; L Account'!I19/'P &amp; L Account'!I4</f>
        <v>8.1629162696376739E-2</v>
      </c>
      <c r="J11" s="28">
        <f>'P &amp; L Account'!J19/'P &amp; L Account'!J4</f>
        <v>7.3859054802944898E-2</v>
      </c>
      <c r="K11" s="28">
        <f>'P &amp; L Account'!K19/'P &amp; L Account'!K4</f>
        <v>9.8492646010334098E-2</v>
      </c>
      <c r="L11" s="146"/>
      <c r="M11" s="7"/>
      <c r="P11" s="253"/>
      <c r="Q11" s="254"/>
      <c r="R11" s="254"/>
      <c r="S11" s="254"/>
      <c r="T11" s="254"/>
      <c r="U11" s="254"/>
      <c r="V11" s="255"/>
    </row>
    <row r="12" spans="1:22" x14ac:dyDescent="0.35">
      <c r="A12" s="122" t="s">
        <v>38</v>
      </c>
      <c r="B12" s="28">
        <f>'P &amp; L Account'!B32/'P &amp; L Account'!B4</f>
        <v>6.6028102015227283E-2</v>
      </c>
      <c r="C12" s="28">
        <f>'P &amp; L Account'!C32/'P &amp; L Account'!C4</f>
        <v>3.217314653612989E-2</v>
      </c>
      <c r="D12" s="28">
        <f>'P &amp; L Account'!D32/'P &amp; L Account'!D4</f>
        <v>7.0251155182392338E-3</v>
      </c>
      <c r="E12" s="28">
        <f>'P &amp; L Account'!E32/'P &amp; L Account'!E4</f>
        <v>1.3532019904814641E-2</v>
      </c>
      <c r="F12" s="28">
        <f>'P &amp; L Account'!F32/'P &amp; L Account'!F4</f>
        <v>5.4642832326378253E-2</v>
      </c>
      <c r="G12" s="28">
        <f>'P &amp; L Account'!G32/'P &amp; L Account'!G4</f>
        <v>5.6751864011537055E-2</v>
      </c>
      <c r="H12" s="28">
        <f>'P &amp; L Account'!H32/'P &amp; L Account'!H4</f>
        <v>5.3397609511182012E-2</v>
      </c>
      <c r="I12" s="28">
        <f>'P &amp; L Account'!I32/'P &amp; L Account'!I4</f>
        <v>5.452490898873668E-2</v>
      </c>
      <c r="J12" s="28">
        <f>'P &amp; L Account'!J32/'P &amp; L Account'!J4</f>
        <v>4.4976153606482591E-2</v>
      </c>
      <c r="K12" s="28">
        <f>'P &amp; L Account'!K32/'P &amp; L Account'!K4</f>
        <v>6.2840120401649824E-2</v>
      </c>
      <c r="L12" s="146"/>
      <c r="P12" s="253"/>
      <c r="Q12" s="254"/>
      <c r="R12" s="254"/>
      <c r="S12" s="254"/>
      <c r="T12" s="254"/>
      <c r="U12" s="254"/>
      <c r="V12" s="255"/>
    </row>
    <row r="13" spans="1:22" x14ac:dyDescent="0.35">
      <c r="A13" s="1"/>
      <c r="B13" s="1"/>
      <c r="C13" s="1"/>
      <c r="D13" s="1"/>
      <c r="E13" s="1"/>
      <c r="F13" s="1"/>
      <c r="G13" s="1"/>
      <c r="H13" s="1"/>
      <c r="I13" s="1"/>
      <c r="J13" s="1"/>
      <c r="K13" s="1"/>
      <c r="L13" s="1"/>
      <c r="P13" s="253"/>
      <c r="Q13" s="254"/>
      <c r="R13" s="254"/>
      <c r="S13" s="254"/>
      <c r="T13" s="254"/>
      <c r="U13" s="254"/>
      <c r="V13" s="255"/>
    </row>
    <row r="14" spans="1:22" ht="16" thickBot="1" x14ac:dyDescent="0.4">
      <c r="A14" s="145" t="s">
        <v>27</v>
      </c>
      <c r="B14" s="119" t="s">
        <v>162</v>
      </c>
      <c r="C14" s="119" t="s">
        <v>161</v>
      </c>
      <c r="D14" s="119" t="s">
        <v>160</v>
      </c>
      <c r="E14" s="119" t="s">
        <v>155</v>
      </c>
      <c r="F14" s="119" t="s">
        <v>156</v>
      </c>
      <c r="G14" s="119" t="s">
        <v>157</v>
      </c>
      <c r="H14" s="119" t="s">
        <v>158</v>
      </c>
      <c r="I14" s="119" t="s">
        <v>159</v>
      </c>
      <c r="J14" s="119" t="s">
        <v>154</v>
      </c>
      <c r="K14" s="119" t="s">
        <v>153</v>
      </c>
      <c r="L14" s="119"/>
      <c r="P14" s="256"/>
      <c r="Q14" s="257"/>
      <c r="R14" s="257"/>
      <c r="S14" s="257"/>
      <c r="T14" s="257"/>
      <c r="U14" s="257"/>
      <c r="V14" s="258"/>
    </row>
    <row r="15" spans="1:22" ht="16" thickBot="1" x14ac:dyDescent="0.4">
      <c r="A15" s="122" t="s">
        <v>39</v>
      </c>
      <c r="B15" s="28">
        <f>'P &amp; L Account'!B32/AVERAGE('Balance Sheet'!B7:'Balance Sheet'!A7)</f>
        <v>0.38931443161464863</v>
      </c>
      <c r="C15" s="28">
        <f>'P &amp; L Account'!C32/AVERAGE('Balance Sheet'!C7:'Balance Sheet'!B7)</f>
        <v>0.34440628644178478</v>
      </c>
      <c r="D15" s="28">
        <f>'P &amp; L Account'!D32/AVERAGE('Balance Sheet'!D7:'Balance Sheet'!C7)</f>
        <v>5.9895245581402926E-2</v>
      </c>
      <c r="E15" s="28">
        <f>'P &amp; L Account'!E32/AVERAGE('Balance Sheet'!E7:'Balance Sheet'!D7)</f>
        <v>0.13795146225390281</v>
      </c>
      <c r="F15" s="28">
        <f>'P &amp; L Account'!F32/AVERAGE('Balance Sheet'!F7:'Balance Sheet'!E7)</f>
        <v>0.5819820674605064</v>
      </c>
      <c r="G15" s="28">
        <f>'P &amp; L Account'!G32/AVERAGE('Balance Sheet'!G7:'Balance Sheet'!F7)</f>
        <v>0.45971354894833422</v>
      </c>
      <c r="H15" s="28">
        <f>'P &amp; L Account'!H32/AVERAGE('Balance Sheet'!H7:'Balance Sheet'!G7)</f>
        <v>0.32283277375763852</v>
      </c>
      <c r="I15" s="28">
        <f>'P &amp; L Account'!I32/AVERAGE('Balance Sheet'!I7:'Balance Sheet'!H7)</f>
        <v>0.28720902173388502</v>
      </c>
      <c r="J15" s="28">
        <f>'P &amp; L Account'!J32/AVERAGE('Balance Sheet'!J7:'Balance Sheet'!I7)</f>
        <v>0.22123936983918793</v>
      </c>
      <c r="K15" s="28">
        <f>'P &amp; L Account'!K32/AVERAGE('Balance Sheet'!K7:'Balance Sheet'!J7)</f>
        <v>0.22154988025813016</v>
      </c>
      <c r="L15" s="146"/>
    </row>
    <row r="16" spans="1:22" x14ac:dyDescent="0.35">
      <c r="A16" s="122" t="s">
        <v>40</v>
      </c>
      <c r="B16" s="28">
        <f>('P &amp; L Account'!B19*(1-Ratios!B6))/('Balance Sheet'!B27+'Balance Sheet'!B28+'Balance Sheet'!B36-'Balance Sheet'!B17)</f>
        <v>0.47447031051592548</v>
      </c>
      <c r="C16" s="28">
        <f>('P &amp; L Account'!C19*(1-Ratios!C6))/('Balance Sheet'!C27+'Balance Sheet'!C28+'Balance Sheet'!C36-'Balance Sheet'!C17)</f>
        <v>0.25281183011002512</v>
      </c>
      <c r="D16" s="28">
        <f>('P &amp; L Account'!D19*(1-Ratios!D6))/('Balance Sheet'!D27+'Balance Sheet'!D28+'Balance Sheet'!D36-'Balance Sheet'!D17)</f>
        <v>0.35489240379515546</v>
      </c>
      <c r="E16" s="28">
        <f>('P &amp; L Account'!E19*(1-Ratios!E6))/('Balance Sheet'!E27+'Balance Sheet'!E28+'Balance Sheet'!E36-'Balance Sheet'!E17)</f>
        <v>0.22948113786867769</v>
      </c>
      <c r="F16" s="28">
        <f>('P &amp; L Account'!F19*(1-Ratios!F6))/('Balance Sheet'!F27+'Balance Sheet'!F28+'Balance Sheet'!F36-'Balance Sheet'!F17)</f>
        <v>0.31989254232239606</v>
      </c>
      <c r="G16" s="28">
        <f>('P &amp; L Account'!G19*(1-Ratios!G6))/('Balance Sheet'!G27+'Balance Sheet'!G28+'Balance Sheet'!G36-'Balance Sheet'!G17)</f>
        <v>0.35691046264723908</v>
      </c>
      <c r="H16" s="28">
        <f>('P &amp; L Account'!H19*(1-Ratios!H6))/('Balance Sheet'!H27+'Balance Sheet'!H28+'Balance Sheet'!H36-'Balance Sheet'!H17)</f>
        <v>0.23603264103819779</v>
      </c>
      <c r="I16" s="28">
        <f>('P &amp; L Account'!I19*(1-Ratios!I6))/('Balance Sheet'!I27+'Balance Sheet'!I28+'Balance Sheet'!I36-'Balance Sheet'!I17)</f>
        <v>0.21392775542220205</v>
      </c>
      <c r="J16" s="28">
        <f>('P &amp; L Account'!J19*(1-Ratios!J6))/('Balance Sheet'!J27+'Balance Sheet'!J28+'Balance Sheet'!J36-'Balance Sheet'!J17)</f>
        <v>0.19873490361186533</v>
      </c>
      <c r="K16" s="28">
        <f>('P &amp; L Account'!K19*(1-Ratios!K6))/('Balance Sheet'!K27+'Balance Sheet'!K28+'Balance Sheet'!K29+'Balance Sheet'!K36-'Balance Sheet'!K17)</f>
        <v>0.27963378662805344</v>
      </c>
      <c r="L16" s="146"/>
      <c r="P16" s="259" t="s">
        <v>141</v>
      </c>
      <c r="Q16" s="251"/>
      <c r="R16" s="251"/>
      <c r="S16" s="251"/>
      <c r="T16" s="251"/>
      <c r="U16" s="251"/>
      <c r="V16" s="252"/>
    </row>
    <row r="17" spans="1:22" x14ac:dyDescent="0.35">
      <c r="A17" s="122" t="s">
        <v>41</v>
      </c>
      <c r="B17" s="28">
        <f>('P &amp; L Account'!B19*(1-Ratios!B6))/('Balance Sheet'!B7+'Balance Sheet'!B12+'Balance Sheet'!B18-'Balance Sheet'!B37-'Balance Sheet'!B40)</f>
        <v>0.44600073051832367</v>
      </c>
      <c r="C17" s="28">
        <f>('P &amp; L Account'!C19*(1-Ratios!C6))/('Balance Sheet'!C7+'Balance Sheet'!C12+'Balance Sheet'!C18-'Balance Sheet'!C37-'Balance Sheet'!C40)</f>
        <v>0.14860275968677858</v>
      </c>
      <c r="D17" s="28">
        <f>('P &amp; L Account'!D19*(1-Ratios!D6))/('Balance Sheet'!D7+'Balance Sheet'!D12+'Balance Sheet'!D18-'Balance Sheet'!D37-'Balance Sheet'!D40)</f>
        <v>0.17585007603483607</v>
      </c>
      <c r="E17" s="28">
        <f>('P &amp; L Account'!E19*(1-Ratios!E6))/('Balance Sheet'!E7+'Balance Sheet'!E12+'Balance Sheet'!E18-'Balance Sheet'!E37-'Balance Sheet'!E40)</f>
        <v>0.12554492295606523</v>
      </c>
      <c r="F17" s="28">
        <f>('P &amp; L Account'!F19*(1-Ratios!F6))/('Balance Sheet'!F7+'Balance Sheet'!F12+'Balance Sheet'!F18-'Balance Sheet'!F37-'Balance Sheet'!F40)</f>
        <v>0.26271018753483871</v>
      </c>
      <c r="G17" s="28">
        <f>('P &amp; L Account'!G19*(1-Ratios!G6))/('Balance Sheet'!G7+'Balance Sheet'!G12+'Balance Sheet'!G18-'Balance Sheet'!G37-'Balance Sheet'!G40)</f>
        <v>0.28995272420055418</v>
      </c>
      <c r="H17" s="28">
        <f>('P &amp; L Account'!H19*(1-Ratios!H6))/('Balance Sheet'!H7+'Balance Sheet'!H12+'Balance Sheet'!H18-'Balance Sheet'!H37-'Balance Sheet'!H40)</f>
        <v>0.27806671202872441</v>
      </c>
      <c r="I17" s="28">
        <f>('P &amp; L Account'!I19*(1-Ratios!I6))/('Balance Sheet'!I7+'Balance Sheet'!I12+'Balance Sheet'!I18-'Balance Sheet'!I37-'Balance Sheet'!I40)</f>
        <v>0.30392739880144243</v>
      </c>
      <c r="J17" s="28">
        <f>('P &amp; L Account'!J19*(1-Ratios!J6))/('Balance Sheet'!J7+'Balance Sheet'!J12+'Balance Sheet'!J18-'Balance Sheet'!J37-'Balance Sheet'!J40)</f>
        <v>0.27157493134769833</v>
      </c>
      <c r="K17" s="28">
        <f>('P &amp; L Account'!K19*(1-Ratios!K6))/('Balance Sheet'!K7+'Balance Sheet'!K12+'Balance Sheet'!K18-'Balance Sheet'!K37-'Balance Sheet'!K40)</f>
        <v>0.54991712257229275</v>
      </c>
      <c r="L17" s="146"/>
      <c r="P17" s="253"/>
      <c r="Q17" s="254"/>
      <c r="R17" s="254"/>
      <c r="S17" s="254"/>
      <c r="T17" s="254"/>
      <c r="U17" s="254"/>
      <c r="V17" s="255"/>
    </row>
    <row r="18" spans="1:22" x14ac:dyDescent="0.35">
      <c r="A18" s="122" t="s">
        <v>42</v>
      </c>
      <c r="B18" s="21">
        <f>'P &amp; L Account'!B4/('Balance Sheet'!B36-'Balance Sheet'!B17)</f>
        <v>31.511608961303413</v>
      </c>
      <c r="C18" s="21">
        <f>'P &amp; L Account'!C4/('Balance Sheet'!C36-'Balance Sheet'!C17)</f>
        <v>17.823684491788121</v>
      </c>
      <c r="D18" s="21">
        <f>'P &amp; L Account'!D4/('Balance Sheet'!D36-'Balance Sheet'!D17)</f>
        <v>-85.599156118143142</v>
      </c>
      <c r="E18" s="21">
        <f>'P &amp; L Account'!E4/('Balance Sheet'!E36-'Balance Sheet'!E17)</f>
        <v>-31.099819277108473</v>
      </c>
      <c r="F18" s="21">
        <f>'P &amp; L Account'!F4/('Balance Sheet'!F36-'Balance Sheet'!F17)</f>
        <v>30.97819847665308</v>
      </c>
      <c r="G18" s="21">
        <f>'P &amp; L Account'!G4/('Balance Sheet'!G36-'Balance Sheet'!G17)</f>
        <v>24.715428658097338</v>
      </c>
      <c r="H18" s="21">
        <f>'P &amp; L Account'!H4/('Balance Sheet'!H36-'Balance Sheet'!H17)</f>
        <v>7.2985418806517233</v>
      </c>
      <c r="I18" s="21">
        <f>'P &amp; L Account'!I4/('Balance Sheet'!I36-'Balance Sheet'!I17)</f>
        <v>7.2949417174633675</v>
      </c>
      <c r="J18" s="21">
        <f>'P &amp; L Account'!J4/('Balance Sheet'!J36-'Balance Sheet'!J17)</f>
        <v>13.311529141294898</v>
      </c>
      <c r="K18" s="21">
        <f>'P &amp; L Account'!K4/('Balance Sheet'!K36-'Balance Sheet'!K17)</f>
        <v>6.3926313259801297</v>
      </c>
      <c r="L18" s="146"/>
      <c r="P18" s="253"/>
      <c r="Q18" s="254"/>
      <c r="R18" s="254"/>
      <c r="S18" s="254"/>
      <c r="T18" s="254"/>
      <c r="U18" s="254"/>
      <c r="V18" s="255"/>
    </row>
    <row r="19" spans="1:22" x14ac:dyDescent="0.35">
      <c r="A19" s="1"/>
      <c r="B19" s="1"/>
      <c r="C19" s="1"/>
      <c r="D19" s="1"/>
      <c r="E19" s="1"/>
      <c r="F19" s="1"/>
      <c r="G19" s="1"/>
      <c r="H19" s="1"/>
      <c r="I19" s="1"/>
      <c r="J19" s="1"/>
      <c r="K19" s="1"/>
      <c r="L19" s="1"/>
      <c r="P19" s="253"/>
      <c r="Q19" s="254"/>
      <c r="R19" s="254"/>
      <c r="S19" s="254"/>
      <c r="T19" s="254"/>
      <c r="U19" s="254"/>
      <c r="V19" s="255"/>
    </row>
    <row r="20" spans="1:22" ht="16" thickBot="1" x14ac:dyDescent="0.4">
      <c r="A20" s="145" t="s">
        <v>28</v>
      </c>
      <c r="B20" s="119" t="s">
        <v>162</v>
      </c>
      <c r="C20" s="119" t="s">
        <v>161</v>
      </c>
      <c r="D20" s="119" t="s">
        <v>160</v>
      </c>
      <c r="E20" s="119" t="s">
        <v>155</v>
      </c>
      <c r="F20" s="119" t="s">
        <v>156</v>
      </c>
      <c r="G20" s="119" t="s">
        <v>157</v>
      </c>
      <c r="H20" s="119" t="s">
        <v>158</v>
      </c>
      <c r="I20" s="119" t="s">
        <v>159</v>
      </c>
      <c r="J20" s="119" t="s">
        <v>154</v>
      </c>
      <c r="K20" s="119" t="s">
        <v>153</v>
      </c>
      <c r="L20" s="119"/>
      <c r="P20" s="256"/>
      <c r="Q20" s="257"/>
      <c r="R20" s="257"/>
      <c r="S20" s="257"/>
      <c r="T20" s="257"/>
      <c r="U20" s="257"/>
      <c r="V20" s="258"/>
    </row>
    <row r="21" spans="1:22" x14ac:dyDescent="0.35">
      <c r="A21" s="122" t="s">
        <v>43</v>
      </c>
      <c r="B21" s="22">
        <f>'Balance Sheet'!B39/('P &amp; L Account'!B4/365)</f>
        <v>7.3036801489122425</v>
      </c>
      <c r="C21" s="22">
        <f>'Balance Sheet'!C39/('P &amp; L Account'!C4/365)</f>
        <v>60.021927150689699</v>
      </c>
      <c r="D21" s="22">
        <f>'Balance Sheet'!D39/('P &amp; L Account'!D4/365)</f>
        <v>50.466381499555453</v>
      </c>
      <c r="E21" s="22">
        <f>'Balance Sheet'!E39/('P &amp; L Account'!E4/365)</f>
        <v>49.365006188778075</v>
      </c>
      <c r="F21" s="22">
        <f>'Balance Sheet'!F39/('P &amp; L Account'!F4/365)</f>
        <v>50.209830329097052</v>
      </c>
      <c r="G21" s="22">
        <f>'Balance Sheet'!G39/('P &amp; L Account'!G4/365)</f>
        <v>49.867056856187297</v>
      </c>
      <c r="H21" s="22">
        <f>'Balance Sheet'!H39/('P &amp; L Account'!H4/365)</f>
        <v>43.423975805372315</v>
      </c>
      <c r="I21" s="22">
        <f>'Balance Sheet'!I39/('P &amp; L Account'!I4/365)</f>
        <v>44.613043318918123</v>
      </c>
      <c r="J21" s="22">
        <f>'Balance Sheet'!J39/('P &amp; L Account'!J4/365)</f>
        <v>26.543270672611825</v>
      </c>
      <c r="K21" s="22">
        <f>'Balance Sheet'!K39/('P &amp; L Account'!K4/365)</f>
        <v>12.272211693271352</v>
      </c>
      <c r="L21" s="146"/>
    </row>
    <row r="22" spans="1:22" x14ac:dyDescent="0.35">
      <c r="A22" s="122" t="s">
        <v>11</v>
      </c>
      <c r="B22" s="22">
        <f>'Balance Sheet'!B38/('P &amp; L Account'!B4/365)</f>
        <v>56.499722082186111</v>
      </c>
      <c r="C22" s="22">
        <f>'Balance Sheet'!C38/('P &amp; L Account'!C4/365)</f>
        <v>76.015614849698082</v>
      </c>
      <c r="D22" s="22">
        <f>'Balance Sheet'!D38/('P &amp; L Account'!D4/365)</f>
        <v>52.95858139403267</v>
      </c>
      <c r="E22" s="22">
        <f>'Balance Sheet'!E38/('P &amp; L Account'!E4/365)</f>
        <v>58.299519425402465</v>
      </c>
      <c r="F22" s="22">
        <f>'Balance Sheet'!F38/('P &amp; L Account'!F4/365)</f>
        <v>70.624644774374929</v>
      </c>
      <c r="G22" s="22">
        <f>'Balance Sheet'!G38/('P &amp; L Account'!G4/365)</f>
        <v>76.589971157681575</v>
      </c>
      <c r="H22" s="22">
        <f>'Balance Sheet'!H38/('P &amp; L Account'!H4/365)</f>
        <v>66.39192923733664</v>
      </c>
      <c r="I22" s="22">
        <f>'Balance Sheet'!I38/('P &amp; L Account'!I4/365)</f>
        <v>66.591609860978764</v>
      </c>
      <c r="J22" s="22">
        <f>'Balance Sheet'!J38/('P &amp; L Account'!J4/365)</f>
        <v>58.194751576242517</v>
      </c>
      <c r="K22" s="22">
        <f>'Balance Sheet'!K38/('P &amp; L Account'!K4/365)</f>
        <v>39.607301100052112</v>
      </c>
      <c r="L22" s="146"/>
    </row>
    <row r="23" spans="1:22" x14ac:dyDescent="0.35">
      <c r="A23" s="122" t="s">
        <v>44</v>
      </c>
      <c r="B23" s="22">
        <f>'Balance Sheet'!B19/('P &amp; L Account'!B4/365)</f>
        <v>42.769935755742559</v>
      </c>
      <c r="C23" s="22">
        <f>'Balance Sheet'!C19/('P &amp; L Account'!C4/365)</f>
        <v>54.396923402885911</v>
      </c>
      <c r="D23" s="22">
        <f>'Balance Sheet'!D19/('P &amp; L Account'!D4/365)</f>
        <v>41.46314278985448</v>
      </c>
      <c r="E23" s="22">
        <f>'Balance Sheet'!E19/('P &amp; L Account'!E4/365)</f>
        <v>45.914079615385347</v>
      </c>
      <c r="F23" s="22">
        <f>'Balance Sheet'!F19/('P &amp; L Account'!F4/365)</f>
        <v>53.183088854957475</v>
      </c>
      <c r="G23" s="22">
        <f>'Balance Sheet'!G19/('P &amp; L Account'!G4/365)</f>
        <v>59.912368445276314</v>
      </c>
      <c r="H23" s="22">
        <f>'Balance Sheet'!H19/('P &amp; L Account'!H4/365)</f>
        <v>46.97834818133277</v>
      </c>
      <c r="I23" s="22">
        <f>'Balance Sheet'!I19/('P &amp; L Account'!I4/365)</f>
        <v>53.382888660851719</v>
      </c>
      <c r="J23" s="22">
        <f>'Balance Sheet'!J19/('P &amp; L Account'!J4/365)</f>
        <v>44.770206419796871</v>
      </c>
      <c r="K23" s="22">
        <f>'Balance Sheet'!K19/('P &amp; L Account'!K4/365)</f>
        <v>24.619654973049631</v>
      </c>
      <c r="L23" s="146"/>
    </row>
    <row r="24" spans="1:22" x14ac:dyDescent="0.35">
      <c r="A24" s="1"/>
      <c r="B24" s="1"/>
      <c r="C24" s="1"/>
      <c r="D24" s="1"/>
      <c r="E24" s="1"/>
      <c r="F24" s="1"/>
      <c r="G24" s="1"/>
      <c r="H24" s="1"/>
      <c r="I24" s="1"/>
      <c r="J24" s="1"/>
      <c r="K24" s="1"/>
      <c r="L24" s="1"/>
    </row>
    <row r="25" spans="1:22" x14ac:dyDescent="0.35">
      <c r="A25" s="145" t="s">
        <v>110</v>
      </c>
      <c r="B25" s="119" t="s">
        <v>162</v>
      </c>
      <c r="C25" s="119" t="s">
        <v>161</v>
      </c>
      <c r="D25" s="119" t="s">
        <v>160</v>
      </c>
      <c r="E25" s="119" t="s">
        <v>155</v>
      </c>
      <c r="F25" s="119" t="s">
        <v>156</v>
      </c>
      <c r="G25" s="119" t="s">
        <v>157</v>
      </c>
      <c r="H25" s="119" t="s">
        <v>158</v>
      </c>
      <c r="I25" s="119" t="s">
        <v>159</v>
      </c>
      <c r="J25" s="119" t="s">
        <v>154</v>
      </c>
      <c r="K25" s="119" t="s">
        <v>153</v>
      </c>
      <c r="L25" s="119"/>
    </row>
    <row r="26" spans="1:22" x14ac:dyDescent="0.35">
      <c r="A26" s="122" t="s">
        <v>45</v>
      </c>
      <c r="B26" s="28"/>
      <c r="C26" s="28">
        <f>'P &amp; L Account'!C4/'P &amp; L Account'!B4-1</f>
        <v>2.2334962060986805</v>
      </c>
      <c r="D26" s="28">
        <f>'P &amp; L Account'!D4/'P &amp; L Account'!C4-1</f>
        <v>9.4856414141313072E-2</v>
      </c>
      <c r="E26" s="28">
        <f>'P &amp; L Account'!E4/'P &amp; L Account'!D4-1</f>
        <v>-5.7493486980350506E-2</v>
      </c>
      <c r="F26" s="28">
        <f>'P &amp; L Account'!F4/'P &amp; L Account'!E4-1</f>
        <v>8.7177510426008853E-2</v>
      </c>
      <c r="G26" s="28">
        <f>'P &amp; L Account'!G4/'P &amp; L Account'!F4-1</f>
        <v>0.16134503788776389</v>
      </c>
      <c r="H26" s="28">
        <f>'P &amp; L Account'!H4/'P &amp; L Account'!G4-1</f>
        <v>0.11194654966094952</v>
      </c>
      <c r="I26" s="28">
        <f>'P &amp; L Account'!I4/'P &amp; L Account'!H4-1</f>
        <v>0.12940455774025272</v>
      </c>
      <c r="J26" s="28">
        <f>'P &amp; L Account'!J4/'P &amp; L Account'!I4-1</f>
        <v>4.6865303330157149E-2</v>
      </c>
      <c r="K26" s="28">
        <f>'P &amp; L Account'!K4/'P &amp; L Account'!J4-1</f>
        <v>-9.9802437268289745E-2</v>
      </c>
      <c r="L26" s="146"/>
    </row>
    <row r="27" spans="1:22" x14ac:dyDescent="0.35">
      <c r="A27" s="122" t="s">
        <v>46</v>
      </c>
      <c r="B27" s="28"/>
      <c r="C27" s="28">
        <f>'P &amp; L Account'!C16/'P &amp; L Account'!B16-1</f>
        <v>1.3772290809327878</v>
      </c>
      <c r="D27" s="28">
        <f>'P &amp; L Account'!D16/'P &amp; L Account'!C16-1</f>
        <v>-0.16748413156376263</v>
      </c>
      <c r="E27" s="28">
        <f>'P &amp; L Account'!E16/'P &amp; L Account'!D16-1</f>
        <v>0.11661757061167455</v>
      </c>
      <c r="F27" s="28">
        <f>'P &amp; L Account'!F16/'P &amp; L Account'!E16-1</f>
        <v>0.72880198634389304</v>
      </c>
      <c r="G27" s="28">
        <f>'P &amp; L Account'!G16/'P &amp; L Account'!F16-1</f>
        <v>0.18008330042009324</v>
      </c>
      <c r="H27" s="28">
        <f>'P &amp; L Account'!H16/'P &amp; L Account'!G16-1</f>
        <v>2.5938265407025707E-2</v>
      </c>
      <c r="I27" s="28">
        <f>'P &amp; L Account'!I16/'P &amp; L Account'!H16-1</f>
        <v>0.10099647083246777</v>
      </c>
      <c r="J27" s="28">
        <f>'P &amp; L Account'!J16/'P &amp; L Account'!I16-1</f>
        <v>-2.8768064216353806E-2</v>
      </c>
      <c r="K27" s="28">
        <f>'P &amp; L Account'!K16/'P &amp; L Account'!J16-1</f>
        <v>0.10966122613120932</v>
      </c>
      <c r="L27" s="146"/>
    </row>
    <row r="28" spans="1:22" x14ac:dyDescent="0.35">
      <c r="A28" s="122" t="s">
        <v>60</v>
      </c>
      <c r="B28" s="28"/>
      <c r="C28" s="28">
        <f>'P &amp; L Account'!C19/'P &amp; L Account'!B19-1</f>
        <v>1.1358399886917834</v>
      </c>
      <c r="D28" s="28">
        <f>'P &amp; L Account'!D19/'P &amp; L Account'!C19-1</f>
        <v>-0.31614824619457327</v>
      </c>
      <c r="E28" s="28">
        <f>'P &amp; L Account'!E19/'P &amp; L Account'!D19-1</f>
        <v>0.26139552888802231</v>
      </c>
      <c r="F28" s="28">
        <f>'P &amp; L Account'!F19/'P &amp; L Account'!E19-1</f>
        <v>0.9192112935399821</v>
      </c>
      <c r="G28" s="28">
        <f>'P &amp; L Account'!G19/'P &amp; L Account'!F19-1</f>
        <v>0.20693583849690245</v>
      </c>
      <c r="H28" s="28">
        <f>'P &amp; L Account'!H19/'P &amp; L Account'!G19-1</f>
        <v>-1.8597949754069476E-2</v>
      </c>
      <c r="I28" s="28">
        <f>'P &amp; L Account'!I19/'P &amp; L Account'!H19-1</f>
        <v>0.12757340533243267</v>
      </c>
      <c r="J28" s="28">
        <f>'P &amp; L Account'!J19/'P &amp; L Account'!I19-1</f>
        <v>-5.2783597725232778E-2</v>
      </c>
      <c r="K28" s="28">
        <f>'P &amp; L Account'!K19/'P &amp; L Account'!J19-1</f>
        <v>0.20043290727252461</v>
      </c>
      <c r="L28" s="146"/>
    </row>
    <row r="29" spans="1:22" x14ac:dyDescent="0.35">
      <c r="A29" s="122" t="s">
        <v>47</v>
      </c>
      <c r="B29" s="28"/>
      <c r="C29" s="28">
        <f>'P &amp; L Account'!C32/'P &amp; L Account'!B29-1</f>
        <v>0.57556773688332408</v>
      </c>
      <c r="D29" s="28">
        <f>'P &amp; L Account'!D32/'P &amp; L Account'!C29-1</f>
        <v>-0.76093439363817006</v>
      </c>
      <c r="E29" s="28">
        <f>'P &amp; L Account'!E32/'P &amp; L Account'!D29-1</f>
        <v>-1.4362977766674931</v>
      </c>
      <c r="F29" s="28">
        <f>'P &amp; L Account'!F32/'P &amp; L Account'!E29-1</f>
        <v>3.3900658459777429</v>
      </c>
      <c r="G29" s="28">
        <f>'P &amp; L Account'!G32/'P &amp; L Account'!F29-1</f>
        <v>0.21856573442698668</v>
      </c>
      <c r="H29" s="28">
        <f>'P &amp; L Account'!H32/'P &amp; L Account'!G29-1</f>
        <v>4.622621107266478E-2</v>
      </c>
      <c r="I29" s="28">
        <f>'P &amp; L Account'!I32/'P &amp; L Account'!H29-1</f>
        <v>-0.23235815145417338</v>
      </c>
      <c r="J29" s="28">
        <f>'P &amp; L Account'!J32/'P &amp; L Account'!I29-1</f>
        <v>-0.13646853225192235</v>
      </c>
      <c r="K29" s="28">
        <f>'P &amp; L Account'!K32/'P &amp; L Account'!J29-1</f>
        <v>0.25774479788282623</v>
      </c>
      <c r="L29" s="146"/>
    </row>
    <row r="30" spans="1:22" x14ac:dyDescent="0.35">
      <c r="A30" s="1"/>
      <c r="B30" s="1"/>
      <c r="C30" s="1"/>
      <c r="D30" s="1"/>
      <c r="E30" s="1"/>
      <c r="F30" s="1"/>
      <c r="G30" s="1"/>
      <c r="H30" s="1"/>
      <c r="I30" s="1"/>
      <c r="J30" s="1"/>
      <c r="K30" s="1"/>
      <c r="L30" s="1"/>
    </row>
    <row r="31" spans="1:22" x14ac:dyDescent="0.35">
      <c r="A31" s="145" t="s">
        <v>29</v>
      </c>
      <c r="B31" s="119" t="s">
        <v>162</v>
      </c>
      <c r="C31" s="119" t="s">
        <v>161</v>
      </c>
      <c r="D31" s="119" t="s">
        <v>160</v>
      </c>
      <c r="E31" s="119" t="s">
        <v>155</v>
      </c>
      <c r="F31" s="119" t="s">
        <v>156</v>
      </c>
      <c r="G31" s="119" t="s">
        <v>157</v>
      </c>
      <c r="H31" s="119" t="s">
        <v>158</v>
      </c>
      <c r="I31" s="119" t="s">
        <v>159</v>
      </c>
      <c r="J31" s="119" t="s">
        <v>154</v>
      </c>
      <c r="K31" s="119" t="s">
        <v>153</v>
      </c>
      <c r="L31" s="119"/>
    </row>
    <row r="32" spans="1:22" x14ac:dyDescent="0.35">
      <c r="A32" s="122" t="s">
        <v>31</v>
      </c>
      <c r="B32" s="21">
        <f>('Balance Sheet'!B18+'Balance Sheet'!B12)/'Balance Sheet'!B7</f>
        <v>0.21359704279562514</v>
      </c>
      <c r="C32" s="21">
        <f>('Balance Sheet'!C18+'Balance Sheet'!C12)/'Balance Sheet'!C7</f>
        <v>1.9280232039268181</v>
      </c>
      <c r="D32" s="21">
        <f>('Balance Sheet'!D18+'Balance Sheet'!D12)/'Balance Sheet'!D7</f>
        <v>2.0042604593460767</v>
      </c>
      <c r="E32" s="21">
        <f>('Balance Sheet'!E18+'Balance Sheet'!E12)/'Balance Sheet'!E7</f>
        <v>2.6645011369031257</v>
      </c>
      <c r="F32" s="21">
        <f>('Balance Sheet'!F18+'Balance Sheet'!F12)/'Balance Sheet'!F7</f>
        <v>1.4637470554042891</v>
      </c>
      <c r="G32" s="21">
        <f>('Balance Sheet'!G18+'Balance Sheet'!G12)/'Balance Sheet'!G7</f>
        <v>0.90885403040989521</v>
      </c>
      <c r="H32" s="21">
        <f>('Balance Sheet'!H18+'Balance Sheet'!H12)/'Balance Sheet'!H7</f>
        <v>0.57848603367451656</v>
      </c>
      <c r="I32" s="21">
        <f>('Balance Sheet'!I18+'Balance Sheet'!I12)/'Balance Sheet'!I7</f>
        <v>0.49457086091920222</v>
      </c>
      <c r="J32" s="21">
        <f>('Balance Sheet'!J18+'Balance Sheet'!J12)/'Balance Sheet'!J7</f>
        <v>0.16281666281666279</v>
      </c>
      <c r="K32" s="21">
        <f>('Balance Sheet'!K18+'Balance Sheet'!K12)/'Balance Sheet'!K7</f>
        <v>3.341021932053638E-2</v>
      </c>
      <c r="L32" s="146"/>
    </row>
    <row r="33" spans="1:12" x14ac:dyDescent="0.35">
      <c r="A33" s="122" t="s">
        <v>61</v>
      </c>
      <c r="B33" s="21"/>
      <c r="C33" s="21">
        <f>'Balance Sheet'!C12/'Cash Flow'!C6</f>
        <v>-1.1846257271430141</v>
      </c>
      <c r="D33" s="21">
        <f>'Balance Sheet'!D12/'Cash Flow'!D6</f>
        <v>8.6212921065862265</v>
      </c>
      <c r="E33" s="21">
        <f>'Balance Sheet'!E12/'Cash Flow'!E6</f>
        <v>4.5138933659983236</v>
      </c>
      <c r="F33" s="21">
        <f>'Balance Sheet'!F12/'Cash Flow'!F6</f>
        <v>9.0369852369852328</v>
      </c>
      <c r="G33" s="21">
        <f>'Balance Sheet'!G12/'Cash Flow'!G6</f>
        <v>1.5123952694548837</v>
      </c>
      <c r="H33" s="21">
        <f>'Balance Sheet'!H12/'Cash Flow'!H6</f>
        <v>1.6043395573997232</v>
      </c>
      <c r="I33" s="21">
        <f>'Balance Sheet'!I12/'Cash Flow'!I6</f>
        <v>1.0199635711807564</v>
      </c>
      <c r="J33" s="21">
        <f>'Balance Sheet'!J12/'Cash Flow'!J6</f>
        <v>0.28707284600266281</v>
      </c>
      <c r="K33" s="21">
        <f>'Balance Sheet'!K12/'Cash Flow'!K6</f>
        <v>5.4571596627671394E-3</v>
      </c>
      <c r="L33" s="146"/>
    </row>
    <row r="34" spans="1:12" x14ac:dyDescent="0.35">
      <c r="A34" s="122" t="s">
        <v>32</v>
      </c>
      <c r="B34" s="21">
        <f>'Balance Sheet'!B36/'Balance Sheet'!B17</f>
        <v>1.1651697110371046</v>
      </c>
      <c r="C34" s="21">
        <f>'Balance Sheet'!C36/'Balance Sheet'!C17</f>
        <v>1.1441705659679595</v>
      </c>
      <c r="D34" s="21">
        <f>'Balance Sheet'!D36/'Balance Sheet'!D17</f>
        <v>0.96787698980437031</v>
      </c>
      <c r="E34" s="21">
        <f>'Balance Sheet'!E36/'Balance Sheet'!E17</f>
        <v>0.91503910248536224</v>
      </c>
      <c r="F34" s="21">
        <f>'Balance Sheet'!F36/'Balance Sheet'!F17</f>
        <v>1.0911702989528347</v>
      </c>
      <c r="G34" s="21">
        <f>'Balance Sheet'!G36/'Balance Sheet'!G17</f>
        <v>1.1095206059700002</v>
      </c>
      <c r="H34" s="21">
        <f>'Balance Sheet'!H36/'Balance Sheet'!H17</f>
        <v>1.5285214003640351</v>
      </c>
      <c r="I34" s="21">
        <f>'Balance Sheet'!I36/'Balance Sheet'!I17</f>
        <v>1.4515755161173491</v>
      </c>
      <c r="J34" s="21">
        <f>'Balance Sheet'!J36/'Balance Sheet'!J17</f>
        <v>1.2777928808454264</v>
      </c>
      <c r="K34" s="21">
        <f>'Balance Sheet'!K36/'Balance Sheet'!K17</f>
        <v>1.8145600594012621</v>
      </c>
      <c r="L34" s="146"/>
    </row>
    <row r="35" spans="1:12" x14ac:dyDescent="0.35">
      <c r="A35" s="122" t="s">
        <v>33</v>
      </c>
      <c r="B35" s="21">
        <f>('Balance Sheet'!B36-'Balance Sheet'!B38)/'Balance Sheet'!B17</f>
        <v>0.35950482726141242</v>
      </c>
      <c r="C35" s="21">
        <f>('Balance Sheet'!C36-'Balance Sheet'!C38)/'Balance Sheet'!C17</f>
        <v>0.60901008254020417</v>
      </c>
      <c r="D35" s="21">
        <f>('Balance Sheet'!D36-'Balance Sheet'!D38)/'Balance Sheet'!D17</f>
        <v>0.56891713478210659</v>
      </c>
      <c r="E35" s="21">
        <f>('Balance Sheet'!E36-'Balance Sheet'!E38)/'Balance Sheet'!E17</f>
        <v>0.49300352127093316</v>
      </c>
      <c r="F35" s="21">
        <f>('Balance Sheet'!F36-'Balance Sheet'!F38)/'Balance Sheet'!F17</f>
        <v>0.54469196435310741</v>
      </c>
      <c r="G35" s="21">
        <f>('Balance Sheet'!G36-'Balance Sheet'!G38)/'Balance Sheet'!G17</f>
        <v>0.54152754937625602</v>
      </c>
      <c r="H35" s="21">
        <f>('Balance Sheet'!H36-'Balance Sheet'!H38)/'Balance Sheet'!H17</f>
        <v>0.82687046952004861</v>
      </c>
      <c r="I35" s="21">
        <f>('Balance Sheet'!I36-'Balance Sheet'!I38)/'Balance Sheet'!I17</f>
        <v>0.85056943941406116</v>
      </c>
      <c r="J35" s="21">
        <f>('Balance Sheet'!J36-'Balance Sheet'!J38)/'Balance Sheet'!J17</f>
        <v>0.68821658662040808</v>
      </c>
      <c r="K35" s="21">
        <f>('Balance Sheet'!K36-'Balance Sheet'!K38)/'Balance Sheet'!K17</f>
        <v>1.2495123021364201</v>
      </c>
      <c r="L35" s="146"/>
    </row>
    <row r="36" spans="1:12" x14ac:dyDescent="0.35">
      <c r="A36" s="122" t="s">
        <v>34</v>
      </c>
      <c r="B36" s="21">
        <f>'P &amp; L Account'!B19/'P &amp; L Account'!B20</f>
        <v>6.756924546322824</v>
      </c>
      <c r="C36" s="21">
        <f>'P &amp; L Account'!C19/'P &amp; L Account'!C20</f>
        <v>2.9172700067574122</v>
      </c>
      <c r="D36" s="21">
        <f>'P &amp; L Account'!D19/'P &amp; L Account'!D20</f>
        <v>1.6497166121178271</v>
      </c>
      <c r="E36" s="21">
        <f>'P &amp; L Account'!E19/'P &amp; L Account'!E20</f>
        <v>2.6709016393442515</v>
      </c>
      <c r="F36" s="21">
        <f>'P &amp; L Account'!F19/'P &amp; L Account'!F20</f>
        <v>5.5490239574090561</v>
      </c>
      <c r="G36" s="21">
        <f>'P &amp; L Account'!G19/'P &amp; L Account'!G20</f>
        <v>4.7137392661982895</v>
      </c>
      <c r="H36" s="21">
        <f>'P &amp; L Account'!H19/'P &amp; L Account'!H20</f>
        <v>4.8092842071092443</v>
      </c>
      <c r="I36" s="21">
        <f>'P &amp; L Account'!I19/'P &amp; L Account'!I20</f>
        <v>9.0163270813655476</v>
      </c>
      <c r="J36" s="21">
        <f>'P &amp; L Account'!J19/'P &amp; L Account'!J20</f>
        <v>9.8957160725453441</v>
      </c>
      <c r="K36" s="21">
        <f>'P &amp; L Account'!K19/'P &amp; L Account'!K20</f>
        <v>16.906764574988856</v>
      </c>
      <c r="L36" s="146"/>
    </row>
  </sheetData>
  <mergeCells count="5">
    <mergeCell ref="P3:V8"/>
    <mergeCell ref="P10:V14"/>
    <mergeCell ref="P16:V20"/>
    <mergeCell ref="A1:K1"/>
    <mergeCell ref="A2:K2"/>
  </mergeCells>
  <pageMargins left="0.7" right="0.7" top="0.75" bottom="0.75" header="0.3" footer="0.3"/>
  <pageSetup paperSize="9" orientation="portrait" r:id="rId1"/>
  <drawing r:id="rId2"/>
  <legacyDrawing r:id="rId3"/>
  <extLst>
    <ext xmlns:x14="http://schemas.microsoft.com/office/spreadsheetml/2009/9/main" uri="{05C60535-1F16-4fd2-B633-F4F36F0B64E0}">
      <x14:sparklineGroups xmlns:xm="http://schemas.microsoft.com/office/excel/2006/main">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Ratios!B32:K32</xm:f>
              <xm:sqref>L32</xm:sqref>
            </x14:sparkline>
            <x14:sparkline>
              <xm:f>Ratios!B33:K33</xm:f>
              <xm:sqref>L33</xm:sqref>
            </x14:sparkline>
            <x14:sparkline>
              <xm:f>Ratios!B34:K34</xm:f>
              <xm:sqref>L34</xm:sqref>
            </x14:sparkline>
            <x14:sparkline>
              <xm:f>Ratios!B35:K35</xm:f>
              <xm:sqref>L35</xm:sqref>
            </x14:sparkline>
            <x14:sparkline>
              <xm:f>Ratios!B36:K36</xm:f>
              <xm:sqref>L36</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Ratios!B26:K26</xm:f>
              <xm:sqref>L26</xm:sqref>
            </x14:sparkline>
            <x14:sparkline>
              <xm:f>Ratios!B27:K27</xm:f>
              <xm:sqref>L27</xm:sqref>
            </x14:sparkline>
            <x14:sparkline>
              <xm:f>Ratios!B28:K28</xm:f>
              <xm:sqref>L28</xm:sqref>
            </x14:sparkline>
            <x14:sparkline>
              <xm:f>Ratios!B29:K29</xm:f>
              <xm:sqref>L29</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Ratios!B21:K21</xm:f>
              <xm:sqref>L21</xm:sqref>
            </x14:sparkline>
            <x14:sparkline>
              <xm:f>Ratios!B22:K22</xm:f>
              <xm:sqref>L22</xm:sqref>
            </x14:sparkline>
            <x14:sparkline>
              <xm:f>Ratios!B23:K23</xm:f>
              <xm:sqref>L23</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Ratios!B15:K15</xm:f>
              <xm:sqref>L15</xm:sqref>
            </x14:sparkline>
            <x14:sparkline>
              <xm:f>Ratios!B16:K16</xm:f>
              <xm:sqref>L16</xm:sqref>
            </x14:sparkline>
            <x14:sparkline>
              <xm:f>Ratios!B17:K17</xm:f>
              <xm:sqref>L17</xm:sqref>
            </x14:sparkline>
            <x14:sparkline>
              <xm:f>Ratios!B18:K18</xm:f>
              <xm:sqref>L18</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Ratios!B9:K9</xm:f>
              <xm:sqref>L9</xm:sqref>
            </x14:sparkline>
            <x14:sparkline>
              <xm:f>Ratios!B10:K10</xm:f>
              <xm:sqref>L10</xm:sqref>
            </x14:sparkline>
            <x14:sparkline>
              <xm:f>Ratios!B11:K11</xm:f>
              <xm:sqref>L11</xm:sqref>
            </x14:sparkline>
            <x14:sparkline>
              <xm:f>Ratios!B12:K12</xm:f>
              <xm:sqref>L12</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Ratios!B6:K6</xm:f>
              <xm:sqref>L6</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Ratios!B5:K5</xm:f>
              <xm:sqref>L5</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Ratios!B4:K4</xm:f>
              <xm:sqref>L4</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N54"/>
  <sheetViews>
    <sheetView zoomScale="87" zoomScaleNormal="115" workbookViewId="0">
      <selection activeCell="D1" sqref="D1"/>
    </sheetView>
  </sheetViews>
  <sheetFormatPr defaultRowHeight="15.5" x14ac:dyDescent="0.35"/>
  <cols>
    <col min="1" max="1" width="49.1796875" style="3" bestFit="1" customWidth="1"/>
    <col min="2" max="2" width="8.54296875" style="3" bestFit="1" customWidth="1"/>
    <col min="3" max="3" width="8.7265625" style="3" bestFit="1" customWidth="1"/>
    <col min="4" max="4" width="15.453125" style="3" bestFit="1" customWidth="1"/>
    <col min="5" max="5" width="8.90625" style="3" customWidth="1"/>
    <col min="6" max="6" width="9.36328125" style="3" customWidth="1"/>
    <col min="7" max="11" width="6.08984375" style="3" bestFit="1" customWidth="1"/>
    <col min="12" max="12" width="14.81640625" style="3" bestFit="1" customWidth="1"/>
    <col min="13" max="13" width="13.6328125" style="3" bestFit="1" customWidth="1"/>
    <col min="14" max="243" width="9.1796875" style="3"/>
    <col min="244" max="244" width="28.54296875" style="3" bestFit="1" customWidth="1"/>
    <col min="245" max="245" width="13.453125" style="3" bestFit="1" customWidth="1"/>
    <col min="246" max="246" width="9.1796875" style="3"/>
    <col min="247" max="247" width="15.1796875" style="3" bestFit="1" customWidth="1"/>
    <col min="248" max="248" width="9.1796875" style="3"/>
    <col min="249" max="249" width="10.81640625" style="3" bestFit="1" customWidth="1"/>
    <col min="250" max="250" width="12.7265625" style="3" bestFit="1" customWidth="1"/>
    <col min="251" max="499" width="9.1796875" style="3"/>
    <col min="500" max="500" width="28.54296875" style="3" bestFit="1" customWidth="1"/>
    <col min="501" max="501" width="13.453125" style="3" bestFit="1" customWidth="1"/>
    <col min="502" max="502" width="9.1796875" style="3"/>
    <col min="503" max="503" width="15.1796875" style="3" bestFit="1" customWidth="1"/>
    <col min="504" max="504" width="9.1796875" style="3"/>
    <col min="505" max="505" width="10.81640625" style="3" bestFit="1" customWidth="1"/>
    <col min="506" max="506" width="12.7265625" style="3" bestFit="1" customWidth="1"/>
    <col min="507" max="755" width="9.1796875" style="3"/>
    <col min="756" max="756" width="28.54296875" style="3" bestFit="1" customWidth="1"/>
    <col min="757" max="757" width="13.453125" style="3" bestFit="1" customWidth="1"/>
    <col min="758" max="758" width="9.1796875" style="3"/>
    <col min="759" max="759" width="15.1796875" style="3" bestFit="1" customWidth="1"/>
    <col min="760" max="760" width="9.1796875" style="3"/>
    <col min="761" max="761" width="10.81640625" style="3" bestFit="1" customWidth="1"/>
    <col min="762" max="762" width="12.7265625" style="3" bestFit="1" customWidth="1"/>
    <col min="763" max="1011" width="9.1796875" style="3"/>
    <col min="1012" max="1012" width="28.54296875" style="3" bestFit="1" customWidth="1"/>
    <col min="1013" max="1013" width="13.453125" style="3" bestFit="1" customWidth="1"/>
    <col min="1014" max="1014" width="9.1796875" style="3"/>
    <col min="1015" max="1015" width="15.1796875" style="3" bestFit="1" customWidth="1"/>
    <col min="1016" max="1016" width="9.1796875" style="3"/>
    <col min="1017" max="1017" width="10.81640625" style="3" bestFit="1" customWidth="1"/>
    <col min="1018" max="1018" width="12.7265625" style="3" bestFit="1" customWidth="1"/>
    <col min="1019" max="1267" width="9.1796875" style="3"/>
    <col min="1268" max="1268" width="28.54296875" style="3" bestFit="1" customWidth="1"/>
    <col min="1269" max="1269" width="13.453125" style="3" bestFit="1" customWidth="1"/>
    <col min="1270" max="1270" width="9.1796875" style="3"/>
    <col min="1271" max="1271" width="15.1796875" style="3" bestFit="1" customWidth="1"/>
    <col min="1272" max="1272" width="9.1796875" style="3"/>
    <col min="1273" max="1273" width="10.81640625" style="3" bestFit="1" customWidth="1"/>
    <col min="1274" max="1274" width="12.7265625" style="3" bestFit="1" customWidth="1"/>
    <col min="1275" max="1523" width="9.1796875" style="3"/>
    <col min="1524" max="1524" width="28.54296875" style="3" bestFit="1" customWidth="1"/>
    <col min="1525" max="1525" width="13.453125" style="3" bestFit="1" customWidth="1"/>
    <col min="1526" max="1526" width="9.1796875" style="3"/>
    <col min="1527" max="1527" width="15.1796875" style="3" bestFit="1" customWidth="1"/>
    <col min="1528" max="1528" width="9.1796875" style="3"/>
    <col min="1529" max="1529" width="10.81640625" style="3" bestFit="1" customWidth="1"/>
    <col min="1530" max="1530" width="12.7265625" style="3" bestFit="1" customWidth="1"/>
    <col min="1531" max="1779" width="9.1796875" style="3"/>
    <col min="1780" max="1780" width="28.54296875" style="3" bestFit="1" customWidth="1"/>
    <col min="1781" max="1781" width="13.453125" style="3" bestFit="1" customWidth="1"/>
    <col min="1782" max="1782" width="9.1796875" style="3"/>
    <col min="1783" max="1783" width="15.1796875" style="3" bestFit="1" customWidth="1"/>
    <col min="1784" max="1784" width="9.1796875" style="3"/>
    <col min="1785" max="1785" width="10.81640625" style="3" bestFit="1" customWidth="1"/>
    <col min="1786" max="1786" width="12.7265625" style="3" bestFit="1" customWidth="1"/>
    <col min="1787" max="2035" width="9.1796875" style="3"/>
    <col min="2036" max="2036" width="28.54296875" style="3" bestFit="1" customWidth="1"/>
    <col min="2037" max="2037" width="13.453125" style="3" bestFit="1" customWidth="1"/>
    <col min="2038" max="2038" width="9.1796875" style="3"/>
    <col min="2039" max="2039" width="15.1796875" style="3" bestFit="1" customWidth="1"/>
    <col min="2040" max="2040" width="9.1796875" style="3"/>
    <col min="2041" max="2041" width="10.81640625" style="3" bestFit="1" customWidth="1"/>
    <col min="2042" max="2042" width="12.7265625" style="3" bestFit="1" customWidth="1"/>
    <col min="2043" max="2291" width="9.1796875" style="3"/>
    <col min="2292" max="2292" width="28.54296875" style="3" bestFit="1" customWidth="1"/>
    <col min="2293" max="2293" width="13.453125" style="3" bestFit="1" customWidth="1"/>
    <col min="2294" max="2294" width="9.1796875" style="3"/>
    <col min="2295" max="2295" width="15.1796875" style="3" bestFit="1" customWidth="1"/>
    <col min="2296" max="2296" width="9.1796875" style="3"/>
    <col min="2297" max="2297" width="10.81640625" style="3" bestFit="1" customWidth="1"/>
    <col min="2298" max="2298" width="12.7265625" style="3" bestFit="1" customWidth="1"/>
    <col min="2299" max="2547" width="9.1796875" style="3"/>
    <col min="2548" max="2548" width="28.54296875" style="3" bestFit="1" customWidth="1"/>
    <col min="2549" max="2549" width="13.453125" style="3" bestFit="1" customWidth="1"/>
    <col min="2550" max="2550" width="9.1796875" style="3"/>
    <col min="2551" max="2551" width="15.1796875" style="3" bestFit="1" customWidth="1"/>
    <col min="2552" max="2552" width="9.1796875" style="3"/>
    <col min="2553" max="2553" width="10.81640625" style="3" bestFit="1" customWidth="1"/>
    <col min="2554" max="2554" width="12.7265625" style="3" bestFit="1" customWidth="1"/>
    <col min="2555" max="2803" width="9.1796875" style="3"/>
    <col min="2804" max="2804" width="28.54296875" style="3" bestFit="1" customWidth="1"/>
    <col min="2805" max="2805" width="13.453125" style="3" bestFit="1" customWidth="1"/>
    <col min="2806" max="2806" width="9.1796875" style="3"/>
    <col min="2807" max="2807" width="15.1796875" style="3" bestFit="1" customWidth="1"/>
    <col min="2808" max="2808" width="9.1796875" style="3"/>
    <col min="2809" max="2809" width="10.81640625" style="3" bestFit="1" customWidth="1"/>
    <col min="2810" max="2810" width="12.7265625" style="3" bestFit="1" customWidth="1"/>
    <col min="2811" max="3059" width="9.1796875" style="3"/>
    <col min="3060" max="3060" width="28.54296875" style="3" bestFit="1" customWidth="1"/>
    <col min="3061" max="3061" width="13.453125" style="3" bestFit="1" customWidth="1"/>
    <col min="3062" max="3062" width="9.1796875" style="3"/>
    <col min="3063" max="3063" width="15.1796875" style="3" bestFit="1" customWidth="1"/>
    <col min="3064" max="3064" width="9.1796875" style="3"/>
    <col min="3065" max="3065" width="10.81640625" style="3" bestFit="1" customWidth="1"/>
    <col min="3066" max="3066" width="12.7265625" style="3" bestFit="1" customWidth="1"/>
    <col min="3067" max="3315" width="9.1796875" style="3"/>
    <col min="3316" max="3316" width="28.54296875" style="3" bestFit="1" customWidth="1"/>
    <col min="3317" max="3317" width="13.453125" style="3" bestFit="1" customWidth="1"/>
    <col min="3318" max="3318" width="9.1796875" style="3"/>
    <col min="3319" max="3319" width="15.1796875" style="3" bestFit="1" customWidth="1"/>
    <col min="3320" max="3320" width="9.1796875" style="3"/>
    <col min="3321" max="3321" width="10.81640625" style="3" bestFit="1" customWidth="1"/>
    <col min="3322" max="3322" width="12.7265625" style="3" bestFit="1" customWidth="1"/>
    <col min="3323" max="3571" width="9.1796875" style="3"/>
    <col min="3572" max="3572" width="28.54296875" style="3" bestFit="1" customWidth="1"/>
    <col min="3573" max="3573" width="13.453125" style="3" bestFit="1" customWidth="1"/>
    <col min="3574" max="3574" width="9.1796875" style="3"/>
    <col min="3575" max="3575" width="15.1796875" style="3" bestFit="1" customWidth="1"/>
    <col min="3576" max="3576" width="9.1796875" style="3"/>
    <col min="3577" max="3577" width="10.81640625" style="3" bestFit="1" customWidth="1"/>
    <col min="3578" max="3578" width="12.7265625" style="3" bestFit="1" customWidth="1"/>
    <col min="3579" max="3827" width="9.1796875" style="3"/>
    <col min="3828" max="3828" width="28.54296875" style="3" bestFit="1" customWidth="1"/>
    <col min="3829" max="3829" width="13.453125" style="3" bestFit="1" customWidth="1"/>
    <col min="3830" max="3830" width="9.1796875" style="3"/>
    <col min="3831" max="3831" width="15.1796875" style="3" bestFit="1" customWidth="1"/>
    <col min="3832" max="3832" width="9.1796875" style="3"/>
    <col min="3833" max="3833" width="10.81640625" style="3" bestFit="1" customWidth="1"/>
    <col min="3834" max="3834" width="12.7265625" style="3" bestFit="1" customWidth="1"/>
    <col min="3835" max="4083" width="9.1796875" style="3"/>
    <col min="4084" max="4084" width="28.54296875" style="3" bestFit="1" customWidth="1"/>
    <col min="4085" max="4085" width="13.453125" style="3" bestFit="1" customWidth="1"/>
    <col min="4086" max="4086" width="9.1796875" style="3"/>
    <col min="4087" max="4087" width="15.1796875" style="3" bestFit="1" customWidth="1"/>
    <col min="4088" max="4088" width="9.1796875" style="3"/>
    <col min="4089" max="4089" width="10.81640625" style="3" bestFit="1" customWidth="1"/>
    <col min="4090" max="4090" width="12.7265625" style="3" bestFit="1" customWidth="1"/>
    <col min="4091" max="4339" width="9.1796875" style="3"/>
    <col min="4340" max="4340" width="28.54296875" style="3" bestFit="1" customWidth="1"/>
    <col min="4341" max="4341" width="13.453125" style="3" bestFit="1" customWidth="1"/>
    <col min="4342" max="4342" width="9.1796875" style="3"/>
    <col min="4343" max="4343" width="15.1796875" style="3" bestFit="1" customWidth="1"/>
    <col min="4344" max="4344" width="9.1796875" style="3"/>
    <col min="4345" max="4345" width="10.81640625" style="3" bestFit="1" customWidth="1"/>
    <col min="4346" max="4346" width="12.7265625" style="3" bestFit="1" customWidth="1"/>
    <col min="4347" max="4595" width="9.1796875" style="3"/>
    <col min="4596" max="4596" width="28.54296875" style="3" bestFit="1" customWidth="1"/>
    <col min="4597" max="4597" width="13.453125" style="3" bestFit="1" customWidth="1"/>
    <col min="4598" max="4598" width="9.1796875" style="3"/>
    <col min="4599" max="4599" width="15.1796875" style="3" bestFit="1" customWidth="1"/>
    <col min="4600" max="4600" width="9.1796875" style="3"/>
    <col min="4601" max="4601" width="10.81640625" style="3" bestFit="1" customWidth="1"/>
    <col min="4602" max="4602" width="12.7265625" style="3" bestFit="1" customWidth="1"/>
    <col min="4603" max="4851" width="9.1796875" style="3"/>
    <col min="4852" max="4852" width="28.54296875" style="3" bestFit="1" customWidth="1"/>
    <col min="4853" max="4853" width="13.453125" style="3" bestFit="1" customWidth="1"/>
    <col min="4854" max="4854" width="9.1796875" style="3"/>
    <col min="4855" max="4855" width="15.1796875" style="3" bestFit="1" customWidth="1"/>
    <col min="4856" max="4856" width="9.1796875" style="3"/>
    <col min="4857" max="4857" width="10.81640625" style="3" bestFit="1" customWidth="1"/>
    <col min="4858" max="4858" width="12.7265625" style="3" bestFit="1" customWidth="1"/>
    <col min="4859" max="5107" width="9.1796875" style="3"/>
    <col min="5108" max="5108" width="28.54296875" style="3" bestFit="1" customWidth="1"/>
    <col min="5109" max="5109" width="13.453125" style="3" bestFit="1" customWidth="1"/>
    <col min="5110" max="5110" width="9.1796875" style="3"/>
    <col min="5111" max="5111" width="15.1796875" style="3" bestFit="1" customWidth="1"/>
    <col min="5112" max="5112" width="9.1796875" style="3"/>
    <col min="5113" max="5113" width="10.81640625" style="3" bestFit="1" customWidth="1"/>
    <col min="5114" max="5114" width="12.7265625" style="3" bestFit="1" customWidth="1"/>
    <col min="5115" max="5363" width="9.1796875" style="3"/>
    <col min="5364" max="5364" width="28.54296875" style="3" bestFit="1" customWidth="1"/>
    <col min="5365" max="5365" width="13.453125" style="3" bestFit="1" customWidth="1"/>
    <col min="5366" max="5366" width="9.1796875" style="3"/>
    <col min="5367" max="5367" width="15.1796875" style="3" bestFit="1" customWidth="1"/>
    <col min="5368" max="5368" width="9.1796875" style="3"/>
    <col min="5369" max="5369" width="10.81640625" style="3" bestFit="1" customWidth="1"/>
    <col min="5370" max="5370" width="12.7265625" style="3" bestFit="1" customWidth="1"/>
    <col min="5371" max="5619" width="9.1796875" style="3"/>
    <col min="5620" max="5620" width="28.54296875" style="3" bestFit="1" customWidth="1"/>
    <col min="5621" max="5621" width="13.453125" style="3" bestFit="1" customWidth="1"/>
    <col min="5622" max="5622" width="9.1796875" style="3"/>
    <col min="5623" max="5623" width="15.1796875" style="3" bestFit="1" customWidth="1"/>
    <col min="5624" max="5624" width="9.1796875" style="3"/>
    <col min="5625" max="5625" width="10.81640625" style="3" bestFit="1" customWidth="1"/>
    <col min="5626" max="5626" width="12.7265625" style="3" bestFit="1" customWidth="1"/>
    <col min="5627" max="5875" width="9.1796875" style="3"/>
    <col min="5876" max="5876" width="28.54296875" style="3" bestFit="1" customWidth="1"/>
    <col min="5877" max="5877" width="13.453125" style="3" bestFit="1" customWidth="1"/>
    <col min="5878" max="5878" width="9.1796875" style="3"/>
    <col min="5879" max="5879" width="15.1796875" style="3" bestFit="1" customWidth="1"/>
    <col min="5880" max="5880" width="9.1796875" style="3"/>
    <col min="5881" max="5881" width="10.81640625" style="3" bestFit="1" customWidth="1"/>
    <col min="5882" max="5882" width="12.7265625" style="3" bestFit="1" customWidth="1"/>
    <col min="5883" max="6131" width="9.1796875" style="3"/>
    <col min="6132" max="6132" width="28.54296875" style="3" bestFit="1" customWidth="1"/>
    <col min="6133" max="6133" width="13.453125" style="3" bestFit="1" customWidth="1"/>
    <col min="6134" max="6134" width="9.1796875" style="3"/>
    <col min="6135" max="6135" width="15.1796875" style="3" bestFit="1" customWidth="1"/>
    <col min="6136" max="6136" width="9.1796875" style="3"/>
    <col min="6137" max="6137" width="10.81640625" style="3" bestFit="1" customWidth="1"/>
    <col min="6138" max="6138" width="12.7265625" style="3" bestFit="1" customWidth="1"/>
    <col min="6139" max="6387" width="9.1796875" style="3"/>
    <col min="6388" max="6388" width="28.54296875" style="3" bestFit="1" customWidth="1"/>
    <col min="6389" max="6389" width="13.453125" style="3" bestFit="1" customWidth="1"/>
    <col min="6390" max="6390" width="9.1796875" style="3"/>
    <col min="6391" max="6391" width="15.1796875" style="3" bestFit="1" customWidth="1"/>
    <col min="6392" max="6392" width="9.1796875" style="3"/>
    <col min="6393" max="6393" width="10.81640625" style="3" bestFit="1" customWidth="1"/>
    <col min="6394" max="6394" width="12.7265625" style="3" bestFit="1" customWidth="1"/>
    <col min="6395" max="6643" width="9.1796875" style="3"/>
    <col min="6644" max="6644" width="28.54296875" style="3" bestFit="1" customWidth="1"/>
    <col min="6645" max="6645" width="13.453125" style="3" bestFit="1" customWidth="1"/>
    <col min="6646" max="6646" width="9.1796875" style="3"/>
    <col min="6647" max="6647" width="15.1796875" style="3" bestFit="1" customWidth="1"/>
    <col min="6648" max="6648" width="9.1796875" style="3"/>
    <col min="6649" max="6649" width="10.81640625" style="3" bestFit="1" customWidth="1"/>
    <col min="6650" max="6650" width="12.7265625" style="3" bestFit="1" customWidth="1"/>
    <col min="6651" max="6899" width="9.1796875" style="3"/>
    <col min="6900" max="6900" width="28.54296875" style="3" bestFit="1" customWidth="1"/>
    <col min="6901" max="6901" width="13.453125" style="3" bestFit="1" customWidth="1"/>
    <col min="6902" max="6902" width="9.1796875" style="3"/>
    <col min="6903" max="6903" width="15.1796875" style="3" bestFit="1" customWidth="1"/>
    <col min="6904" max="6904" width="9.1796875" style="3"/>
    <col min="6905" max="6905" width="10.81640625" style="3" bestFit="1" customWidth="1"/>
    <col min="6906" max="6906" width="12.7265625" style="3" bestFit="1" customWidth="1"/>
    <col min="6907" max="7155" width="9.1796875" style="3"/>
    <col min="7156" max="7156" width="28.54296875" style="3" bestFit="1" customWidth="1"/>
    <col min="7157" max="7157" width="13.453125" style="3" bestFit="1" customWidth="1"/>
    <col min="7158" max="7158" width="9.1796875" style="3"/>
    <col min="7159" max="7159" width="15.1796875" style="3" bestFit="1" customWidth="1"/>
    <col min="7160" max="7160" width="9.1796875" style="3"/>
    <col min="7161" max="7161" width="10.81640625" style="3" bestFit="1" customWidth="1"/>
    <col min="7162" max="7162" width="12.7265625" style="3" bestFit="1" customWidth="1"/>
    <col min="7163" max="7411" width="9.1796875" style="3"/>
    <col min="7412" max="7412" width="28.54296875" style="3" bestFit="1" customWidth="1"/>
    <col min="7413" max="7413" width="13.453125" style="3" bestFit="1" customWidth="1"/>
    <col min="7414" max="7414" width="9.1796875" style="3"/>
    <col min="7415" max="7415" width="15.1796875" style="3" bestFit="1" customWidth="1"/>
    <col min="7416" max="7416" width="9.1796875" style="3"/>
    <col min="7417" max="7417" width="10.81640625" style="3" bestFit="1" customWidth="1"/>
    <col min="7418" max="7418" width="12.7265625" style="3" bestFit="1" customWidth="1"/>
    <col min="7419" max="7667" width="9.1796875" style="3"/>
    <col min="7668" max="7668" width="28.54296875" style="3" bestFit="1" customWidth="1"/>
    <col min="7669" max="7669" width="13.453125" style="3" bestFit="1" customWidth="1"/>
    <col min="7670" max="7670" width="9.1796875" style="3"/>
    <col min="7671" max="7671" width="15.1796875" style="3" bestFit="1" customWidth="1"/>
    <col min="7672" max="7672" width="9.1796875" style="3"/>
    <col min="7673" max="7673" width="10.81640625" style="3" bestFit="1" customWidth="1"/>
    <col min="7674" max="7674" width="12.7265625" style="3" bestFit="1" customWidth="1"/>
    <col min="7675" max="7923" width="9.1796875" style="3"/>
    <col min="7924" max="7924" width="28.54296875" style="3" bestFit="1" customWidth="1"/>
    <col min="7925" max="7925" width="13.453125" style="3" bestFit="1" customWidth="1"/>
    <col min="7926" max="7926" width="9.1796875" style="3"/>
    <col min="7927" max="7927" width="15.1796875" style="3" bestFit="1" customWidth="1"/>
    <col min="7928" max="7928" width="9.1796875" style="3"/>
    <col min="7929" max="7929" width="10.81640625" style="3" bestFit="1" customWidth="1"/>
    <col min="7930" max="7930" width="12.7265625" style="3" bestFit="1" customWidth="1"/>
    <col min="7931" max="8179" width="9.1796875" style="3"/>
    <col min="8180" max="8180" width="28.54296875" style="3" bestFit="1" customWidth="1"/>
    <col min="8181" max="8181" width="13.453125" style="3" bestFit="1" customWidth="1"/>
    <col min="8182" max="8182" width="9.1796875" style="3"/>
    <col min="8183" max="8183" width="15.1796875" style="3" bestFit="1" customWidth="1"/>
    <col min="8184" max="8184" width="9.1796875" style="3"/>
    <col min="8185" max="8185" width="10.81640625" style="3" bestFit="1" customWidth="1"/>
    <col min="8186" max="8186" width="12.7265625" style="3" bestFit="1" customWidth="1"/>
    <col min="8187" max="8435" width="9.1796875" style="3"/>
    <col min="8436" max="8436" width="28.54296875" style="3" bestFit="1" customWidth="1"/>
    <col min="8437" max="8437" width="13.453125" style="3" bestFit="1" customWidth="1"/>
    <col min="8438" max="8438" width="9.1796875" style="3"/>
    <col min="8439" max="8439" width="15.1796875" style="3" bestFit="1" customWidth="1"/>
    <col min="8440" max="8440" width="9.1796875" style="3"/>
    <col min="8441" max="8441" width="10.81640625" style="3" bestFit="1" customWidth="1"/>
    <col min="8442" max="8442" width="12.7265625" style="3" bestFit="1" customWidth="1"/>
    <col min="8443" max="8691" width="9.1796875" style="3"/>
    <col min="8692" max="8692" width="28.54296875" style="3" bestFit="1" customWidth="1"/>
    <col min="8693" max="8693" width="13.453125" style="3" bestFit="1" customWidth="1"/>
    <col min="8694" max="8694" width="9.1796875" style="3"/>
    <col min="8695" max="8695" width="15.1796875" style="3" bestFit="1" customWidth="1"/>
    <col min="8696" max="8696" width="9.1796875" style="3"/>
    <col min="8697" max="8697" width="10.81640625" style="3" bestFit="1" customWidth="1"/>
    <col min="8698" max="8698" width="12.7265625" style="3" bestFit="1" customWidth="1"/>
    <col min="8699" max="8947" width="9.1796875" style="3"/>
    <col min="8948" max="8948" width="28.54296875" style="3" bestFit="1" customWidth="1"/>
    <col min="8949" max="8949" width="13.453125" style="3" bestFit="1" customWidth="1"/>
    <col min="8950" max="8950" width="9.1796875" style="3"/>
    <col min="8951" max="8951" width="15.1796875" style="3" bestFit="1" customWidth="1"/>
    <col min="8952" max="8952" width="9.1796875" style="3"/>
    <col min="8953" max="8953" width="10.81640625" style="3" bestFit="1" customWidth="1"/>
    <col min="8954" max="8954" width="12.7265625" style="3" bestFit="1" customWidth="1"/>
    <col min="8955" max="9203" width="9.1796875" style="3"/>
    <col min="9204" max="9204" width="28.54296875" style="3" bestFit="1" customWidth="1"/>
    <col min="9205" max="9205" width="13.453125" style="3" bestFit="1" customWidth="1"/>
    <col min="9206" max="9206" width="9.1796875" style="3"/>
    <col min="9207" max="9207" width="15.1796875" style="3" bestFit="1" customWidth="1"/>
    <col min="9208" max="9208" width="9.1796875" style="3"/>
    <col min="9209" max="9209" width="10.81640625" style="3" bestFit="1" customWidth="1"/>
    <col min="9210" max="9210" width="12.7265625" style="3" bestFit="1" customWidth="1"/>
    <col min="9211" max="9459" width="9.1796875" style="3"/>
    <col min="9460" max="9460" width="28.54296875" style="3" bestFit="1" customWidth="1"/>
    <col min="9461" max="9461" width="13.453125" style="3" bestFit="1" customWidth="1"/>
    <col min="9462" max="9462" width="9.1796875" style="3"/>
    <col min="9463" max="9463" width="15.1796875" style="3" bestFit="1" customWidth="1"/>
    <col min="9464" max="9464" width="9.1796875" style="3"/>
    <col min="9465" max="9465" width="10.81640625" style="3" bestFit="1" customWidth="1"/>
    <col min="9466" max="9466" width="12.7265625" style="3" bestFit="1" customWidth="1"/>
    <col min="9467" max="9715" width="9.1796875" style="3"/>
    <col min="9716" max="9716" width="28.54296875" style="3" bestFit="1" customWidth="1"/>
    <col min="9717" max="9717" width="13.453125" style="3" bestFit="1" customWidth="1"/>
    <col min="9718" max="9718" width="9.1796875" style="3"/>
    <col min="9719" max="9719" width="15.1796875" style="3" bestFit="1" customWidth="1"/>
    <col min="9720" max="9720" width="9.1796875" style="3"/>
    <col min="9721" max="9721" width="10.81640625" style="3" bestFit="1" customWidth="1"/>
    <col min="9722" max="9722" width="12.7265625" style="3" bestFit="1" customWidth="1"/>
    <col min="9723" max="9971" width="9.1796875" style="3"/>
    <col min="9972" max="9972" width="28.54296875" style="3" bestFit="1" customWidth="1"/>
    <col min="9973" max="9973" width="13.453125" style="3" bestFit="1" customWidth="1"/>
    <col min="9974" max="9974" width="9.1796875" style="3"/>
    <col min="9975" max="9975" width="15.1796875" style="3" bestFit="1" customWidth="1"/>
    <col min="9976" max="9976" width="9.1796875" style="3"/>
    <col min="9977" max="9977" width="10.81640625" style="3" bestFit="1" customWidth="1"/>
    <col min="9978" max="9978" width="12.7265625" style="3" bestFit="1" customWidth="1"/>
    <col min="9979" max="10227" width="9.1796875" style="3"/>
    <col min="10228" max="10228" width="28.54296875" style="3" bestFit="1" customWidth="1"/>
    <col min="10229" max="10229" width="13.453125" style="3" bestFit="1" customWidth="1"/>
    <col min="10230" max="10230" width="9.1796875" style="3"/>
    <col min="10231" max="10231" width="15.1796875" style="3" bestFit="1" customWidth="1"/>
    <col min="10232" max="10232" width="9.1796875" style="3"/>
    <col min="10233" max="10233" width="10.81640625" style="3" bestFit="1" customWidth="1"/>
    <col min="10234" max="10234" width="12.7265625" style="3" bestFit="1" customWidth="1"/>
    <col min="10235" max="10483" width="9.1796875" style="3"/>
    <col min="10484" max="10484" width="28.54296875" style="3" bestFit="1" customWidth="1"/>
    <col min="10485" max="10485" width="13.453125" style="3" bestFit="1" customWidth="1"/>
    <col min="10486" max="10486" width="9.1796875" style="3"/>
    <col min="10487" max="10487" width="15.1796875" style="3" bestFit="1" customWidth="1"/>
    <col min="10488" max="10488" width="9.1796875" style="3"/>
    <col min="10489" max="10489" width="10.81640625" style="3" bestFit="1" customWidth="1"/>
    <col min="10490" max="10490" width="12.7265625" style="3" bestFit="1" customWidth="1"/>
    <col min="10491" max="10739" width="9.1796875" style="3"/>
    <col min="10740" max="10740" width="28.54296875" style="3" bestFit="1" customWidth="1"/>
    <col min="10741" max="10741" width="13.453125" style="3" bestFit="1" customWidth="1"/>
    <col min="10742" max="10742" width="9.1796875" style="3"/>
    <col min="10743" max="10743" width="15.1796875" style="3" bestFit="1" customWidth="1"/>
    <col min="10744" max="10744" width="9.1796875" style="3"/>
    <col min="10745" max="10745" width="10.81640625" style="3" bestFit="1" customWidth="1"/>
    <col min="10746" max="10746" width="12.7265625" style="3" bestFit="1" customWidth="1"/>
    <col min="10747" max="10995" width="9.1796875" style="3"/>
    <col min="10996" max="10996" width="28.54296875" style="3" bestFit="1" customWidth="1"/>
    <col min="10997" max="10997" width="13.453125" style="3" bestFit="1" customWidth="1"/>
    <col min="10998" max="10998" width="9.1796875" style="3"/>
    <col min="10999" max="10999" width="15.1796875" style="3" bestFit="1" customWidth="1"/>
    <col min="11000" max="11000" width="9.1796875" style="3"/>
    <col min="11001" max="11001" width="10.81640625" style="3" bestFit="1" customWidth="1"/>
    <col min="11002" max="11002" width="12.7265625" style="3" bestFit="1" customWidth="1"/>
    <col min="11003" max="11251" width="9.1796875" style="3"/>
    <col min="11252" max="11252" width="28.54296875" style="3" bestFit="1" customWidth="1"/>
    <col min="11253" max="11253" width="13.453125" style="3" bestFit="1" customWidth="1"/>
    <col min="11254" max="11254" width="9.1796875" style="3"/>
    <col min="11255" max="11255" width="15.1796875" style="3" bestFit="1" customWidth="1"/>
    <col min="11256" max="11256" width="9.1796875" style="3"/>
    <col min="11257" max="11257" width="10.81640625" style="3" bestFit="1" customWidth="1"/>
    <col min="11258" max="11258" width="12.7265625" style="3" bestFit="1" customWidth="1"/>
    <col min="11259" max="11507" width="9.1796875" style="3"/>
    <col min="11508" max="11508" width="28.54296875" style="3" bestFit="1" customWidth="1"/>
    <col min="11509" max="11509" width="13.453125" style="3" bestFit="1" customWidth="1"/>
    <col min="11510" max="11510" width="9.1796875" style="3"/>
    <col min="11511" max="11511" width="15.1796875" style="3" bestFit="1" customWidth="1"/>
    <col min="11512" max="11512" width="9.1796875" style="3"/>
    <col min="11513" max="11513" width="10.81640625" style="3" bestFit="1" customWidth="1"/>
    <col min="11514" max="11514" width="12.7265625" style="3" bestFit="1" customWidth="1"/>
    <col min="11515" max="11763" width="9.1796875" style="3"/>
    <col min="11764" max="11764" width="28.54296875" style="3" bestFit="1" customWidth="1"/>
    <col min="11765" max="11765" width="13.453125" style="3" bestFit="1" customWidth="1"/>
    <col min="11766" max="11766" width="9.1796875" style="3"/>
    <col min="11767" max="11767" width="15.1796875" style="3" bestFit="1" customWidth="1"/>
    <col min="11768" max="11768" width="9.1796875" style="3"/>
    <col min="11769" max="11769" width="10.81640625" style="3" bestFit="1" customWidth="1"/>
    <col min="11770" max="11770" width="12.7265625" style="3" bestFit="1" customWidth="1"/>
    <col min="11771" max="12019" width="9.1796875" style="3"/>
    <col min="12020" max="12020" width="28.54296875" style="3" bestFit="1" customWidth="1"/>
    <col min="12021" max="12021" width="13.453125" style="3" bestFit="1" customWidth="1"/>
    <col min="12022" max="12022" width="9.1796875" style="3"/>
    <col min="12023" max="12023" width="15.1796875" style="3" bestFit="1" customWidth="1"/>
    <col min="12024" max="12024" width="9.1796875" style="3"/>
    <col min="12025" max="12025" width="10.81640625" style="3" bestFit="1" customWidth="1"/>
    <col min="12026" max="12026" width="12.7265625" style="3" bestFit="1" customWidth="1"/>
    <col min="12027" max="12275" width="9.1796875" style="3"/>
    <col min="12276" max="12276" width="28.54296875" style="3" bestFit="1" customWidth="1"/>
    <col min="12277" max="12277" width="13.453125" style="3" bestFit="1" customWidth="1"/>
    <col min="12278" max="12278" width="9.1796875" style="3"/>
    <col min="12279" max="12279" width="15.1796875" style="3" bestFit="1" customWidth="1"/>
    <col min="12280" max="12280" width="9.1796875" style="3"/>
    <col min="12281" max="12281" width="10.81640625" style="3" bestFit="1" customWidth="1"/>
    <col min="12282" max="12282" width="12.7265625" style="3" bestFit="1" customWidth="1"/>
    <col min="12283" max="12531" width="9.1796875" style="3"/>
    <col min="12532" max="12532" width="28.54296875" style="3" bestFit="1" customWidth="1"/>
    <col min="12533" max="12533" width="13.453125" style="3" bestFit="1" customWidth="1"/>
    <col min="12534" max="12534" width="9.1796875" style="3"/>
    <col min="12535" max="12535" width="15.1796875" style="3" bestFit="1" customWidth="1"/>
    <col min="12536" max="12536" width="9.1796875" style="3"/>
    <col min="12537" max="12537" width="10.81640625" style="3" bestFit="1" customWidth="1"/>
    <col min="12538" max="12538" width="12.7265625" style="3" bestFit="1" customWidth="1"/>
    <col min="12539" max="12787" width="9.1796875" style="3"/>
    <col min="12788" max="12788" width="28.54296875" style="3" bestFit="1" customWidth="1"/>
    <col min="12789" max="12789" width="13.453125" style="3" bestFit="1" customWidth="1"/>
    <col min="12790" max="12790" width="9.1796875" style="3"/>
    <col min="12791" max="12791" width="15.1796875" style="3" bestFit="1" customWidth="1"/>
    <col min="12792" max="12792" width="9.1796875" style="3"/>
    <col min="12793" max="12793" width="10.81640625" style="3" bestFit="1" customWidth="1"/>
    <col min="12794" max="12794" width="12.7265625" style="3" bestFit="1" customWidth="1"/>
    <col min="12795" max="13043" width="9.1796875" style="3"/>
    <col min="13044" max="13044" width="28.54296875" style="3" bestFit="1" customWidth="1"/>
    <col min="13045" max="13045" width="13.453125" style="3" bestFit="1" customWidth="1"/>
    <col min="13046" max="13046" width="9.1796875" style="3"/>
    <col min="13047" max="13047" width="15.1796875" style="3" bestFit="1" customWidth="1"/>
    <col min="13048" max="13048" width="9.1796875" style="3"/>
    <col min="13049" max="13049" width="10.81640625" style="3" bestFit="1" customWidth="1"/>
    <col min="13050" max="13050" width="12.7265625" style="3" bestFit="1" customWidth="1"/>
    <col min="13051" max="13299" width="9.1796875" style="3"/>
    <col min="13300" max="13300" width="28.54296875" style="3" bestFit="1" customWidth="1"/>
    <col min="13301" max="13301" width="13.453125" style="3" bestFit="1" customWidth="1"/>
    <col min="13302" max="13302" width="9.1796875" style="3"/>
    <col min="13303" max="13303" width="15.1796875" style="3" bestFit="1" customWidth="1"/>
    <col min="13304" max="13304" width="9.1796875" style="3"/>
    <col min="13305" max="13305" width="10.81640625" style="3" bestFit="1" customWidth="1"/>
    <col min="13306" max="13306" width="12.7265625" style="3" bestFit="1" customWidth="1"/>
    <col min="13307" max="13555" width="9.1796875" style="3"/>
    <col min="13556" max="13556" width="28.54296875" style="3" bestFit="1" customWidth="1"/>
    <col min="13557" max="13557" width="13.453125" style="3" bestFit="1" customWidth="1"/>
    <col min="13558" max="13558" width="9.1796875" style="3"/>
    <col min="13559" max="13559" width="15.1796875" style="3" bestFit="1" customWidth="1"/>
    <col min="13560" max="13560" width="9.1796875" style="3"/>
    <col min="13561" max="13561" width="10.81640625" style="3" bestFit="1" customWidth="1"/>
    <col min="13562" max="13562" width="12.7265625" style="3" bestFit="1" customWidth="1"/>
    <col min="13563" max="13811" width="9.1796875" style="3"/>
    <col min="13812" max="13812" width="28.54296875" style="3" bestFit="1" customWidth="1"/>
    <col min="13813" max="13813" width="13.453125" style="3" bestFit="1" customWidth="1"/>
    <col min="13814" max="13814" width="9.1796875" style="3"/>
    <col min="13815" max="13815" width="15.1796875" style="3" bestFit="1" customWidth="1"/>
    <col min="13816" max="13816" width="9.1796875" style="3"/>
    <col min="13817" max="13817" width="10.81640625" style="3" bestFit="1" customWidth="1"/>
    <col min="13818" max="13818" width="12.7265625" style="3" bestFit="1" customWidth="1"/>
    <col min="13819" max="14067" width="9.1796875" style="3"/>
    <col min="14068" max="14068" width="28.54296875" style="3" bestFit="1" customWidth="1"/>
    <col min="14069" max="14069" width="13.453125" style="3" bestFit="1" customWidth="1"/>
    <col min="14070" max="14070" width="9.1796875" style="3"/>
    <col min="14071" max="14071" width="15.1796875" style="3" bestFit="1" customWidth="1"/>
    <col min="14072" max="14072" width="9.1796875" style="3"/>
    <col min="14073" max="14073" width="10.81640625" style="3" bestFit="1" customWidth="1"/>
    <col min="14074" max="14074" width="12.7265625" style="3" bestFit="1" customWidth="1"/>
    <col min="14075" max="14323" width="9.1796875" style="3"/>
    <col min="14324" max="14324" width="28.54296875" style="3" bestFit="1" customWidth="1"/>
    <col min="14325" max="14325" width="13.453125" style="3" bestFit="1" customWidth="1"/>
    <col min="14326" max="14326" width="9.1796875" style="3"/>
    <col min="14327" max="14327" width="15.1796875" style="3" bestFit="1" customWidth="1"/>
    <col min="14328" max="14328" width="9.1796875" style="3"/>
    <col min="14329" max="14329" width="10.81640625" style="3" bestFit="1" customWidth="1"/>
    <col min="14330" max="14330" width="12.7265625" style="3" bestFit="1" customWidth="1"/>
    <col min="14331" max="14579" width="9.1796875" style="3"/>
    <col min="14580" max="14580" width="28.54296875" style="3" bestFit="1" customWidth="1"/>
    <col min="14581" max="14581" width="13.453125" style="3" bestFit="1" customWidth="1"/>
    <col min="14582" max="14582" width="9.1796875" style="3"/>
    <col min="14583" max="14583" width="15.1796875" style="3" bestFit="1" customWidth="1"/>
    <col min="14584" max="14584" width="9.1796875" style="3"/>
    <col min="14585" max="14585" width="10.81640625" style="3" bestFit="1" customWidth="1"/>
    <col min="14586" max="14586" width="12.7265625" style="3" bestFit="1" customWidth="1"/>
    <col min="14587" max="14835" width="9.1796875" style="3"/>
    <col min="14836" max="14836" width="28.54296875" style="3" bestFit="1" customWidth="1"/>
    <col min="14837" max="14837" width="13.453125" style="3" bestFit="1" customWidth="1"/>
    <col min="14838" max="14838" width="9.1796875" style="3"/>
    <col min="14839" max="14839" width="15.1796875" style="3" bestFit="1" customWidth="1"/>
    <col min="14840" max="14840" width="9.1796875" style="3"/>
    <col min="14841" max="14841" width="10.81640625" style="3" bestFit="1" customWidth="1"/>
    <col min="14842" max="14842" width="12.7265625" style="3" bestFit="1" customWidth="1"/>
    <col min="14843" max="15091" width="9.1796875" style="3"/>
    <col min="15092" max="15092" width="28.54296875" style="3" bestFit="1" customWidth="1"/>
    <col min="15093" max="15093" width="13.453125" style="3" bestFit="1" customWidth="1"/>
    <col min="15094" max="15094" width="9.1796875" style="3"/>
    <col min="15095" max="15095" width="15.1796875" style="3" bestFit="1" customWidth="1"/>
    <col min="15096" max="15096" width="9.1796875" style="3"/>
    <col min="15097" max="15097" width="10.81640625" style="3" bestFit="1" customWidth="1"/>
    <col min="15098" max="15098" width="12.7265625" style="3" bestFit="1" customWidth="1"/>
    <col min="15099" max="15347" width="9.1796875" style="3"/>
    <col min="15348" max="15348" width="28.54296875" style="3" bestFit="1" customWidth="1"/>
    <col min="15349" max="15349" width="13.453125" style="3" bestFit="1" customWidth="1"/>
    <col min="15350" max="15350" width="9.1796875" style="3"/>
    <col min="15351" max="15351" width="15.1796875" style="3" bestFit="1" customWidth="1"/>
    <col min="15352" max="15352" width="9.1796875" style="3"/>
    <col min="15353" max="15353" width="10.81640625" style="3" bestFit="1" customWidth="1"/>
    <col min="15354" max="15354" width="12.7265625" style="3" bestFit="1" customWidth="1"/>
    <col min="15355" max="15603" width="9.1796875" style="3"/>
    <col min="15604" max="15604" width="28.54296875" style="3" bestFit="1" customWidth="1"/>
    <col min="15605" max="15605" width="13.453125" style="3" bestFit="1" customWidth="1"/>
    <col min="15606" max="15606" width="9.1796875" style="3"/>
    <col min="15607" max="15607" width="15.1796875" style="3" bestFit="1" customWidth="1"/>
    <col min="15608" max="15608" width="9.1796875" style="3"/>
    <col min="15609" max="15609" width="10.81640625" style="3" bestFit="1" customWidth="1"/>
    <col min="15610" max="15610" width="12.7265625" style="3" bestFit="1" customWidth="1"/>
    <col min="15611" max="15859" width="9.1796875" style="3"/>
    <col min="15860" max="15860" width="28.54296875" style="3" bestFit="1" customWidth="1"/>
    <col min="15861" max="15861" width="13.453125" style="3" bestFit="1" customWidth="1"/>
    <col min="15862" max="15862" width="9.1796875" style="3"/>
    <col min="15863" max="15863" width="15.1796875" style="3" bestFit="1" customWidth="1"/>
    <col min="15864" max="15864" width="9.1796875" style="3"/>
    <col min="15865" max="15865" width="10.81640625" style="3" bestFit="1" customWidth="1"/>
    <col min="15866" max="15866" width="12.7265625" style="3" bestFit="1" customWidth="1"/>
    <col min="15867" max="16115" width="9.1796875" style="3"/>
    <col min="16116" max="16116" width="28.54296875" style="3" bestFit="1" customWidth="1"/>
    <col min="16117" max="16117" width="13.453125" style="3" bestFit="1" customWidth="1"/>
    <col min="16118" max="16118" width="9.1796875" style="3"/>
    <col min="16119" max="16119" width="15.1796875" style="3" bestFit="1" customWidth="1"/>
    <col min="16120" max="16120" width="9.1796875" style="3"/>
    <col min="16121" max="16121" width="10.81640625" style="3" bestFit="1" customWidth="1"/>
    <col min="16122" max="16122" width="12.7265625" style="3" bestFit="1" customWidth="1"/>
    <col min="16123" max="16384" width="9.1796875" style="3"/>
  </cols>
  <sheetData>
    <row r="1" spans="1:14" x14ac:dyDescent="0.35">
      <c r="A1" s="267" t="s">
        <v>204</v>
      </c>
      <c r="B1" s="268"/>
      <c r="C1" s="269"/>
      <c r="D1" s="143"/>
    </row>
    <row r="2" spans="1:14" ht="16" thickBot="1" x14ac:dyDescent="0.4">
      <c r="A2" s="270"/>
      <c r="B2" s="271"/>
      <c r="C2" s="272"/>
    </row>
    <row r="3" spans="1:14" ht="16.5" customHeight="1" x14ac:dyDescent="0.35">
      <c r="A3" s="275" t="s">
        <v>124</v>
      </c>
      <c r="B3" s="275"/>
      <c r="C3" s="275"/>
    </row>
    <row r="4" spans="1:14" ht="16" thickBot="1" x14ac:dyDescent="0.4">
      <c r="A4" s="85"/>
      <c r="B4" s="85"/>
      <c r="C4" s="85"/>
      <c r="E4" s="112">
        <f>B33</f>
        <v>179.37676327510741</v>
      </c>
      <c r="F4" s="7" t="s">
        <v>163</v>
      </c>
    </row>
    <row r="5" spans="1:14" ht="16" thickBot="1" x14ac:dyDescent="0.4">
      <c r="A5" s="3" t="s">
        <v>20</v>
      </c>
      <c r="B5" s="81">
        <f>AVERAGE('Cash Flow'!I6:K6)</f>
        <v>595.47666666666657</v>
      </c>
      <c r="E5" s="141">
        <f>'First Page'!B12</f>
        <v>420</v>
      </c>
      <c r="F5" s="7" t="s">
        <v>199</v>
      </c>
    </row>
    <row r="6" spans="1:14" ht="16" thickBot="1" x14ac:dyDescent="0.4">
      <c r="E6" s="142">
        <f>E4/E5</f>
        <v>0.4270875316073986</v>
      </c>
      <c r="F6" s="7" t="s">
        <v>200</v>
      </c>
    </row>
    <row r="7" spans="1:14" ht="16.5" customHeight="1" thickBot="1" x14ac:dyDescent="0.4">
      <c r="A7" s="25" t="s">
        <v>12</v>
      </c>
      <c r="B7" s="205" t="s">
        <v>0</v>
      </c>
      <c r="C7" s="206" t="s">
        <v>1</v>
      </c>
      <c r="D7" s="8"/>
    </row>
    <row r="8" spans="1:14" ht="16.5" customHeight="1" thickBot="1" x14ac:dyDescent="0.4">
      <c r="A8" s="3" t="s">
        <v>21</v>
      </c>
      <c r="B8" s="208">
        <v>0.15</v>
      </c>
      <c r="C8" s="209">
        <v>0.12</v>
      </c>
      <c r="D8" s="204"/>
      <c r="G8" s="213" t="s">
        <v>234</v>
      </c>
      <c r="H8" s="214"/>
      <c r="I8" s="214"/>
      <c r="J8" s="214"/>
      <c r="K8" s="214"/>
      <c r="L8" s="214"/>
      <c r="M8" s="214"/>
      <c r="N8" s="215"/>
    </row>
    <row r="9" spans="1:14" ht="16" thickBot="1" x14ac:dyDescent="0.4">
      <c r="A9" s="3" t="s">
        <v>22</v>
      </c>
      <c r="B9" s="207">
        <v>0.15</v>
      </c>
      <c r="C9" s="39"/>
      <c r="G9" s="216"/>
      <c r="H9" s="217"/>
      <c r="I9" s="217"/>
      <c r="J9" s="217"/>
      <c r="K9" s="217"/>
      <c r="L9" s="217"/>
      <c r="M9" s="217"/>
      <c r="N9" s="218"/>
    </row>
    <row r="10" spans="1:14" ht="16" thickBot="1" x14ac:dyDescent="0.4">
      <c r="A10" s="3" t="s">
        <v>23</v>
      </c>
      <c r="B10" s="38">
        <v>0.02</v>
      </c>
      <c r="C10" s="39"/>
      <c r="F10" s="32"/>
      <c r="G10" s="216"/>
      <c r="H10" s="217"/>
      <c r="I10" s="217"/>
      <c r="J10" s="217"/>
      <c r="K10" s="217"/>
      <c r="L10" s="217"/>
      <c r="M10" s="217"/>
      <c r="N10" s="218"/>
    </row>
    <row r="11" spans="1:14" ht="16" thickBot="1" x14ac:dyDescent="0.4">
      <c r="B11" s="40"/>
      <c r="C11" s="39"/>
      <c r="F11" s="32"/>
      <c r="G11" s="216"/>
      <c r="H11" s="217"/>
      <c r="I11" s="217"/>
      <c r="J11" s="217"/>
      <c r="K11" s="217"/>
      <c r="L11" s="217"/>
      <c r="M11" s="217"/>
      <c r="N11" s="218"/>
    </row>
    <row r="12" spans="1:14" ht="16" thickBot="1" x14ac:dyDescent="0.4">
      <c r="A12" s="3" t="s">
        <v>86</v>
      </c>
      <c r="B12" s="82">
        <f>'First Page'!B14</f>
        <v>62.485534199999996</v>
      </c>
      <c r="C12" s="39"/>
      <c r="G12" s="216"/>
      <c r="H12" s="217"/>
      <c r="I12" s="217"/>
      <c r="J12" s="217"/>
      <c r="K12" s="217"/>
      <c r="L12" s="217"/>
      <c r="M12" s="217"/>
      <c r="N12" s="218"/>
    </row>
    <row r="13" spans="1:14" ht="16" thickBot="1" x14ac:dyDescent="0.4">
      <c r="A13" s="9" t="s">
        <v>24</v>
      </c>
      <c r="B13" s="81">
        <f>'Balance Sheet'!K18+'Balance Sheet'!K12-'Balance Sheet'!K37-'Balance Sheet'!K40</f>
        <v>-1384.99</v>
      </c>
      <c r="C13" s="39"/>
      <c r="D13" s="2"/>
      <c r="G13" s="216"/>
      <c r="H13" s="217"/>
      <c r="I13" s="217"/>
      <c r="J13" s="217"/>
      <c r="K13" s="217"/>
      <c r="L13" s="217"/>
      <c r="M13" s="217"/>
      <c r="N13" s="218"/>
    </row>
    <row r="14" spans="1:14" ht="16" thickBot="1" x14ac:dyDescent="0.4">
      <c r="G14" s="216"/>
      <c r="H14" s="217"/>
      <c r="I14" s="217"/>
      <c r="J14" s="217"/>
      <c r="K14" s="217"/>
      <c r="L14" s="217"/>
      <c r="M14" s="217"/>
      <c r="N14" s="218"/>
    </row>
    <row r="15" spans="1:14" ht="15.5" customHeight="1" x14ac:dyDescent="0.35">
      <c r="A15" s="45" t="s">
        <v>2</v>
      </c>
      <c r="B15" s="44" t="s">
        <v>17</v>
      </c>
      <c r="C15" s="44" t="s">
        <v>3</v>
      </c>
      <c r="D15" s="43" t="s">
        <v>18</v>
      </c>
      <c r="G15" s="216"/>
      <c r="H15" s="217"/>
      <c r="I15" s="217"/>
      <c r="J15" s="217"/>
      <c r="K15" s="217"/>
      <c r="L15" s="217"/>
      <c r="M15" s="217"/>
      <c r="N15" s="218"/>
    </row>
    <row r="16" spans="1:14" x14ac:dyDescent="0.35">
      <c r="A16" s="46">
        <v>1</v>
      </c>
      <c r="B16" s="23">
        <f>(B5*C16)+B5</f>
        <v>684.79816666666659</v>
      </c>
      <c r="C16" s="24">
        <f>$B$8</f>
        <v>0.15</v>
      </c>
      <c r="D16" s="47">
        <f>B16/((1+$B$9)^A16)</f>
        <v>595.47666666666669</v>
      </c>
      <c r="G16" s="216"/>
      <c r="H16" s="217"/>
      <c r="I16" s="217"/>
      <c r="J16" s="217"/>
      <c r="K16" s="217"/>
      <c r="L16" s="217"/>
      <c r="M16" s="217"/>
      <c r="N16" s="218"/>
    </row>
    <row r="17" spans="1:14" x14ac:dyDescent="0.35">
      <c r="A17" s="46">
        <v>2</v>
      </c>
      <c r="B17" s="23">
        <f t="shared" ref="B17:B25" si="0">(B16*C17)+B16</f>
        <v>787.51789166666663</v>
      </c>
      <c r="C17" s="24">
        <f>$B$8</f>
        <v>0.15</v>
      </c>
      <c r="D17" s="47">
        <f t="shared" ref="D17:D25" si="1">B17/((1+$B$9)^A17)</f>
        <v>595.47666666666669</v>
      </c>
      <c r="G17" s="216"/>
      <c r="H17" s="217"/>
      <c r="I17" s="217"/>
      <c r="J17" s="217"/>
      <c r="K17" s="217"/>
      <c r="L17" s="217"/>
      <c r="M17" s="217"/>
      <c r="N17" s="218"/>
    </row>
    <row r="18" spans="1:14" x14ac:dyDescent="0.35">
      <c r="A18" s="46">
        <v>3</v>
      </c>
      <c r="B18" s="23">
        <f t="shared" si="0"/>
        <v>905.64557541666659</v>
      </c>
      <c r="C18" s="24">
        <f>$B$8</f>
        <v>0.15</v>
      </c>
      <c r="D18" s="47">
        <f t="shared" si="1"/>
        <v>595.4766666666668</v>
      </c>
      <c r="F18" s="31"/>
      <c r="G18" s="216"/>
      <c r="H18" s="217"/>
      <c r="I18" s="217"/>
      <c r="J18" s="217"/>
      <c r="K18" s="217"/>
      <c r="L18" s="217"/>
      <c r="M18" s="217"/>
      <c r="N18" s="218"/>
    </row>
    <row r="19" spans="1:14" x14ac:dyDescent="0.35">
      <c r="A19" s="46">
        <v>4</v>
      </c>
      <c r="B19" s="23">
        <f t="shared" si="0"/>
        <v>1041.4924117291666</v>
      </c>
      <c r="C19" s="24">
        <f>$B$8</f>
        <v>0.15</v>
      </c>
      <c r="D19" s="47">
        <f t="shared" si="1"/>
        <v>595.4766666666668</v>
      </c>
      <c r="F19" s="32"/>
      <c r="G19" s="216"/>
      <c r="H19" s="217"/>
      <c r="I19" s="217"/>
      <c r="J19" s="217"/>
      <c r="K19" s="217"/>
      <c r="L19" s="217"/>
      <c r="M19" s="217"/>
      <c r="N19" s="218"/>
    </row>
    <row r="20" spans="1:14" x14ac:dyDescent="0.35">
      <c r="A20" s="46">
        <v>5</v>
      </c>
      <c r="B20" s="23">
        <f t="shared" si="0"/>
        <v>1197.7162734885417</v>
      </c>
      <c r="C20" s="24">
        <f>$B$8</f>
        <v>0.15</v>
      </c>
      <c r="D20" s="47">
        <f t="shared" si="1"/>
        <v>595.4766666666668</v>
      </c>
      <c r="F20" s="32"/>
      <c r="G20" s="216"/>
      <c r="H20" s="217"/>
      <c r="I20" s="217"/>
      <c r="J20" s="217"/>
      <c r="K20" s="217"/>
      <c r="L20" s="217"/>
      <c r="M20" s="217"/>
      <c r="N20" s="218"/>
    </row>
    <row r="21" spans="1:14" x14ac:dyDescent="0.35">
      <c r="A21" s="46">
        <v>6</v>
      </c>
      <c r="B21" s="23">
        <f t="shared" si="0"/>
        <v>1341.4422263071667</v>
      </c>
      <c r="C21" s="24">
        <f>$C$8</f>
        <v>0.12</v>
      </c>
      <c r="D21" s="47">
        <f>B21/((1+$B$9)^A21)</f>
        <v>579.94249275362347</v>
      </c>
      <c r="F21" s="32"/>
      <c r="G21" s="216"/>
      <c r="H21" s="217"/>
      <c r="I21" s="217"/>
      <c r="J21" s="217"/>
      <c r="K21" s="217"/>
      <c r="L21" s="217"/>
      <c r="M21" s="217"/>
      <c r="N21" s="218"/>
    </row>
    <row r="22" spans="1:14" x14ac:dyDescent="0.35">
      <c r="A22" s="46">
        <v>7</v>
      </c>
      <c r="B22" s="23">
        <f t="shared" si="0"/>
        <v>1502.4152934640267</v>
      </c>
      <c r="C22" s="24">
        <f>$C$8</f>
        <v>0.12</v>
      </c>
      <c r="D22" s="47">
        <f t="shared" si="1"/>
        <v>564.81355816005077</v>
      </c>
      <c r="F22" s="32"/>
      <c r="G22" s="216"/>
      <c r="H22" s="217"/>
      <c r="I22" s="217"/>
      <c r="J22" s="217"/>
      <c r="K22" s="217"/>
      <c r="L22" s="217"/>
      <c r="M22" s="217"/>
      <c r="N22" s="218"/>
    </row>
    <row r="23" spans="1:14" x14ac:dyDescent="0.35">
      <c r="A23" s="46">
        <v>8</v>
      </c>
      <c r="B23" s="23">
        <f t="shared" si="0"/>
        <v>1682.70512867971</v>
      </c>
      <c r="C23" s="24">
        <f>$C$8</f>
        <v>0.12</v>
      </c>
      <c r="D23" s="47">
        <f t="shared" si="1"/>
        <v>550.07929142544083</v>
      </c>
      <c r="G23" s="216"/>
      <c r="H23" s="217"/>
      <c r="I23" s="217"/>
      <c r="J23" s="217"/>
      <c r="K23" s="217"/>
      <c r="L23" s="217"/>
      <c r="M23" s="217"/>
      <c r="N23" s="218"/>
    </row>
    <row r="24" spans="1:14" ht="16" thickBot="1" x14ac:dyDescent="0.4">
      <c r="A24" s="46">
        <v>9</v>
      </c>
      <c r="B24" s="23">
        <f t="shared" si="0"/>
        <v>1884.6297441212753</v>
      </c>
      <c r="C24" s="24">
        <f>$C$8</f>
        <v>0.12</v>
      </c>
      <c r="D24" s="47">
        <f t="shared" si="1"/>
        <v>535.72939686651637</v>
      </c>
      <c r="G24" s="219"/>
      <c r="H24" s="220"/>
      <c r="I24" s="220"/>
      <c r="J24" s="220"/>
      <c r="K24" s="220"/>
      <c r="L24" s="220"/>
      <c r="M24" s="220"/>
      <c r="N24" s="221"/>
    </row>
    <row r="25" spans="1:14" ht="16" thickBot="1" x14ac:dyDescent="0.4">
      <c r="A25" s="48">
        <v>10</v>
      </c>
      <c r="B25" s="49">
        <f t="shared" si="0"/>
        <v>2110.7853134158281</v>
      </c>
      <c r="C25" s="50">
        <f>$C$8</f>
        <v>0.12</v>
      </c>
      <c r="D25" s="51">
        <f t="shared" si="1"/>
        <v>521.75384738304206</v>
      </c>
    </row>
    <row r="26" spans="1:14" ht="16" thickBot="1" x14ac:dyDescent="0.4">
      <c r="A26" s="11"/>
      <c r="B26" s="12"/>
      <c r="C26" s="10"/>
      <c r="D26" s="13"/>
    </row>
    <row r="27" spans="1:14" x14ac:dyDescent="0.35">
      <c r="A27" s="273" t="s">
        <v>19</v>
      </c>
      <c r="B27" s="274"/>
      <c r="C27" s="10"/>
      <c r="D27" s="13"/>
    </row>
    <row r="28" spans="1:14" x14ac:dyDescent="0.35">
      <c r="A28" s="52" t="s">
        <v>4</v>
      </c>
      <c r="B28" s="47">
        <f>(B25*B10)+B25</f>
        <v>2153.0010196841445</v>
      </c>
      <c r="C28" s="14"/>
      <c r="D28" s="15"/>
    </row>
    <row r="29" spans="1:14" x14ac:dyDescent="0.35">
      <c r="A29" s="53" t="s">
        <v>16</v>
      </c>
      <c r="B29" s="47">
        <f>SUM(D16:D25)</f>
        <v>5729.7019199220067</v>
      </c>
      <c r="C29" s="9"/>
    </row>
    <row r="30" spans="1:14" x14ac:dyDescent="0.35">
      <c r="A30" s="52" t="s">
        <v>15</v>
      </c>
      <c r="B30" s="47">
        <f>((B28)/($B$9-$B$10))/(1+$B$9)^A25</f>
        <v>4093.760956390021</v>
      </c>
      <c r="C30" s="9"/>
    </row>
    <row r="31" spans="1:14" x14ac:dyDescent="0.35">
      <c r="A31" s="52" t="s">
        <v>14</v>
      </c>
      <c r="B31" s="47">
        <f>B29+B30</f>
        <v>9823.4628763120272</v>
      </c>
      <c r="C31" s="9"/>
    </row>
    <row r="32" spans="1:14" x14ac:dyDescent="0.35">
      <c r="A32" s="52" t="s">
        <v>13</v>
      </c>
      <c r="B32" s="47">
        <f>B12</f>
        <v>62.485534199999996</v>
      </c>
      <c r="C32" s="9"/>
    </row>
    <row r="33" spans="1:13" ht="16" thickBot="1" x14ac:dyDescent="0.4">
      <c r="A33" s="54" t="s">
        <v>25</v>
      </c>
      <c r="B33" s="55">
        <f>(B31-B13)/B32</f>
        <v>179.37676327510741</v>
      </c>
      <c r="C33" s="9"/>
    </row>
    <row r="35" spans="1:13" x14ac:dyDescent="0.35">
      <c r="A35" s="110" t="s">
        <v>151</v>
      </c>
      <c r="D35" s="2"/>
    </row>
    <row r="37" spans="1:13" x14ac:dyDescent="0.35">
      <c r="A37" s="156"/>
      <c r="B37" s="156"/>
      <c r="C37" s="156"/>
      <c r="D37" s="156"/>
      <c r="E37" s="156"/>
      <c r="F37" s="156"/>
      <c r="G37" s="156"/>
      <c r="H37" s="156"/>
      <c r="I37" s="156"/>
      <c r="J37" s="156"/>
      <c r="K37" s="156"/>
      <c r="L37" s="156"/>
      <c r="M37" s="156"/>
    </row>
    <row r="38" spans="1:13" x14ac:dyDescent="0.35">
      <c r="A38" s="16"/>
      <c r="D38" s="17"/>
    </row>
    <row r="39" spans="1:13" ht="19" x14ac:dyDescent="0.4">
      <c r="A39" s="264" t="s">
        <v>171</v>
      </c>
      <c r="B39" s="265"/>
      <c r="C39" s="265"/>
      <c r="D39" s="265"/>
      <c r="E39" s="265"/>
      <c r="F39" s="265"/>
      <c r="G39" s="265"/>
      <c r="H39" s="265"/>
      <c r="I39" s="265"/>
      <c r="J39" s="265"/>
      <c r="K39" s="265"/>
      <c r="L39" s="265"/>
      <c r="M39" s="266"/>
    </row>
    <row r="40" spans="1:13" x14ac:dyDescent="0.35">
      <c r="A40" s="157" t="s">
        <v>195</v>
      </c>
      <c r="B40" s="158" t="s">
        <v>162</v>
      </c>
      <c r="C40" s="158" t="s">
        <v>161</v>
      </c>
      <c r="D40" s="158" t="s">
        <v>160</v>
      </c>
      <c r="E40" s="158" t="s">
        <v>155</v>
      </c>
      <c r="F40" s="158" t="s">
        <v>156</v>
      </c>
      <c r="G40" s="158" t="s">
        <v>157</v>
      </c>
      <c r="H40" s="158" t="s">
        <v>158</v>
      </c>
      <c r="I40" s="158" t="s">
        <v>159</v>
      </c>
      <c r="J40" s="158" t="s">
        <v>154</v>
      </c>
      <c r="K40" s="158" t="s">
        <v>153</v>
      </c>
      <c r="L40" s="159" t="s">
        <v>143</v>
      </c>
      <c r="M40" s="160" t="s">
        <v>144</v>
      </c>
    </row>
    <row r="41" spans="1:13" x14ac:dyDescent="0.35">
      <c r="A41" s="100" t="s">
        <v>145</v>
      </c>
      <c r="B41" s="144">
        <f>'P &amp; L Account'!B33</f>
        <v>1.6349384110730698</v>
      </c>
      <c r="C41" s="144">
        <f>'P &amp; L Account'!C33</f>
        <v>2.5759562122780144</v>
      </c>
      <c r="D41" s="144">
        <f>'P &amp; L Account'!D33</f>
        <v>0.61582253384976615</v>
      </c>
      <c r="E41" s="144">
        <f>'P &amp; L Account'!E33</f>
        <v>1.1180187685744218</v>
      </c>
      <c r="F41" s="144">
        <f>'P &amp; L Account'!F33</f>
        <v>4.9081760110806645</v>
      </c>
      <c r="G41" s="144">
        <f>'P &amp; L Account'!G33</f>
        <v>5.9200902214580227</v>
      </c>
      <c r="H41" s="144">
        <f>'P &amp; L Account'!H33</f>
        <v>6.1937535616043595</v>
      </c>
      <c r="I41" s="144">
        <f>'P &amp; L Account'!I33</f>
        <v>7.1429332519013773</v>
      </c>
      <c r="J41" s="144">
        <f>'P &amp; L Account'!J33</f>
        <v>6.1681476350409463</v>
      </c>
      <c r="K41" s="144">
        <f>'P &amp; L Account'!K33</f>
        <v>7.7579556005460075</v>
      </c>
      <c r="L41" s="98">
        <f>(K41/B41)^(1/9)-1</f>
        <v>0.18888112602344487</v>
      </c>
      <c r="M41" s="99">
        <f>(K41/F41)^(1/5)-1</f>
        <v>9.5886134810709622E-2</v>
      </c>
    </row>
    <row r="42" spans="1:13" x14ac:dyDescent="0.35">
      <c r="A42" s="148" t="s">
        <v>146</v>
      </c>
      <c r="B42" s="149">
        <f>Ratios!B12</f>
        <v>6.6028102015227283E-2</v>
      </c>
      <c r="C42" s="149">
        <f>Ratios!C12</f>
        <v>3.217314653612989E-2</v>
      </c>
      <c r="D42" s="149">
        <f>Ratios!D12</f>
        <v>7.0251155182392338E-3</v>
      </c>
      <c r="E42" s="149">
        <f>Ratios!E12</f>
        <v>1.3532019904814641E-2</v>
      </c>
      <c r="F42" s="149">
        <f>Ratios!F12</f>
        <v>5.4642832326378253E-2</v>
      </c>
      <c r="G42" s="149">
        <f>Ratios!G12</f>
        <v>5.6751864011537055E-2</v>
      </c>
      <c r="H42" s="149">
        <f>Ratios!H12</f>
        <v>5.3397609511182012E-2</v>
      </c>
      <c r="I42" s="149">
        <f>Ratios!I12</f>
        <v>5.452490898873668E-2</v>
      </c>
      <c r="J42" s="149">
        <f>Ratios!J12</f>
        <v>4.4976153606482591E-2</v>
      </c>
      <c r="K42" s="149">
        <f>Ratios!K12</f>
        <v>6.2840120401649824E-2</v>
      </c>
      <c r="L42" s="150"/>
      <c r="M42" s="151"/>
    </row>
    <row r="43" spans="1:13" ht="16" thickBot="1" x14ac:dyDescent="0.4">
      <c r="A43" s="152" t="s">
        <v>147</v>
      </c>
      <c r="B43" s="153">
        <f>Ratios!B15</f>
        <v>0.38931443161464863</v>
      </c>
      <c r="C43" s="153">
        <f>Ratios!C15</f>
        <v>0.34440628644178478</v>
      </c>
      <c r="D43" s="153">
        <f>Ratios!D15</f>
        <v>5.9895245581402926E-2</v>
      </c>
      <c r="E43" s="153">
        <f>Ratios!E15</f>
        <v>0.13795146225390281</v>
      </c>
      <c r="F43" s="153">
        <f>Ratios!F15</f>
        <v>0.5819820674605064</v>
      </c>
      <c r="G43" s="153">
        <f>Ratios!G15</f>
        <v>0.45971354894833422</v>
      </c>
      <c r="H43" s="153">
        <f>Ratios!H15</f>
        <v>0.32283277375763852</v>
      </c>
      <c r="I43" s="153">
        <f>Ratios!I15</f>
        <v>0.28720902173388502</v>
      </c>
      <c r="J43" s="153">
        <f>Ratios!J15</f>
        <v>0.22123936983918793</v>
      </c>
      <c r="K43" s="153">
        <f>Ratios!K15</f>
        <v>0.22154988025813016</v>
      </c>
      <c r="L43" s="154"/>
      <c r="M43" s="155"/>
    </row>
    <row r="44" spans="1:13" x14ac:dyDescent="0.35">
      <c r="A44" s="101"/>
      <c r="B44" s="102"/>
      <c r="C44" s="102"/>
      <c r="D44" s="102"/>
      <c r="E44" s="102"/>
      <c r="F44" s="102"/>
      <c r="G44" s="102"/>
      <c r="H44" s="102"/>
      <c r="I44" s="102"/>
      <c r="J44" s="102"/>
      <c r="K44" s="102"/>
      <c r="L44" s="102"/>
      <c r="M44" s="102"/>
    </row>
    <row r="45" spans="1:13" ht="16" thickBot="1" x14ac:dyDescent="0.4">
      <c r="A45" s="7" t="s">
        <v>237</v>
      </c>
      <c r="B45" s="103"/>
      <c r="C45" s="103"/>
      <c r="D45" s="103"/>
      <c r="E45" s="103"/>
      <c r="F45" s="103"/>
      <c r="G45" s="103"/>
      <c r="H45" s="103"/>
      <c r="I45" s="103"/>
      <c r="J45" s="103"/>
      <c r="K45" s="103"/>
      <c r="L45" s="104"/>
      <c r="M45" s="104"/>
    </row>
    <row r="46" spans="1:13" x14ac:dyDescent="0.35">
      <c r="A46" s="105" t="s">
        <v>238</v>
      </c>
      <c r="B46" s="203">
        <v>0.15</v>
      </c>
    </row>
    <row r="47" spans="1:13" x14ac:dyDescent="0.35">
      <c r="A47" s="106" t="s">
        <v>239</v>
      </c>
      <c r="B47" s="201">
        <f>K41*(1+B46)^10</f>
        <v>31.385257293067379</v>
      </c>
      <c r="C47" s="107"/>
    </row>
    <row r="48" spans="1:13" x14ac:dyDescent="0.35">
      <c r="A48" s="106" t="s">
        <v>235</v>
      </c>
      <c r="B48" s="202">
        <v>32.43</v>
      </c>
    </row>
    <row r="49" spans="1:13" x14ac:dyDescent="0.35">
      <c r="A49" s="106" t="s">
        <v>247</v>
      </c>
      <c r="B49" s="202">
        <v>20</v>
      </c>
    </row>
    <row r="50" spans="1:13" x14ac:dyDescent="0.35">
      <c r="A50" s="106" t="s">
        <v>236</v>
      </c>
      <c r="B50" s="201">
        <f>B47*B49</f>
        <v>627.70514586134755</v>
      </c>
    </row>
    <row r="51" spans="1:13" x14ac:dyDescent="0.35">
      <c r="A51" s="106" t="s">
        <v>148</v>
      </c>
      <c r="B51" s="201">
        <f>'First Page'!B12</f>
        <v>420</v>
      </c>
    </row>
    <row r="52" spans="1:13" ht="16" thickBot="1" x14ac:dyDescent="0.4">
      <c r="A52" s="108" t="s">
        <v>149</v>
      </c>
      <c r="B52" s="109">
        <f>(B50/B51)^(1/10)-1</f>
        <v>4.0999785100886088E-2</v>
      </c>
    </row>
    <row r="54" spans="1:13" x14ac:dyDescent="0.35">
      <c r="A54" s="147" t="s">
        <v>202</v>
      </c>
      <c r="B54"/>
      <c r="C54"/>
      <c r="D54"/>
      <c r="E54"/>
      <c r="F54"/>
      <c r="G54"/>
      <c r="H54"/>
      <c r="I54"/>
      <c r="J54"/>
      <c r="K54"/>
      <c r="L54"/>
      <c r="M54"/>
    </row>
  </sheetData>
  <mergeCells count="5">
    <mergeCell ref="A39:M39"/>
    <mergeCell ref="G8:N24"/>
    <mergeCell ref="A1:C2"/>
    <mergeCell ref="A27:B27"/>
    <mergeCell ref="A3:C3"/>
  </mergeCells>
  <hyperlinks>
    <hyperlink ref="A35" r:id="rId1"/>
    <hyperlink ref="A54" r:id="rId2" display="See the explanation of this model here"/>
  </hyperlinks>
  <pageMargins left="0.7" right="0.7" top="0.75" bottom="0.75" header="0.3" footer="0.3"/>
  <pageSetup paperSize="9" orientation="portrait" r:id="rId3"/>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sqref="A1:M1"/>
    </sheetView>
  </sheetViews>
  <sheetFormatPr defaultRowHeight="15.5" x14ac:dyDescent="0.35"/>
  <cols>
    <col min="1" max="1" width="42.36328125" style="3" bestFit="1" customWidth="1"/>
    <col min="2" max="12" width="8.90625" style="3" bestFit="1" customWidth="1"/>
    <col min="13" max="16384" width="8.7265625" style="3"/>
  </cols>
  <sheetData>
    <row r="1" spans="1:13" ht="19" x14ac:dyDescent="0.4">
      <c r="A1" s="276" t="s">
        <v>225</v>
      </c>
      <c r="B1" s="277"/>
      <c r="C1" s="277"/>
      <c r="D1" s="277"/>
      <c r="E1" s="277"/>
      <c r="F1" s="277"/>
      <c r="G1" s="277"/>
      <c r="H1" s="277"/>
      <c r="I1" s="277"/>
      <c r="J1" s="277"/>
      <c r="K1" s="277"/>
      <c r="L1" s="277"/>
      <c r="M1" s="277"/>
    </row>
    <row r="2" spans="1:13" x14ac:dyDescent="0.35">
      <c r="A2" s="118" t="s">
        <v>115</v>
      </c>
      <c r="B2" s="118" t="s">
        <v>210</v>
      </c>
      <c r="C2" s="118" t="s">
        <v>211</v>
      </c>
      <c r="D2" s="118" t="s">
        <v>212</v>
      </c>
      <c r="E2" s="118" t="s">
        <v>213</v>
      </c>
      <c r="F2" s="118" t="s">
        <v>214</v>
      </c>
      <c r="G2" s="118" t="s">
        <v>215</v>
      </c>
      <c r="H2" s="118" t="s">
        <v>216</v>
      </c>
      <c r="I2" s="118" t="s">
        <v>209</v>
      </c>
      <c r="J2" s="118" t="s">
        <v>208</v>
      </c>
      <c r="K2" s="118" t="s">
        <v>207</v>
      </c>
      <c r="L2" s="118" t="s">
        <v>206</v>
      </c>
      <c r="M2" s="118" t="s">
        <v>152</v>
      </c>
    </row>
    <row r="3" spans="1:13" x14ac:dyDescent="0.35">
      <c r="A3" s="161" t="s">
        <v>48</v>
      </c>
      <c r="B3" s="41">
        <v>1267.05</v>
      </c>
      <c r="C3" s="41">
        <v>1353.12</v>
      </c>
      <c r="D3" s="41">
        <v>1236.22</v>
      </c>
      <c r="E3" s="41">
        <v>1339.69</v>
      </c>
      <c r="F3" s="41">
        <v>1243.3</v>
      </c>
      <c r="G3" s="41">
        <v>1339.01</v>
      </c>
      <c r="H3" s="41">
        <v>1421.78</v>
      </c>
      <c r="I3" s="41">
        <v>1463.36</v>
      </c>
      <c r="J3" s="41">
        <v>1455.38</v>
      </c>
      <c r="K3" s="41">
        <v>1547.7</v>
      </c>
      <c r="L3" s="41">
        <v>1609.67</v>
      </c>
      <c r="M3" s="146"/>
    </row>
    <row r="4" spans="1:13" x14ac:dyDescent="0.35">
      <c r="A4" s="123" t="s">
        <v>217</v>
      </c>
      <c r="B4" s="130"/>
      <c r="C4" s="130"/>
      <c r="D4" s="130"/>
      <c r="E4" s="130"/>
      <c r="F4" s="127">
        <f t="shared" ref="F4:K4" si="0">F3/B3-1</f>
        <v>-1.8744327374610292E-2</v>
      </c>
      <c r="G4" s="127">
        <f t="shared" si="0"/>
        <v>-1.0427752157975534E-2</v>
      </c>
      <c r="H4" s="127">
        <f t="shared" si="0"/>
        <v>0.15010273252333728</v>
      </c>
      <c r="I4" s="127">
        <f t="shared" si="0"/>
        <v>9.2312400629996461E-2</v>
      </c>
      <c r="J4" s="127">
        <f t="shared" si="0"/>
        <v>0.17057829968631877</v>
      </c>
      <c r="K4" s="127">
        <f t="shared" si="0"/>
        <v>0.15585395180021067</v>
      </c>
      <c r="L4" s="127">
        <f>L3/H3-1</f>
        <v>0.132151247028373</v>
      </c>
      <c r="M4" s="123"/>
    </row>
    <row r="5" spans="1:13" x14ac:dyDescent="0.35">
      <c r="A5" s="161" t="s">
        <v>54</v>
      </c>
      <c r="B5" s="41">
        <v>149.55000000000001</v>
      </c>
      <c r="C5" s="41">
        <v>166.38</v>
      </c>
      <c r="D5" s="41">
        <v>159.05000000000001</v>
      </c>
      <c r="E5" s="41">
        <v>171.27</v>
      </c>
      <c r="F5" s="41">
        <v>148.88</v>
      </c>
      <c r="G5" s="41">
        <v>170.16</v>
      </c>
      <c r="H5" s="41">
        <v>169.93</v>
      </c>
      <c r="I5" s="41">
        <v>220.78</v>
      </c>
      <c r="J5" s="41">
        <v>202.24</v>
      </c>
      <c r="K5" s="41">
        <v>203.01</v>
      </c>
      <c r="L5" s="41">
        <v>206.67</v>
      </c>
      <c r="M5" s="146"/>
    </row>
    <row r="6" spans="1:13" x14ac:dyDescent="0.35">
      <c r="A6" s="123" t="s">
        <v>217</v>
      </c>
      <c r="B6" s="130"/>
      <c r="C6" s="130"/>
      <c r="D6" s="130"/>
      <c r="E6" s="130"/>
      <c r="F6" s="127">
        <f t="shared" ref="F6" si="1">F5/B5-1</f>
        <v>-4.480106987629684E-3</v>
      </c>
      <c r="G6" s="127">
        <f t="shared" ref="G6" si="2">G5/C5-1</f>
        <v>2.2719076812116823E-2</v>
      </c>
      <c r="H6" s="127">
        <f t="shared" ref="H6" si="3">H5/D5-1</f>
        <v>6.8406161584407377E-2</v>
      </c>
      <c r="I6" s="127">
        <f t="shared" ref="I6" si="4">I5/E5-1</f>
        <v>0.28907572838208662</v>
      </c>
      <c r="J6" s="127">
        <f t="shared" ref="J6" si="5">J5/F5-1</f>
        <v>0.35840945728103191</v>
      </c>
      <c r="K6" s="127">
        <f t="shared" ref="K6" si="6">K5/G5-1</f>
        <v>0.1930535966149507</v>
      </c>
      <c r="L6" s="127">
        <f>L5/H5-1</f>
        <v>0.21620667333607946</v>
      </c>
      <c r="M6" s="123"/>
    </row>
    <row r="7" spans="1:13" x14ac:dyDescent="0.35">
      <c r="A7" s="123" t="s">
        <v>218</v>
      </c>
      <c r="B7" s="127">
        <f t="shared" ref="B7:K7" si="7">B5/B3</f>
        <v>0.11803006984728308</v>
      </c>
      <c r="C7" s="127">
        <f t="shared" si="7"/>
        <v>0.12296026959914864</v>
      </c>
      <c r="D7" s="127">
        <f t="shared" si="7"/>
        <v>0.12865832942356539</v>
      </c>
      <c r="E7" s="127">
        <f t="shared" si="7"/>
        <v>0.12784300845718038</v>
      </c>
      <c r="F7" s="127">
        <f t="shared" si="7"/>
        <v>0.11974583769001849</v>
      </c>
      <c r="G7" s="127">
        <f t="shared" si="7"/>
        <v>0.12707896132217086</v>
      </c>
      <c r="H7" s="127">
        <f t="shared" si="7"/>
        <v>0.11951919424946195</v>
      </c>
      <c r="I7" s="127">
        <f t="shared" si="7"/>
        <v>0.15087196588672644</v>
      </c>
      <c r="J7" s="127">
        <f t="shared" si="7"/>
        <v>0.13896027154420151</v>
      </c>
      <c r="K7" s="127">
        <f t="shared" si="7"/>
        <v>0.13116883116883116</v>
      </c>
      <c r="L7" s="127">
        <f>L5/L3</f>
        <v>0.12839277615908851</v>
      </c>
      <c r="M7" s="123"/>
    </row>
    <row r="8" spans="1:13" x14ac:dyDescent="0.35">
      <c r="A8" s="161" t="s">
        <v>205</v>
      </c>
      <c r="B8" s="41">
        <v>107.27</v>
      </c>
      <c r="C8" s="41">
        <v>119.61</v>
      </c>
      <c r="D8" s="41">
        <v>116.21</v>
      </c>
      <c r="E8" s="41">
        <v>121.85</v>
      </c>
      <c r="F8" s="41">
        <v>105.93</v>
      </c>
      <c r="G8" s="41">
        <v>120.72</v>
      </c>
      <c r="H8" s="41">
        <v>119.03</v>
      </c>
      <c r="I8" s="41">
        <f>366.49-202.39</f>
        <v>164.10000000000002</v>
      </c>
      <c r="J8" s="41">
        <v>144.63999999999999</v>
      </c>
      <c r="K8" s="41">
        <v>143.11000000000001</v>
      </c>
      <c r="L8" s="41">
        <v>151.16</v>
      </c>
      <c r="M8" s="146"/>
    </row>
    <row r="9" spans="1:13" x14ac:dyDescent="0.35">
      <c r="A9" s="123" t="s">
        <v>217</v>
      </c>
      <c r="B9" s="130"/>
      <c r="C9" s="130"/>
      <c r="D9" s="130"/>
      <c r="E9" s="130"/>
      <c r="F9" s="127">
        <f t="shared" ref="F9" si="8">F8/B8-1</f>
        <v>-1.2491843012957804E-2</v>
      </c>
      <c r="G9" s="127">
        <f t="shared" ref="G9" si="9">G8/C8-1</f>
        <v>9.2801605216954464E-3</v>
      </c>
      <c r="H9" s="127">
        <f t="shared" ref="H9" si="10">H8/D8-1</f>
        <v>2.4266414250064594E-2</v>
      </c>
      <c r="I9" s="127">
        <f t="shared" ref="I9" si="11">I8/E8-1</f>
        <v>0.34673779236766533</v>
      </c>
      <c r="J9" s="127">
        <f t="shared" ref="J9" si="12">J8/F8-1</f>
        <v>0.36543000094401945</v>
      </c>
      <c r="K9" s="127">
        <f t="shared" ref="K9" si="13">K8/G8-1</f>
        <v>0.18547051027170314</v>
      </c>
      <c r="L9" s="127">
        <f>L8/H8-1</f>
        <v>0.26993194992858949</v>
      </c>
      <c r="M9" s="123"/>
    </row>
    <row r="10" spans="1:13" x14ac:dyDescent="0.35">
      <c r="A10" s="123" t="s">
        <v>146</v>
      </c>
      <c r="B10" s="127">
        <f t="shared" ref="B10:K10" si="14">B8/B3</f>
        <v>8.4661220946292567E-2</v>
      </c>
      <c r="C10" s="127">
        <f t="shared" si="14"/>
        <v>8.8395707697765169E-2</v>
      </c>
      <c r="D10" s="127">
        <f t="shared" si="14"/>
        <v>9.400430344113507E-2</v>
      </c>
      <c r="E10" s="127">
        <f t="shared" si="14"/>
        <v>9.0953877389545329E-2</v>
      </c>
      <c r="F10" s="127">
        <f t="shared" si="14"/>
        <v>8.5200675621330338E-2</v>
      </c>
      <c r="G10" s="127">
        <f t="shared" si="14"/>
        <v>9.015616014816917E-2</v>
      </c>
      <c r="H10" s="127">
        <f t="shared" si="14"/>
        <v>8.371900012660187E-2</v>
      </c>
      <c r="I10" s="127">
        <f t="shared" si="14"/>
        <v>0.11213918652963047</v>
      </c>
      <c r="J10" s="127">
        <f t="shared" si="14"/>
        <v>9.9382979015789671E-2</v>
      </c>
      <c r="K10" s="127">
        <f t="shared" si="14"/>
        <v>9.2466240227434257E-2</v>
      </c>
      <c r="L10" s="127">
        <f>L8/L3</f>
        <v>9.3907446867991573E-2</v>
      </c>
      <c r="M10" s="146"/>
    </row>
    <row r="12" spans="1:13" ht="19" x14ac:dyDescent="0.4">
      <c r="A12" s="278" t="s">
        <v>219</v>
      </c>
      <c r="B12" s="278"/>
      <c r="C12" s="278"/>
      <c r="D12" s="278"/>
      <c r="E12" s="278"/>
      <c r="F12" s="278"/>
      <c r="G12" s="278"/>
      <c r="H12" s="278"/>
      <c r="I12" s="278"/>
      <c r="J12" s="278"/>
      <c r="K12" s="278"/>
      <c r="L12" s="278"/>
      <c r="M12" s="278"/>
    </row>
    <row r="13" spans="1:13" x14ac:dyDescent="0.35">
      <c r="A13" s="118" t="s">
        <v>115</v>
      </c>
      <c r="B13" s="118" t="s">
        <v>210</v>
      </c>
      <c r="C13" s="118" t="s">
        <v>211</v>
      </c>
      <c r="D13" s="118" t="s">
        <v>212</v>
      </c>
      <c r="E13" s="118" t="s">
        <v>213</v>
      </c>
      <c r="F13" s="118" t="s">
        <v>214</v>
      </c>
      <c r="G13" s="118" t="s">
        <v>215</v>
      </c>
      <c r="H13" s="118" t="s">
        <v>216</v>
      </c>
      <c r="I13" s="118" t="s">
        <v>209</v>
      </c>
      <c r="J13" s="118" t="s">
        <v>208</v>
      </c>
      <c r="K13" s="118" t="s">
        <v>207</v>
      </c>
      <c r="L13" s="118" t="s">
        <v>206</v>
      </c>
      <c r="M13" s="118" t="s">
        <v>152</v>
      </c>
    </row>
    <row r="14" spans="1:13" x14ac:dyDescent="0.35">
      <c r="A14" s="178" t="s">
        <v>226</v>
      </c>
      <c r="B14" s="179">
        <v>307.31</v>
      </c>
      <c r="C14" s="179">
        <v>338.68</v>
      </c>
      <c r="D14" s="179">
        <v>327.49</v>
      </c>
      <c r="E14" s="179">
        <v>305.54000000000002</v>
      </c>
      <c r="F14" s="179">
        <v>293.55</v>
      </c>
      <c r="G14" s="179">
        <v>334.34</v>
      </c>
      <c r="H14" s="179">
        <v>340.18</v>
      </c>
      <c r="I14" s="179">
        <v>327.23</v>
      </c>
      <c r="J14" s="179">
        <v>352.85</v>
      </c>
      <c r="K14" s="179">
        <v>362.36</v>
      </c>
      <c r="L14" s="179">
        <v>345.94</v>
      </c>
      <c r="M14" s="180"/>
    </row>
    <row r="15" spans="1:13" x14ac:dyDescent="0.35">
      <c r="A15" s="181" t="s">
        <v>217</v>
      </c>
      <c r="B15" s="182"/>
      <c r="C15" s="182"/>
      <c r="D15" s="182"/>
      <c r="E15" s="182"/>
      <c r="F15" s="183">
        <f t="shared" ref="F15:K15" si="15">F14/B14-1</f>
        <v>-4.4775633724903119E-2</v>
      </c>
      <c r="G15" s="183">
        <f t="shared" si="15"/>
        <v>-1.2814456123774742E-2</v>
      </c>
      <c r="H15" s="183">
        <f t="shared" si="15"/>
        <v>3.8749274787016397E-2</v>
      </c>
      <c r="I15" s="183">
        <f t="shared" si="15"/>
        <v>7.0989068534398125E-2</v>
      </c>
      <c r="J15" s="183">
        <f t="shared" si="15"/>
        <v>0.20200987906659851</v>
      </c>
      <c r="K15" s="183">
        <f t="shared" si="15"/>
        <v>8.3806903152479739E-2</v>
      </c>
      <c r="L15" s="183">
        <f>L14/H14-1</f>
        <v>1.6932212358163223E-2</v>
      </c>
      <c r="M15" s="184"/>
    </row>
    <row r="16" spans="1:13" x14ac:dyDescent="0.35">
      <c r="A16" s="181" t="s">
        <v>221</v>
      </c>
      <c r="B16" s="183">
        <f t="shared" ref="B16:L16" si="16">B14/B$42</f>
        <v>0.24067446176979648</v>
      </c>
      <c r="C16" s="183">
        <f t="shared" si="16"/>
        <v>0.24810085781889837</v>
      </c>
      <c r="D16" s="183">
        <f t="shared" si="16"/>
        <v>0.26252966074520617</v>
      </c>
      <c r="E16" s="183">
        <f t="shared" si="16"/>
        <v>0.22644501923233704</v>
      </c>
      <c r="F16" s="183">
        <f t="shared" si="16"/>
        <v>0.23440120095181818</v>
      </c>
      <c r="G16" s="183">
        <f t="shared" si="16"/>
        <v>0.24769228489724554</v>
      </c>
      <c r="H16" s="183">
        <f t="shared" si="16"/>
        <v>0.23762390069782546</v>
      </c>
      <c r="I16" s="183">
        <f t="shared" si="16"/>
        <v>0.22178468795749065</v>
      </c>
      <c r="J16" s="183">
        <f t="shared" si="16"/>
        <v>0.2405560365691535</v>
      </c>
      <c r="K16" s="183">
        <f t="shared" si="16"/>
        <v>0.23238185631008187</v>
      </c>
      <c r="L16" s="183">
        <f t="shared" si="16"/>
        <v>0.213270697318858</v>
      </c>
      <c r="M16" s="184"/>
    </row>
    <row r="17" spans="1:13" x14ac:dyDescent="0.35">
      <c r="A17" s="178" t="s">
        <v>227</v>
      </c>
      <c r="B17" s="179">
        <v>112.03</v>
      </c>
      <c r="C17" s="179">
        <v>129.93</v>
      </c>
      <c r="D17" s="179">
        <v>112.46</v>
      </c>
      <c r="E17" s="179">
        <v>90.6</v>
      </c>
      <c r="F17" s="179">
        <v>112.48</v>
      </c>
      <c r="G17" s="179">
        <v>131.86000000000001</v>
      </c>
      <c r="H17" s="179">
        <v>130.24</v>
      </c>
      <c r="I17" s="179">
        <v>128.37</v>
      </c>
      <c r="J17" s="179">
        <v>143.47</v>
      </c>
      <c r="K17" s="179">
        <v>144.44999999999999</v>
      </c>
      <c r="L17" s="179">
        <v>129.05000000000001</v>
      </c>
      <c r="M17" s="184"/>
    </row>
    <row r="18" spans="1:13" x14ac:dyDescent="0.35">
      <c r="A18" s="181" t="s">
        <v>217</v>
      </c>
      <c r="B18" s="182"/>
      <c r="C18" s="182"/>
      <c r="D18" s="182"/>
      <c r="E18" s="182"/>
      <c r="F18" s="183">
        <f t="shared" ref="F18" si="17">F17/B17-1</f>
        <v>4.0167812193163677E-3</v>
      </c>
      <c r="G18" s="183">
        <f t="shared" ref="G18" si="18">G17/C17-1</f>
        <v>1.4854152235819429E-2</v>
      </c>
      <c r="H18" s="183">
        <f t="shared" ref="H18" si="19">H17/D17-1</f>
        <v>0.15810065801173767</v>
      </c>
      <c r="I18" s="183">
        <f t="shared" ref="I18" si="20">I17/E17-1</f>
        <v>0.41688741721854328</v>
      </c>
      <c r="J18" s="183">
        <f t="shared" ref="J18" si="21">J17/F17-1</f>
        <v>0.2755156472261735</v>
      </c>
      <c r="K18" s="183">
        <f t="shared" ref="K18" si="22">K17/G17-1</f>
        <v>9.5480054603366948E-2</v>
      </c>
      <c r="L18" s="183">
        <f>L17/H17-1</f>
        <v>-9.1369778869778706E-3</v>
      </c>
      <c r="M18" s="184"/>
    </row>
    <row r="19" spans="1:13" x14ac:dyDescent="0.35">
      <c r="A19" s="181" t="s">
        <v>224</v>
      </c>
      <c r="B19" s="183">
        <f t="shared" ref="B19:J19" si="23">B17/B14</f>
        <v>0.36455045393901925</v>
      </c>
      <c r="C19" s="183">
        <f t="shared" si="23"/>
        <v>0.38363647100507853</v>
      </c>
      <c r="D19" s="183">
        <f t="shared" si="23"/>
        <v>0.34339979846712876</v>
      </c>
      <c r="E19" s="183">
        <f t="shared" si="23"/>
        <v>0.29652418668586761</v>
      </c>
      <c r="F19" s="183">
        <f t="shared" si="23"/>
        <v>0.38317152103559871</v>
      </c>
      <c r="G19" s="183">
        <f t="shared" si="23"/>
        <v>0.39438894538493757</v>
      </c>
      <c r="H19" s="183">
        <f t="shared" si="23"/>
        <v>0.38285613498735965</v>
      </c>
      <c r="I19" s="183">
        <f t="shared" si="23"/>
        <v>0.39229288268190571</v>
      </c>
      <c r="J19" s="183">
        <f t="shared" si="23"/>
        <v>0.40660337253790557</v>
      </c>
      <c r="K19" s="183">
        <f>K17/K14</f>
        <v>0.39863671486919083</v>
      </c>
      <c r="L19" s="183">
        <f>L17/L14</f>
        <v>0.37304156790194837</v>
      </c>
      <c r="M19" s="180"/>
    </row>
    <row r="20" spans="1:13" x14ac:dyDescent="0.35">
      <c r="A20" s="171" t="s">
        <v>228</v>
      </c>
      <c r="B20" s="172">
        <v>534.79999999999995</v>
      </c>
      <c r="C20" s="172">
        <v>591.44000000000005</v>
      </c>
      <c r="D20" s="172">
        <v>495.14</v>
      </c>
      <c r="E20" s="172">
        <v>569.04</v>
      </c>
      <c r="F20" s="172">
        <v>507.86</v>
      </c>
      <c r="G20" s="172">
        <v>563.19000000000005</v>
      </c>
      <c r="H20" s="172">
        <v>581.71</v>
      </c>
      <c r="I20" s="172">
        <v>609</v>
      </c>
      <c r="J20" s="172">
        <v>532.96</v>
      </c>
      <c r="K20" s="172">
        <v>630.29</v>
      </c>
      <c r="L20" s="172">
        <v>682.92</v>
      </c>
      <c r="M20" s="173"/>
    </row>
    <row r="21" spans="1:13" x14ac:dyDescent="0.35">
      <c r="A21" s="174" t="s">
        <v>217</v>
      </c>
      <c r="B21" s="175"/>
      <c r="C21" s="175"/>
      <c r="D21" s="175"/>
      <c r="E21" s="175"/>
      <c r="F21" s="176">
        <f t="shared" ref="F21" si="24">F20/B20-1</f>
        <v>-5.0373971578159926E-2</v>
      </c>
      <c r="G21" s="176">
        <f t="shared" ref="G21" si="25">G20/C20-1</f>
        <v>-4.776477749222241E-2</v>
      </c>
      <c r="H21" s="176">
        <f t="shared" ref="H21" si="26">H20/D20-1</f>
        <v>0.17483943935048685</v>
      </c>
      <c r="I21" s="176">
        <f t="shared" ref="I21" si="27">I20/E20-1</f>
        <v>7.0223534373682117E-2</v>
      </c>
      <c r="J21" s="176">
        <f t="shared" ref="J21" si="28">J20/F20-1</f>
        <v>4.942306934982077E-2</v>
      </c>
      <c r="K21" s="176">
        <f t="shared" ref="K21" si="29">K20/G20-1</f>
        <v>0.11914274046059048</v>
      </c>
      <c r="L21" s="176">
        <f>L20/H20-1</f>
        <v>0.17398703821491801</v>
      </c>
      <c r="M21" s="177"/>
    </row>
    <row r="22" spans="1:13" x14ac:dyDescent="0.35">
      <c r="A22" s="174" t="s">
        <v>221</v>
      </c>
      <c r="B22" s="176">
        <f t="shared" ref="B22:L22" si="30">B20/B$42</f>
        <v>0.41883668658516526</v>
      </c>
      <c r="C22" s="176">
        <f t="shared" si="30"/>
        <v>0.43326081064252175</v>
      </c>
      <c r="D22" s="176">
        <f t="shared" si="30"/>
        <v>0.39692490219970494</v>
      </c>
      <c r="E22" s="176">
        <f t="shared" si="30"/>
        <v>0.42173291138302366</v>
      </c>
      <c r="F22" s="176">
        <f t="shared" si="30"/>
        <v>0.40552884999281341</v>
      </c>
      <c r="G22" s="176">
        <f t="shared" si="30"/>
        <v>0.41723340889896438</v>
      </c>
      <c r="H22" s="176">
        <f t="shared" si="30"/>
        <v>0.40633840694612283</v>
      </c>
      <c r="I22" s="176">
        <f t="shared" si="30"/>
        <v>0.41275822805400419</v>
      </c>
      <c r="J22" s="176">
        <f t="shared" si="30"/>
        <v>0.36334630933795109</v>
      </c>
      <c r="K22" s="176">
        <f t="shared" si="30"/>
        <v>0.40420565242764517</v>
      </c>
      <c r="L22" s="176">
        <f t="shared" si="30"/>
        <v>0.42101758863674194</v>
      </c>
      <c r="M22" s="177"/>
    </row>
    <row r="23" spans="1:13" x14ac:dyDescent="0.35">
      <c r="A23" s="171" t="s">
        <v>229</v>
      </c>
      <c r="B23" s="185">
        <v>58.78</v>
      </c>
      <c r="C23" s="185">
        <v>70.91</v>
      </c>
      <c r="D23" s="185">
        <v>58.45</v>
      </c>
      <c r="E23" s="185">
        <v>77.55</v>
      </c>
      <c r="F23" s="185">
        <v>71.67</v>
      </c>
      <c r="G23" s="185">
        <v>77.599999999999994</v>
      </c>
      <c r="H23" s="185">
        <v>73.16</v>
      </c>
      <c r="I23" s="185">
        <v>89.46</v>
      </c>
      <c r="J23" s="185">
        <v>71.94</v>
      </c>
      <c r="K23" s="185">
        <v>79.27</v>
      </c>
      <c r="L23" s="185">
        <v>86.92</v>
      </c>
      <c r="M23" s="177"/>
    </row>
    <row r="24" spans="1:13" x14ac:dyDescent="0.35">
      <c r="A24" s="174" t="s">
        <v>217</v>
      </c>
      <c r="B24" s="175"/>
      <c r="C24" s="175"/>
      <c r="D24" s="175"/>
      <c r="E24" s="175"/>
      <c r="F24" s="176">
        <f t="shared" ref="F24" si="31">F23/B23-1</f>
        <v>0.21929227628445047</v>
      </c>
      <c r="G24" s="176">
        <f t="shared" ref="G24" si="32">G23/C23-1</f>
        <v>9.4344944295585931E-2</v>
      </c>
      <c r="H24" s="176">
        <f t="shared" ref="H24" si="33">H23/D23-1</f>
        <v>0.25166809238665522</v>
      </c>
      <c r="I24" s="176">
        <f t="shared" ref="I24" si="34">I23/E23-1</f>
        <v>0.15357833655705999</v>
      </c>
      <c r="J24" s="176">
        <f t="shared" ref="J24" si="35">J23/F23-1</f>
        <v>3.7672666387609244E-3</v>
      </c>
      <c r="K24" s="176">
        <f t="shared" ref="K24" si="36">K23/G23-1</f>
        <v>2.1520618556700954E-2</v>
      </c>
      <c r="L24" s="176">
        <f>L23/H23-1</f>
        <v>0.18808091853471853</v>
      </c>
      <c r="M24" s="177"/>
    </row>
    <row r="25" spans="1:13" x14ac:dyDescent="0.35">
      <c r="A25" s="174" t="s">
        <v>224</v>
      </c>
      <c r="B25" s="176">
        <f t="shared" ref="B25:J25" si="37">B23/B20</f>
        <v>0.10991024682124159</v>
      </c>
      <c r="C25" s="176">
        <f t="shared" si="37"/>
        <v>0.11989381847693763</v>
      </c>
      <c r="D25" s="176">
        <f t="shared" si="37"/>
        <v>0.11804742093145373</v>
      </c>
      <c r="E25" s="176">
        <f t="shared" si="37"/>
        <v>0.13628215942640237</v>
      </c>
      <c r="F25" s="176">
        <f t="shared" si="37"/>
        <v>0.14112156893632102</v>
      </c>
      <c r="G25" s="176">
        <f t="shared" si="37"/>
        <v>0.13778653740300784</v>
      </c>
      <c r="H25" s="176">
        <f t="shared" si="37"/>
        <v>0.12576713482663182</v>
      </c>
      <c r="I25" s="176">
        <f t="shared" si="37"/>
        <v>0.14689655172413793</v>
      </c>
      <c r="J25" s="176">
        <f t="shared" si="37"/>
        <v>0.13498198739117381</v>
      </c>
      <c r="K25" s="176">
        <f>K23/K20</f>
        <v>0.12576750384743532</v>
      </c>
      <c r="L25" s="176">
        <f>L23/L20</f>
        <v>0.12727698705558485</v>
      </c>
      <c r="M25" s="173"/>
    </row>
    <row r="26" spans="1:13" x14ac:dyDescent="0.35">
      <c r="A26" s="187" t="s">
        <v>230</v>
      </c>
      <c r="B26" s="188">
        <v>165.42</v>
      </c>
      <c r="C26" s="188">
        <v>193.56</v>
      </c>
      <c r="D26" s="188">
        <v>193.99</v>
      </c>
      <c r="E26" s="188">
        <v>187.98</v>
      </c>
      <c r="F26" s="188">
        <v>160.66</v>
      </c>
      <c r="G26" s="188">
        <v>196.52</v>
      </c>
      <c r="H26" s="188">
        <v>220.92</v>
      </c>
      <c r="I26" s="188">
        <v>231.82</v>
      </c>
      <c r="J26" s="188">
        <v>196.21</v>
      </c>
      <c r="K26" s="188">
        <v>223.28</v>
      </c>
      <c r="L26" s="188">
        <v>224.77</v>
      </c>
      <c r="M26" s="189"/>
    </row>
    <row r="27" spans="1:13" x14ac:dyDescent="0.35">
      <c r="A27" s="190" t="s">
        <v>217</v>
      </c>
      <c r="B27" s="191"/>
      <c r="C27" s="191"/>
      <c r="D27" s="191"/>
      <c r="E27" s="191"/>
      <c r="F27" s="192">
        <f t="shared" ref="F27" si="38">F26/B26-1</f>
        <v>-2.8775238786120094E-2</v>
      </c>
      <c r="G27" s="192">
        <f t="shared" ref="G27" si="39">G26/C26-1</f>
        <v>1.5292415788386027E-2</v>
      </c>
      <c r="H27" s="192">
        <f t="shared" ref="H27" si="40">H26/D26-1</f>
        <v>0.13882158874168771</v>
      </c>
      <c r="I27" s="192">
        <f t="shared" ref="I27" si="41">I26/E26-1</f>
        <v>0.23321629960634116</v>
      </c>
      <c r="J27" s="192">
        <f t="shared" ref="J27" si="42">J26/F26-1</f>
        <v>0.22127474169052674</v>
      </c>
      <c r="K27" s="192">
        <f t="shared" ref="K27" si="43">K26/G26-1</f>
        <v>0.13616934663138602</v>
      </c>
      <c r="L27" s="192">
        <f>L26/H26-1</f>
        <v>1.7427122940431028E-2</v>
      </c>
      <c r="M27" s="193"/>
    </row>
    <row r="28" spans="1:13" x14ac:dyDescent="0.35">
      <c r="A28" s="190" t="s">
        <v>221</v>
      </c>
      <c r="B28" s="192">
        <f t="shared" ref="B28:L28" si="44">B26/B$42</f>
        <v>0.12955116809072184</v>
      </c>
      <c r="C28" s="192">
        <f t="shared" si="44"/>
        <v>0.14179284882315452</v>
      </c>
      <c r="D28" s="192">
        <f t="shared" si="44"/>
        <v>0.15551048547425125</v>
      </c>
      <c r="E28" s="192">
        <f t="shared" si="44"/>
        <v>0.1393177152428314</v>
      </c>
      <c r="F28" s="192">
        <f t="shared" si="44"/>
        <v>0.12828784515387193</v>
      </c>
      <c r="G28" s="192">
        <f t="shared" si="44"/>
        <v>0.14558978234134923</v>
      </c>
      <c r="H28" s="192">
        <f t="shared" si="44"/>
        <v>0.15431792622189311</v>
      </c>
      <c r="I28" s="192">
        <f t="shared" si="44"/>
        <v>0.15711923222902999</v>
      </c>
      <c r="J28" s="192">
        <f t="shared" si="44"/>
        <v>0.13376647282197424</v>
      </c>
      <c r="K28" s="192">
        <f t="shared" si="44"/>
        <v>0.14318970326999414</v>
      </c>
      <c r="L28" s="192">
        <f t="shared" si="44"/>
        <v>0.13856985210256031</v>
      </c>
      <c r="M28" s="193"/>
    </row>
    <row r="29" spans="1:13" x14ac:dyDescent="0.35">
      <c r="A29" s="187" t="s">
        <v>231</v>
      </c>
      <c r="B29" s="194">
        <v>43.01</v>
      </c>
      <c r="C29" s="194">
        <v>52.08</v>
      </c>
      <c r="D29" s="194">
        <v>53.45</v>
      </c>
      <c r="E29" s="194">
        <v>48.32</v>
      </c>
      <c r="F29" s="194">
        <v>34.35</v>
      </c>
      <c r="G29" s="194">
        <v>46.73</v>
      </c>
      <c r="H29" s="194">
        <v>54.25</v>
      </c>
      <c r="I29" s="194">
        <v>56.72</v>
      </c>
      <c r="J29" s="194">
        <v>51.33</v>
      </c>
      <c r="K29" s="194">
        <v>56.72</v>
      </c>
      <c r="L29" s="194">
        <v>64.12</v>
      </c>
      <c r="M29" s="193"/>
    </row>
    <row r="30" spans="1:13" x14ac:dyDescent="0.35">
      <c r="A30" s="190" t="s">
        <v>217</v>
      </c>
      <c r="B30" s="191"/>
      <c r="C30" s="191"/>
      <c r="D30" s="191"/>
      <c r="E30" s="191"/>
      <c r="F30" s="192">
        <f t="shared" ref="F30" si="45">F29/B29-1</f>
        <v>-0.20134852359916289</v>
      </c>
      <c r="G30" s="192">
        <f t="shared" ref="G30" si="46">G29/C29-1</f>
        <v>-0.10272657450076805</v>
      </c>
      <c r="H30" s="192">
        <f t="shared" ref="H30" si="47">H29/D29-1</f>
        <v>1.4967259120673537E-2</v>
      </c>
      <c r="I30" s="192">
        <f t="shared" ref="I30" si="48">I29/E29-1</f>
        <v>0.17384105960264895</v>
      </c>
      <c r="J30" s="192">
        <f t="shared" ref="J30" si="49">J29/F29-1</f>
        <v>0.49432314410480349</v>
      </c>
      <c r="K30" s="192">
        <f t="shared" ref="K30" si="50">K29/G29-1</f>
        <v>0.21378129681147029</v>
      </c>
      <c r="L30" s="192">
        <f>L29/H29-1</f>
        <v>0.18193548387096792</v>
      </c>
      <c r="M30" s="193"/>
    </row>
    <row r="31" spans="1:13" x14ac:dyDescent="0.35">
      <c r="A31" s="190" t="s">
        <v>224</v>
      </c>
      <c r="B31" s="192">
        <f t="shared" ref="B31:J31" si="51">B29/B26</f>
        <v>0.26000483617458592</v>
      </c>
      <c r="C31" s="192">
        <f t="shared" si="51"/>
        <v>0.26906385616862988</v>
      </c>
      <c r="D31" s="192">
        <f t="shared" si="51"/>
        <v>0.27552966647765348</v>
      </c>
      <c r="E31" s="192">
        <f t="shared" si="51"/>
        <v>0.25704862219385044</v>
      </c>
      <c r="F31" s="192">
        <f t="shared" si="51"/>
        <v>0.21380555209759741</v>
      </c>
      <c r="G31" s="192">
        <f t="shared" si="51"/>
        <v>0.23778750254427028</v>
      </c>
      <c r="H31" s="192">
        <f t="shared" si="51"/>
        <v>0.24556400506970852</v>
      </c>
      <c r="I31" s="192">
        <f t="shared" si="51"/>
        <v>0.24467259080320938</v>
      </c>
      <c r="J31" s="192">
        <f t="shared" si="51"/>
        <v>0.26160746139340502</v>
      </c>
      <c r="K31" s="192">
        <f>K29/K26</f>
        <v>0.25403081332855609</v>
      </c>
      <c r="L31" s="192">
        <f>L29/L26</f>
        <v>0.28526938648396138</v>
      </c>
      <c r="M31" s="189"/>
    </row>
    <row r="32" spans="1:13" x14ac:dyDescent="0.35">
      <c r="A32" s="164" t="s">
        <v>232</v>
      </c>
      <c r="B32" s="186">
        <v>269.33999999999997</v>
      </c>
      <c r="C32" s="186">
        <v>241.41</v>
      </c>
      <c r="D32" s="186">
        <v>230.82</v>
      </c>
      <c r="E32" s="186">
        <v>286.73</v>
      </c>
      <c r="F32" s="186">
        <v>290.27</v>
      </c>
      <c r="G32" s="186">
        <v>255.77</v>
      </c>
      <c r="H32" s="186">
        <v>288.77999999999997</v>
      </c>
      <c r="I32" s="186">
        <v>307.39</v>
      </c>
      <c r="J32" s="186">
        <v>351.42</v>
      </c>
      <c r="K32" s="186">
        <v>317.5</v>
      </c>
      <c r="L32" s="186">
        <v>343.6</v>
      </c>
      <c r="M32" s="166"/>
    </row>
    <row r="33" spans="1:13" x14ac:dyDescent="0.35">
      <c r="A33" s="167" t="s">
        <v>217</v>
      </c>
      <c r="B33" s="168"/>
      <c r="C33" s="168"/>
      <c r="D33" s="168"/>
      <c r="E33" s="168"/>
      <c r="F33" s="169">
        <f t="shared" ref="F33" si="52">F32/B32-1</f>
        <v>7.7708472562560305E-2</v>
      </c>
      <c r="G33" s="169">
        <f t="shared" ref="G33" si="53">G32/C32-1</f>
        <v>5.9483865622799392E-2</v>
      </c>
      <c r="H33" s="169">
        <f t="shared" ref="H33" si="54">H32/D32-1</f>
        <v>0.25110475695347012</v>
      </c>
      <c r="I33" s="169">
        <f t="shared" ref="I33" si="55">I32/E32-1</f>
        <v>7.2053848568339518E-2</v>
      </c>
      <c r="J33" s="169">
        <f t="shared" ref="J33" si="56">J32/F32-1</f>
        <v>0.2106659317187447</v>
      </c>
      <c r="K33" s="169">
        <f t="shared" ref="K33" si="57">K32/G32-1</f>
        <v>0.24134965007624043</v>
      </c>
      <c r="L33" s="169">
        <f>L32/H32-1</f>
        <v>0.18983309093427536</v>
      </c>
      <c r="M33" s="170"/>
    </row>
    <row r="34" spans="1:13" x14ac:dyDescent="0.35">
      <c r="A34" s="167" t="s">
        <v>221</v>
      </c>
      <c r="B34" s="169">
        <f t="shared" ref="B34:L34" si="58">B32/B$42</f>
        <v>0.21093768355431641</v>
      </c>
      <c r="C34" s="169">
        <f t="shared" si="58"/>
        <v>0.17684548271542533</v>
      </c>
      <c r="D34" s="169">
        <f t="shared" si="58"/>
        <v>0.18503495158083755</v>
      </c>
      <c r="E34" s="169">
        <f t="shared" si="58"/>
        <v>0.21250435414180793</v>
      </c>
      <c r="F34" s="169">
        <f t="shared" si="58"/>
        <v>0.23178210390149637</v>
      </c>
      <c r="G34" s="169">
        <f t="shared" si="58"/>
        <v>0.18948452386244094</v>
      </c>
      <c r="H34" s="169">
        <f t="shared" si="58"/>
        <v>0.20171976613415848</v>
      </c>
      <c r="I34" s="169">
        <f t="shared" si="58"/>
        <v>0.20833785175947511</v>
      </c>
      <c r="J34" s="169">
        <f t="shared" si="58"/>
        <v>0.23958113184393345</v>
      </c>
      <c r="K34" s="169">
        <f t="shared" si="58"/>
        <v>0.20361309023747376</v>
      </c>
      <c r="L34" s="169">
        <f t="shared" si="58"/>
        <v>0.21182809619806792</v>
      </c>
      <c r="M34" s="170"/>
    </row>
    <row r="35" spans="1:13" x14ac:dyDescent="0.35">
      <c r="A35" s="164" t="s">
        <v>233</v>
      </c>
      <c r="B35" s="165">
        <v>68.33</v>
      </c>
      <c r="C35" s="165">
        <v>60.04</v>
      </c>
      <c r="D35" s="165">
        <v>56.42</v>
      </c>
      <c r="E35" s="165">
        <v>73.16</v>
      </c>
      <c r="F35" s="165">
        <v>73.05</v>
      </c>
      <c r="G35" s="165">
        <v>55.47</v>
      </c>
      <c r="H35" s="165">
        <v>72.72</v>
      </c>
      <c r="I35" s="165">
        <v>85.65</v>
      </c>
      <c r="J35" s="165">
        <v>91.27</v>
      </c>
      <c r="K35" s="165">
        <v>82.05</v>
      </c>
      <c r="L35" s="165">
        <v>80.930000000000007</v>
      </c>
      <c r="M35" s="170"/>
    </row>
    <row r="36" spans="1:13" x14ac:dyDescent="0.35">
      <c r="A36" s="167" t="s">
        <v>217</v>
      </c>
      <c r="B36" s="168"/>
      <c r="C36" s="168"/>
      <c r="D36" s="168"/>
      <c r="E36" s="168"/>
      <c r="F36" s="169">
        <f t="shared" ref="F36" si="59">F35/B35-1</f>
        <v>6.907654031903987E-2</v>
      </c>
      <c r="G36" s="169">
        <f t="shared" ref="G36" si="60">G35/C35-1</f>
        <v>-7.6115922718187901E-2</v>
      </c>
      <c r="H36" s="169">
        <f t="shared" ref="H36" si="61">H35/D35-1</f>
        <v>0.28890464374335334</v>
      </c>
      <c r="I36" s="169">
        <f t="shared" ref="I36" si="62">I35/E35-1</f>
        <v>0.17072170585019153</v>
      </c>
      <c r="J36" s="169">
        <f t="shared" ref="J36" si="63">J35/F35-1</f>
        <v>0.2494182067077344</v>
      </c>
      <c r="K36" s="169">
        <f t="shared" ref="K36" si="64">K35/G35-1</f>
        <v>0.47917793401838837</v>
      </c>
      <c r="L36" s="169">
        <f>L35/H35-1</f>
        <v>0.11289878987898794</v>
      </c>
      <c r="M36" s="170"/>
    </row>
    <row r="37" spans="1:13" x14ac:dyDescent="0.35">
      <c r="A37" s="167" t="s">
        <v>224</v>
      </c>
      <c r="B37" s="169">
        <f t="shared" ref="B37:J37" si="65">B35/B32</f>
        <v>0.2536942154897156</v>
      </c>
      <c r="C37" s="169">
        <f t="shared" si="65"/>
        <v>0.24870552172652335</v>
      </c>
      <c r="D37" s="169">
        <f t="shared" si="65"/>
        <v>0.24443289143055197</v>
      </c>
      <c r="E37" s="169">
        <f t="shared" si="65"/>
        <v>0.25515293132912492</v>
      </c>
      <c r="F37" s="169">
        <f t="shared" si="65"/>
        <v>0.25166224549557309</v>
      </c>
      <c r="G37" s="169">
        <f t="shared" si="65"/>
        <v>0.21687453571568205</v>
      </c>
      <c r="H37" s="169">
        <f t="shared" si="65"/>
        <v>0.25181799293579887</v>
      </c>
      <c r="I37" s="169">
        <f t="shared" si="65"/>
        <v>0.27863626012557341</v>
      </c>
      <c r="J37" s="169">
        <f t="shared" si="65"/>
        <v>0.259717716692277</v>
      </c>
      <c r="K37" s="169">
        <f>K35/K32</f>
        <v>0.25842519685039367</v>
      </c>
      <c r="L37" s="169">
        <f>L35/L32</f>
        <v>0.23553550640279394</v>
      </c>
      <c r="M37" s="166"/>
    </row>
    <row r="38" spans="1:13" x14ac:dyDescent="0.35">
      <c r="A38" s="195" t="s">
        <v>220</v>
      </c>
      <c r="B38" s="199"/>
      <c r="C38" s="199"/>
      <c r="D38" s="199"/>
      <c r="E38" s="199"/>
      <c r="F38" s="199"/>
      <c r="G38" s="199"/>
      <c r="H38" s="199"/>
      <c r="I38" s="199"/>
      <c r="J38" s="199">
        <v>33.369999999999997</v>
      </c>
      <c r="K38" s="199">
        <v>25.9</v>
      </c>
      <c r="L38" s="199">
        <v>24.84</v>
      </c>
      <c r="M38" s="198"/>
    </row>
    <row r="39" spans="1:13" x14ac:dyDescent="0.35">
      <c r="A39" s="196" t="s">
        <v>221</v>
      </c>
      <c r="B39" s="197"/>
      <c r="C39" s="197"/>
      <c r="D39" s="197"/>
      <c r="E39" s="197"/>
      <c r="F39" s="197"/>
      <c r="G39" s="197"/>
      <c r="H39" s="197"/>
      <c r="I39" s="197"/>
      <c r="J39" s="197">
        <f>J38/J$42</f>
        <v>2.2750049426987815E-2</v>
      </c>
      <c r="K39" s="197">
        <f>K38/K$42</f>
        <v>1.6609697754804947E-2</v>
      </c>
      <c r="L39" s="197">
        <f>L38/L$42</f>
        <v>1.5313765743771848E-2</v>
      </c>
      <c r="M39" s="198"/>
    </row>
    <row r="40" spans="1:13" x14ac:dyDescent="0.35">
      <c r="A40" s="195" t="s">
        <v>223</v>
      </c>
      <c r="B40" s="200"/>
      <c r="C40" s="200"/>
      <c r="D40" s="200"/>
      <c r="E40" s="200"/>
      <c r="F40" s="200"/>
      <c r="G40" s="200"/>
      <c r="H40" s="200"/>
      <c r="I40" s="200"/>
      <c r="J40" s="200">
        <v>7.91</v>
      </c>
      <c r="K40" s="200">
        <v>6.41</v>
      </c>
      <c r="L40" s="200">
        <v>5.49</v>
      </c>
      <c r="M40" s="198"/>
    </row>
    <row r="41" spans="1:13" x14ac:dyDescent="0.35">
      <c r="A41" s="196" t="s">
        <v>224</v>
      </c>
      <c r="B41" s="197"/>
      <c r="C41" s="197"/>
      <c r="D41" s="197"/>
      <c r="E41" s="197"/>
      <c r="F41" s="197"/>
      <c r="G41" s="197"/>
      <c r="H41" s="197"/>
      <c r="I41" s="197"/>
      <c r="J41" s="197">
        <f>J40/J38</f>
        <v>0.23703925681750077</v>
      </c>
      <c r="K41" s="197">
        <f>K40/K38</f>
        <v>0.24749034749034751</v>
      </c>
      <c r="L41" s="197">
        <f>L40/L38</f>
        <v>0.2210144927536232</v>
      </c>
      <c r="M41" s="198"/>
    </row>
    <row r="42" spans="1:13" x14ac:dyDescent="0.35">
      <c r="A42" s="162" t="s">
        <v>222</v>
      </c>
      <c r="B42" s="163">
        <f t="shared" ref="B42:K42" si="66">B14+B20+B26+B32+B38</f>
        <v>1276.8699999999999</v>
      </c>
      <c r="C42" s="163">
        <f t="shared" si="66"/>
        <v>1365.0900000000001</v>
      </c>
      <c r="D42" s="163">
        <f t="shared" si="66"/>
        <v>1247.44</v>
      </c>
      <c r="E42" s="163">
        <f t="shared" si="66"/>
        <v>1349.29</v>
      </c>
      <c r="F42" s="163">
        <f t="shared" si="66"/>
        <v>1252.3400000000001</v>
      </c>
      <c r="G42" s="163">
        <f t="shared" si="66"/>
        <v>1349.82</v>
      </c>
      <c r="H42" s="163">
        <f t="shared" si="66"/>
        <v>1431.5900000000001</v>
      </c>
      <c r="I42" s="163">
        <f t="shared" si="66"/>
        <v>1475.44</v>
      </c>
      <c r="J42" s="163">
        <f t="shared" si="66"/>
        <v>1466.81</v>
      </c>
      <c r="K42" s="163">
        <f t="shared" si="66"/>
        <v>1559.3300000000002</v>
      </c>
      <c r="L42" s="163">
        <f>L14+L20+L26+L32+L38</f>
        <v>1622.07</v>
      </c>
      <c r="M42" s="123"/>
    </row>
  </sheetData>
  <mergeCells count="2">
    <mergeCell ref="A1:M1"/>
    <mergeCell ref="A12:M12"/>
  </mergeCells>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Quarterly!B3:L3</xm:f>
              <xm:sqref>M3</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Quarterly!B5:L5</xm:f>
              <xm:sqref>M5</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Quarterly!B8:L8</xm:f>
              <xm:sqref>M8</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Quarterly!B10:L10</xm:f>
              <xm:sqref>M10</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Quarterly!B14:L14</xm:f>
              <xm:sqref>M14</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Quarterly!B19:L19</xm:f>
              <xm:sqref>M19</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Quarterly!B20:L20</xm:f>
              <xm:sqref>M20</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Quarterly!B25:L25</xm:f>
              <xm:sqref>M25</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Quarterly!B26:L26</xm:f>
              <xm:sqref>M26</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Quarterly!B31:L31</xm:f>
              <xm:sqref>M31</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Quarterly!B32:L32</xm:f>
              <xm:sqref>M32</xm:sqref>
            </x14:sparkline>
          </x14:sparklines>
        </x14:sparklineGroup>
        <x14:sparklineGroup lineWeight="2.25" displayEmptyCellsAs="gap">
          <x14:colorSeries rgb="FFC00000"/>
          <x14:colorNegative rgb="FFD00000"/>
          <x14:colorAxis rgb="FF000000"/>
          <x14:colorMarkers rgb="FFD00000"/>
          <x14:colorFirst rgb="FFD00000"/>
          <x14:colorLast rgb="FFD00000"/>
          <x14:colorHigh rgb="FFD00000"/>
          <x14:colorLow rgb="FFD00000"/>
          <x14:sparklines>
            <x14:sparkline>
              <xm:f>Quarterly!B37:L37</xm:f>
              <xm:sqref>M37</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First Page</vt:lpstr>
      <vt:lpstr>Checklist</vt:lpstr>
      <vt:lpstr>Balance Sheet</vt:lpstr>
      <vt:lpstr>Common Size Bal. Sheet</vt:lpstr>
      <vt:lpstr>P &amp; L Account</vt:lpstr>
      <vt:lpstr>Common Size P&amp;L</vt:lpstr>
      <vt:lpstr>Cash Flow</vt:lpstr>
      <vt:lpstr>Ratios</vt:lpstr>
      <vt:lpstr>Valuations</vt:lpstr>
      <vt:lpstr>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cp:lastPrinted>2016-10-19T08:51:10Z</cp:lastPrinted>
  <dcterms:created xsi:type="dcterms:W3CDTF">2011-11-07T17:28:41Z</dcterms:created>
  <dcterms:modified xsi:type="dcterms:W3CDTF">2017-03-14T05:31:05Z</dcterms:modified>
</cp:coreProperties>
</file>