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B5609AB8-256F-4291-92F8-12E76D239DD9}" xr6:coauthVersionLast="47" xr6:coauthVersionMax="47" xr10:uidLastSave="{00000000-0000-0000-0000-000000000000}"/>
  <bookViews>
    <workbookView xWindow="-110" yWindow="-110" windowWidth="19420" windowHeight="10420" tabRatio="700" activeTab="9" xr2:uid="{00000000-000D-0000-FFFF-FFFF00000000}"/>
  </bookViews>
  <sheets>
    <sheet name="Master" sheetId="7" r:id="rId1"/>
    <sheet name="Sales &amp; Margin" sheetId="4" r:id="rId2"/>
    <sheet name="Buyers &amp; Sellers" sheetId="18" r:id="rId3"/>
    <sheet name="HQ" sheetId="5" r:id="rId4"/>
    <sheet name="Rules" sheetId="17" r:id="rId5"/>
    <sheet name="P&amp;L" sheetId="13" r:id="rId6"/>
    <sheet name="Work Cap" sheetId="11" r:id="rId7"/>
    <sheet name="Capex" sheetId="14" r:id="rId8"/>
    <sheet name="Debt" sheetId="15" r:id="rId9"/>
    <sheet name="CF" sheetId="12" r:id="rId10"/>
    <sheet name="Parameters" sheetId="9" r:id="rId11"/>
    <sheet name="Category" sheetId="16" r:id="rId12"/>
    <sheet name="Slide" sheetId="8" r:id="rId13"/>
    <sheet name="Links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7" l="1"/>
  <c r="K29" i="18"/>
  <c r="L29" i="18" s="1"/>
  <c r="L20" i="18"/>
  <c r="M20" i="18" s="1"/>
  <c r="K8" i="18"/>
  <c r="L8" i="18" s="1"/>
  <c r="M8" i="18" s="1"/>
  <c r="N41" i="4"/>
  <c r="M41" i="4"/>
  <c r="K11" i="14"/>
  <c r="M29" i="18" l="1"/>
  <c r="N29" i="18" s="1"/>
  <c r="P29" i="18" s="1"/>
  <c r="N20" i="18"/>
  <c r="O20" i="18" s="1"/>
  <c r="P20" i="18" s="1"/>
  <c r="Q20" i="18" s="1"/>
  <c r="N8" i="18"/>
  <c r="H28" i="17"/>
  <c r="H27" i="17"/>
  <c r="H26" i="17"/>
  <c r="H25" i="17"/>
  <c r="H24" i="17"/>
  <c r="H23" i="17"/>
  <c r="H22" i="17"/>
  <c r="J5" i="11"/>
  <c r="H14" i="17"/>
  <c r="H13" i="17"/>
  <c r="H12" i="17"/>
  <c r="H11" i="17"/>
  <c r="H10" i="17"/>
  <c r="H9" i="17"/>
  <c r="H8" i="17"/>
  <c r="K28" i="5"/>
  <c r="L28" i="5" s="1"/>
  <c r="K26" i="5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J23" i="5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K19" i="5"/>
  <c r="L19" i="5" s="1"/>
  <c r="M19" i="5" s="1"/>
  <c r="K17" i="5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K16" i="5"/>
  <c r="L16" i="5" s="1"/>
  <c r="M16" i="5" s="1"/>
  <c r="K10" i="5"/>
  <c r="L10" i="5" s="1"/>
  <c r="M10" i="5" s="1"/>
  <c r="N10" i="5" s="1"/>
  <c r="Q29" i="18" l="1"/>
  <c r="R20" i="18"/>
  <c r="M16" i="18"/>
  <c r="O8" i="18"/>
  <c r="N19" i="5"/>
  <c r="O10" i="5"/>
  <c r="N16" i="5"/>
  <c r="O16" i="5" s="1"/>
  <c r="P16" i="5" s="1"/>
  <c r="Q16" i="5" s="1"/>
  <c r="M28" i="5"/>
  <c r="R29" i="18" l="1"/>
  <c r="S20" i="18"/>
  <c r="N16" i="18"/>
  <c r="O12" i="18"/>
  <c r="P8" i="18"/>
  <c r="N28" i="5"/>
  <c r="P10" i="5"/>
  <c r="R16" i="5"/>
  <c r="S16" i="5" s="1"/>
  <c r="T16" i="5" s="1"/>
  <c r="O19" i="5"/>
  <c r="S29" i="18" l="1"/>
  <c r="T20" i="18"/>
  <c r="O16" i="18"/>
  <c r="P12" i="18"/>
  <c r="Q8" i="18"/>
  <c r="Q10" i="5"/>
  <c r="P19" i="5"/>
  <c r="O28" i="5"/>
  <c r="U16" i="5"/>
  <c r="T29" i="18" l="1"/>
  <c r="U20" i="18"/>
  <c r="P16" i="18"/>
  <c r="Q12" i="18"/>
  <c r="R8" i="18"/>
  <c r="Q19" i="5"/>
  <c r="P28" i="5"/>
  <c r="R10" i="5"/>
  <c r="U29" i="18" l="1"/>
  <c r="Q16" i="18"/>
  <c r="R12" i="18"/>
  <c r="S8" i="18"/>
  <c r="S10" i="5"/>
  <c r="Q28" i="5"/>
  <c r="R19" i="5"/>
  <c r="R16" i="18" l="1"/>
  <c r="S12" i="18"/>
  <c r="T8" i="18"/>
  <c r="T10" i="5"/>
  <c r="R28" i="5"/>
  <c r="S19" i="5"/>
  <c r="S16" i="18" l="1"/>
  <c r="T12" i="18"/>
  <c r="U8" i="18"/>
  <c r="S28" i="5"/>
  <c r="T19" i="5"/>
  <c r="U10" i="5"/>
  <c r="T16" i="18" l="1"/>
  <c r="U12" i="18"/>
  <c r="T28" i="5"/>
  <c r="U19" i="5"/>
  <c r="U16" i="18" l="1"/>
  <c r="U28" i="5"/>
  <c r="J41" i="4" l="1"/>
  <c r="L41" i="4"/>
  <c r="K41" i="4"/>
  <c r="J11" i="4"/>
  <c r="Q7" i="4"/>
  <c r="R7" i="4" s="1"/>
  <c r="S7" i="4" s="1"/>
  <c r="T7" i="4" s="1"/>
  <c r="U7" i="4" s="1"/>
  <c r="K6" i="4"/>
  <c r="L6" i="4" s="1"/>
  <c r="M6" i="4" s="1"/>
  <c r="N6" i="4" s="1"/>
  <c r="O6" i="4" s="1"/>
  <c r="P6" i="4" s="1"/>
  <c r="P11" i="4" s="1"/>
  <c r="M11" i="4" l="1"/>
  <c r="N11" i="4"/>
  <c r="K11" i="4"/>
  <c r="O11" i="4"/>
  <c r="L11" i="4"/>
  <c r="Q6" i="4"/>
  <c r="R6" i="4" l="1"/>
  <c r="Q11" i="4"/>
  <c r="S6" i="4" l="1"/>
  <c r="R11" i="4"/>
  <c r="T6" i="4" l="1"/>
  <c r="S11" i="4"/>
  <c r="U6" i="4" l="1"/>
  <c r="U11" i="4" s="1"/>
  <c r="T11" i="4"/>
  <c r="M17" i="4" l="1"/>
  <c r="N17" i="4" l="1"/>
  <c r="O17" i="4" s="1"/>
  <c r="F20" i="7"/>
  <c r="P17" i="4" l="1"/>
  <c r="J11" i="9"/>
  <c r="J9" i="9"/>
  <c r="J25" i="15"/>
  <c r="Q17" i="4" l="1"/>
  <c r="K24" i="15"/>
  <c r="L24" i="15" s="1"/>
  <c r="J23" i="15"/>
  <c r="K17" i="15"/>
  <c r="K16" i="15"/>
  <c r="L16" i="15" s="1"/>
  <c r="M16" i="15" s="1"/>
  <c r="J15" i="15"/>
  <c r="R17" i="4" l="1"/>
  <c r="L17" i="15"/>
  <c r="L25" i="15" s="1"/>
  <c r="K25" i="15"/>
  <c r="K23" i="15" s="1"/>
  <c r="K15" i="15"/>
  <c r="M24" i="15"/>
  <c r="L23" i="15"/>
  <c r="N16" i="15"/>
  <c r="S17" i="4" l="1"/>
  <c r="M17" i="15"/>
  <c r="L15" i="15"/>
  <c r="N24" i="15"/>
  <c r="O16" i="15"/>
  <c r="T17" i="4" l="1"/>
  <c r="N17" i="15"/>
  <c r="M25" i="15"/>
  <c r="M23" i="15" s="1"/>
  <c r="M15" i="15"/>
  <c r="O24" i="15"/>
  <c r="P16" i="15"/>
  <c r="U17" i="4" l="1"/>
  <c r="O17" i="15"/>
  <c r="N25" i="15"/>
  <c r="N23" i="15" s="1"/>
  <c r="N15" i="15"/>
  <c r="P24" i="15"/>
  <c r="Q16" i="15"/>
  <c r="P17" i="15" l="1"/>
  <c r="O25" i="15"/>
  <c r="O23" i="15" s="1"/>
  <c r="O15" i="15"/>
  <c r="Q24" i="15"/>
  <c r="R16" i="15"/>
  <c r="Q17" i="15" l="1"/>
  <c r="P25" i="15"/>
  <c r="P23" i="15" s="1"/>
  <c r="P15" i="15"/>
  <c r="R24" i="15"/>
  <c r="S16" i="15"/>
  <c r="R17" i="15" l="1"/>
  <c r="Q25" i="15"/>
  <c r="Q23" i="15" s="1"/>
  <c r="Q15" i="15"/>
  <c r="S24" i="15"/>
  <c r="T16" i="15"/>
  <c r="S17" i="15" l="1"/>
  <c r="R25" i="15"/>
  <c r="R23" i="15" s="1"/>
  <c r="R15" i="15"/>
  <c r="T24" i="15"/>
  <c r="U16" i="15"/>
  <c r="T17" i="15" l="1"/>
  <c r="S25" i="15"/>
  <c r="S23" i="15" s="1"/>
  <c r="S15" i="15"/>
  <c r="U24" i="15"/>
  <c r="U17" i="15" l="1"/>
  <c r="T25" i="15"/>
  <c r="T23" i="15" s="1"/>
  <c r="T15" i="15"/>
  <c r="K24" i="12"/>
  <c r="J24" i="12"/>
  <c r="U25" i="15" l="1"/>
  <c r="U23" i="15" s="1"/>
  <c r="U15" i="15"/>
  <c r="J21" i="15"/>
  <c r="J20" i="14"/>
  <c r="K20" i="14" s="1"/>
  <c r="L20" i="14" s="1"/>
  <c r="M20" i="14" s="1"/>
  <c r="L9" i="15"/>
  <c r="K12" i="14"/>
  <c r="K42" i="13"/>
  <c r="L42" i="13" s="1"/>
  <c r="U23" i="12"/>
  <c r="T23" i="12"/>
  <c r="S23" i="12"/>
  <c r="R23" i="12"/>
  <c r="Q23" i="12"/>
  <c r="P23" i="12"/>
  <c r="O23" i="12"/>
  <c r="N23" i="12"/>
  <c r="M23" i="12"/>
  <c r="L23" i="12"/>
  <c r="K23" i="12"/>
  <c r="J23" i="12"/>
  <c r="J13" i="15"/>
  <c r="J6" i="15"/>
  <c r="K7" i="15" s="1"/>
  <c r="M9" i="15" l="1"/>
  <c r="M24" i="12" s="1"/>
  <c r="L24" i="12"/>
  <c r="V23" i="12"/>
  <c r="L12" i="14"/>
  <c r="M12" i="14" s="1"/>
  <c r="N12" i="14" s="1"/>
  <c r="O12" i="14" s="1"/>
  <c r="P12" i="14" s="1"/>
  <c r="Q12" i="14" s="1"/>
  <c r="R12" i="14" s="1"/>
  <c r="S12" i="14" s="1"/>
  <c r="T12" i="14" s="1"/>
  <c r="U12" i="14" s="1"/>
  <c r="N20" i="14"/>
  <c r="O20" i="14" s="1"/>
  <c r="M42" i="13"/>
  <c r="K13" i="15"/>
  <c r="K6" i="15"/>
  <c r="J14" i="15"/>
  <c r="N9" i="15" l="1"/>
  <c r="N24" i="12" s="1"/>
  <c r="V12" i="14"/>
  <c r="O24" i="12"/>
  <c r="P20" i="14"/>
  <c r="P9" i="15"/>
  <c r="P24" i="12" s="1"/>
  <c r="J12" i="15"/>
  <c r="J11" i="15" s="1"/>
  <c r="N42" i="13"/>
  <c r="K14" i="15"/>
  <c r="L7" i="15"/>
  <c r="J34" i="13" l="1"/>
  <c r="J25" i="12"/>
  <c r="Q20" i="14"/>
  <c r="Q9" i="15"/>
  <c r="Q24" i="12" s="1"/>
  <c r="K12" i="15"/>
  <c r="K11" i="15" s="1"/>
  <c r="O42" i="13"/>
  <c r="L6" i="15"/>
  <c r="L13" i="15"/>
  <c r="K34" i="13" l="1"/>
  <c r="K25" i="12"/>
  <c r="R20" i="14"/>
  <c r="R9" i="15"/>
  <c r="R24" i="12" s="1"/>
  <c r="P42" i="13"/>
  <c r="L14" i="15"/>
  <c r="M7" i="15"/>
  <c r="S20" i="14" l="1"/>
  <c r="S9" i="15"/>
  <c r="S24" i="12" s="1"/>
  <c r="L12" i="15"/>
  <c r="L11" i="15" s="1"/>
  <c r="Q42" i="13"/>
  <c r="M6" i="15"/>
  <c r="M13" i="15"/>
  <c r="L34" i="13" l="1"/>
  <c r="L25" i="12"/>
  <c r="T20" i="14"/>
  <c r="T9" i="15"/>
  <c r="T24" i="12" s="1"/>
  <c r="R42" i="13"/>
  <c r="N7" i="15"/>
  <c r="M14" i="15"/>
  <c r="U20" i="14" l="1"/>
  <c r="U9" i="15"/>
  <c r="U24" i="12" s="1"/>
  <c r="V24" i="12" s="1"/>
  <c r="M12" i="15"/>
  <c r="M11" i="15" s="1"/>
  <c r="S42" i="13"/>
  <c r="N6" i="15"/>
  <c r="N13" i="15"/>
  <c r="M34" i="13" l="1"/>
  <c r="M25" i="12"/>
  <c r="T42" i="13"/>
  <c r="O7" i="15"/>
  <c r="N14" i="15"/>
  <c r="N12" i="15" l="1"/>
  <c r="N11" i="15" s="1"/>
  <c r="N25" i="12" s="1"/>
  <c r="U42" i="13"/>
  <c r="O13" i="15"/>
  <c r="O6" i="15"/>
  <c r="N34" i="13" l="1"/>
  <c r="O14" i="15"/>
  <c r="P7" i="15"/>
  <c r="O12" i="15" l="1"/>
  <c r="O11" i="15" s="1"/>
  <c r="O25" i="12" s="1"/>
  <c r="P13" i="15"/>
  <c r="P6" i="15"/>
  <c r="O34" i="13" l="1"/>
  <c r="Q7" i="15"/>
  <c r="P14" i="15"/>
  <c r="P12" i="15" l="1"/>
  <c r="P11" i="15" s="1"/>
  <c r="Q6" i="15"/>
  <c r="Q13" i="15"/>
  <c r="P34" i="13" l="1"/>
  <c r="P25" i="12"/>
  <c r="Q14" i="15"/>
  <c r="R7" i="15"/>
  <c r="Q12" i="15" l="1"/>
  <c r="Q11" i="15" s="1"/>
  <c r="Q25" i="12" s="1"/>
  <c r="R6" i="15"/>
  <c r="R13" i="15"/>
  <c r="Q34" i="13" l="1"/>
  <c r="S7" i="15"/>
  <c r="R14" i="15"/>
  <c r="R12" i="15" l="1"/>
  <c r="R11" i="15" s="1"/>
  <c r="S13" i="15"/>
  <c r="S6" i="15"/>
  <c r="R34" i="13" l="1"/>
  <c r="R25" i="12"/>
  <c r="S14" i="15"/>
  <c r="T7" i="15"/>
  <c r="S12" i="15" l="1"/>
  <c r="S11" i="15" s="1"/>
  <c r="T6" i="15"/>
  <c r="T13" i="15"/>
  <c r="S34" i="13" l="1"/>
  <c r="S25" i="12"/>
  <c r="T14" i="15"/>
  <c r="U7" i="15"/>
  <c r="T12" i="15" l="1"/>
  <c r="T11" i="15" s="1"/>
  <c r="U6" i="15"/>
  <c r="U14" i="15" s="1"/>
  <c r="U13" i="15"/>
  <c r="T34" i="13" l="1"/>
  <c r="T25" i="12"/>
  <c r="U12" i="15"/>
  <c r="U11" i="15" s="1"/>
  <c r="U25" i="12" s="1"/>
  <c r="V25" i="12" l="1"/>
  <c r="U34" i="13"/>
  <c r="V34" i="13" s="1"/>
  <c r="F17" i="7" l="1"/>
  <c r="F16" i="7"/>
  <c r="F15" i="7"/>
  <c r="F14" i="7"/>
  <c r="F13" i="7"/>
  <c r="K22" i="12"/>
  <c r="L22" i="12" l="1"/>
  <c r="L11" i="14"/>
  <c r="K19" i="12"/>
  <c r="K18" i="12"/>
  <c r="K17" i="12"/>
  <c r="K16" i="12"/>
  <c r="K15" i="11"/>
  <c r="L15" i="11" s="1"/>
  <c r="M15" i="11" s="1"/>
  <c r="N15" i="11" s="1"/>
  <c r="O15" i="11" s="1"/>
  <c r="P15" i="11" s="1"/>
  <c r="Q15" i="11" s="1"/>
  <c r="R15" i="11" s="1"/>
  <c r="S15" i="11" s="1"/>
  <c r="T15" i="11" s="1"/>
  <c r="U15" i="11" s="1"/>
  <c r="K11" i="1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L17" i="12" l="1"/>
  <c r="M17" i="12" s="1"/>
  <c r="N17" i="12" s="1"/>
  <c r="O17" i="12" s="1"/>
  <c r="P17" i="12" s="1"/>
  <c r="Q17" i="12" s="1"/>
  <c r="R17" i="12" s="1"/>
  <c r="S17" i="12" s="1"/>
  <c r="T17" i="12" s="1"/>
  <c r="U17" i="12" s="1"/>
  <c r="L18" i="12"/>
  <c r="M18" i="12" s="1"/>
  <c r="N18" i="12" s="1"/>
  <c r="O18" i="12" s="1"/>
  <c r="P18" i="12" s="1"/>
  <c r="Q18" i="12" s="1"/>
  <c r="R18" i="12" s="1"/>
  <c r="S18" i="12" s="1"/>
  <c r="T18" i="12" s="1"/>
  <c r="U18" i="12" s="1"/>
  <c r="V18" i="12"/>
  <c r="L19" i="12"/>
  <c r="M19" i="12" s="1"/>
  <c r="N19" i="12" s="1"/>
  <c r="O19" i="12" s="1"/>
  <c r="P19" i="12" s="1"/>
  <c r="Q19" i="12" s="1"/>
  <c r="R19" i="12" s="1"/>
  <c r="S19" i="12" s="1"/>
  <c r="T19" i="12" s="1"/>
  <c r="U19" i="12" s="1"/>
  <c r="M11" i="14"/>
  <c r="N11" i="14" s="1"/>
  <c r="O11" i="14" s="1"/>
  <c r="P11" i="14" s="1"/>
  <c r="Q11" i="14" s="1"/>
  <c r="R11" i="14" s="1"/>
  <c r="S11" i="14" s="1"/>
  <c r="T11" i="14" s="1"/>
  <c r="U11" i="14" s="1"/>
  <c r="L16" i="12"/>
  <c r="M16" i="12" s="1"/>
  <c r="N16" i="12" s="1"/>
  <c r="O16" i="12" s="1"/>
  <c r="P16" i="12" s="1"/>
  <c r="Q16" i="12" s="1"/>
  <c r="R16" i="12" s="1"/>
  <c r="S16" i="12" s="1"/>
  <c r="T16" i="12" s="1"/>
  <c r="U16" i="12" s="1"/>
  <c r="M22" i="12"/>
  <c r="V19" i="12" l="1"/>
  <c r="V16" i="12"/>
  <c r="V17" i="12"/>
  <c r="V11" i="14"/>
  <c r="N22" i="12"/>
  <c r="O22" i="12" l="1"/>
  <c r="P22" i="12" l="1"/>
  <c r="Q22" i="12" l="1"/>
  <c r="R22" i="12" l="1"/>
  <c r="S22" i="12" l="1"/>
  <c r="T22" i="12" l="1"/>
  <c r="K7" i="11"/>
  <c r="K5" i="11" s="1"/>
  <c r="U22" i="12" l="1"/>
  <c r="V22" i="12" s="1"/>
  <c r="L7" i="11"/>
  <c r="L5" i="11" s="1"/>
  <c r="F12" i="7"/>
  <c r="F10" i="7"/>
  <c r="M7" i="11" l="1"/>
  <c r="M5" i="11" s="1"/>
  <c r="F21" i="7"/>
  <c r="F19" i="7"/>
  <c r="F18" i="7"/>
  <c r="N7" i="11" l="1"/>
  <c r="N5" i="11" s="1"/>
  <c r="J10" i="4"/>
  <c r="J11" i="18" l="1"/>
  <c r="J10" i="18" s="1"/>
  <c r="J7" i="18"/>
  <c r="J6" i="18" s="1"/>
  <c r="J15" i="18" s="1"/>
  <c r="J14" i="18" s="1"/>
  <c r="J24" i="18" s="1"/>
  <c r="J49" i="4"/>
  <c r="J48" i="4" s="1"/>
  <c r="J12" i="13" s="1"/>
  <c r="J22" i="13" s="1"/>
  <c r="O7" i="11"/>
  <c r="O5" i="11" s="1"/>
  <c r="D32" i="4"/>
  <c r="D31" i="4"/>
  <c r="D30" i="4"/>
  <c r="D29" i="4"/>
  <c r="D28" i="4"/>
  <c r="D27" i="4"/>
  <c r="D26" i="4"/>
  <c r="D25" i="4"/>
  <c r="J19" i="18" l="1"/>
  <c r="J18" i="18" s="1"/>
  <c r="J25" i="18" s="1"/>
  <c r="J23" i="18"/>
  <c r="J22" i="18" s="1"/>
  <c r="P7" i="11"/>
  <c r="P5" i="11" s="1"/>
  <c r="K54" i="4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K50" i="4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K32" i="4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K31" i="4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K30" i="4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K29" i="4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K28" i="4"/>
  <c r="K27" i="4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K26" i="4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K25" i="4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O40" i="4"/>
  <c r="P40" i="4" s="1"/>
  <c r="Q40" i="4" s="1"/>
  <c r="R40" i="4" s="1"/>
  <c r="S40" i="4" s="1"/>
  <c r="T40" i="4" s="1"/>
  <c r="U40" i="4" s="1"/>
  <c r="O39" i="4"/>
  <c r="P39" i="4" s="1"/>
  <c r="Q39" i="4" s="1"/>
  <c r="R39" i="4" s="1"/>
  <c r="S39" i="4" s="1"/>
  <c r="T39" i="4" s="1"/>
  <c r="U39" i="4" s="1"/>
  <c r="O38" i="4"/>
  <c r="P38" i="4" s="1"/>
  <c r="Q38" i="4" s="1"/>
  <c r="R38" i="4" s="1"/>
  <c r="S38" i="4" s="1"/>
  <c r="T38" i="4" s="1"/>
  <c r="U38" i="4" s="1"/>
  <c r="O37" i="4"/>
  <c r="P37" i="4" s="1"/>
  <c r="Q37" i="4" s="1"/>
  <c r="R37" i="4" s="1"/>
  <c r="S37" i="4" s="1"/>
  <c r="T37" i="4" s="1"/>
  <c r="U37" i="4" s="1"/>
  <c r="O36" i="4"/>
  <c r="P36" i="4" s="1"/>
  <c r="Q36" i="4" s="1"/>
  <c r="R36" i="4" s="1"/>
  <c r="S36" i="4" s="1"/>
  <c r="T36" i="4" s="1"/>
  <c r="U36" i="4" s="1"/>
  <c r="O35" i="4"/>
  <c r="P35" i="4" s="1"/>
  <c r="Q35" i="4" s="1"/>
  <c r="R35" i="4" s="1"/>
  <c r="S35" i="4" s="1"/>
  <c r="T35" i="4" s="1"/>
  <c r="U35" i="4" s="1"/>
  <c r="J46" i="4"/>
  <c r="J23" i="4"/>
  <c r="J45" i="4" s="1"/>
  <c r="K21" i="4"/>
  <c r="L21" i="4" s="1"/>
  <c r="M21" i="4" s="1"/>
  <c r="M13" i="4"/>
  <c r="N13" i="4" s="1"/>
  <c r="O13" i="4" s="1"/>
  <c r="P13" i="4" s="1"/>
  <c r="Q13" i="4" s="1"/>
  <c r="R13" i="4" s="1"/>
  <c r="S13" i="4" s="1"/>
  <c r="T13" i="4" s="1"/>
  <c r="U13" i="4" s="1"/>
  <c r="K46" i="4"/>
  <c r="J9" i="4"/>
  <c r="J28" i="18" l="1"/>
  <c r="J27" i="18" s="1"/>
  <c r="J16" i="4"/>
  <c r="J15" i="4" s="1"/>
  <c r="J14" i="11"/>
  <c r="J13" i="11" s="1"/>
  <c r="J7" i="14"/>
  <c r="J6" i="14" s="1"/>
  <c r="J10" i="14" s="1"/>
  <c r="J7" i="5"/>
  <c r="J6" i="5" s="1"/>
  <c r="J10" i="11"/>
  <c r="J9" i="11" s="1"/>
  <c r="J44" i="4"/>
  <c r="J10" i="13" s="1"/>
  <c r="L28" i="4"/>
  <c r="Q7" i="11"/>
  <c r="Q5" i="11" s="1"/>
  <c r="J53" i="4"/>
  <c r="J52" i="4" s="1"/>
  <c r="K10" i="4"/>
  <c r="M12" i="4"/>
  <c r="N12" i="4" s="1"/>
  <c r="O12" i="4" s="1"/>
  <c r="P12" i="4" s="1"/>
  <c r="Q12" i="4" s="1"/>
  <c r="R12" i="4" s="1"/>
  <c r="S12" i="4" s="1"/>
  <c r="T12" i="4" s="1"/>
  <c r="U12" i="4" s="1"/>
  <c r="N21" i="4"/>
  <c r="J16" i="13" l="1"/>
  <c r="J61" i="4"/>
  <c r="K11" i="18"/>
  <c r="K10" i="18" s="1"/>
  <c r="K7" i="18"/>
  <c r="K6" i="18" s="1"/>
  <c r="K15" i="18" s="1"/>
  <c r="K14" i="18" s="1"/>
  <c r="K24" i="18" s="1"/>
  <c r="J20" i="4"/>
  <c r="J19" i="4" s="1"/>
  <c r="J57" i="4" s="1"/>
  <c r="J6" i="13"/>
  <c r="J57" i="13" s="1"/>
  <c r="J9" i="14"/>
  <c r="J20" i="5"/>
  <c r="J18" i="5" s="1"/>
  <c r="J15" i="5"/>
  <c r="J14" i="5" s="1"/>
  <c r="J11" i="5"/>
  <c r="J9" i="5" s="1"/>
  <c r="J21" i="13"/>
  <c r="K23" i="4"/>
  <c r="K45" i="4" s="1"/>
  <c r="K44" i="4" s="1"/>
  <c r="K58" i="4" s="1"/>
  <c r="M28" i="4"/>
  <c r="J58" i="4"/>
  <c r="J18" i="11"/>
  <c r="J19" i="11"/>
  <c r="J60" i="4"/>
  <c r="J14" i="13"/>
  <c r="J8" i="13"/>
  <c r="R7" i="11"/>
  <c r="R5" i="11" s="1"/>
  <c r="O41" i="4"/>
  <c r="P41" i="4" s="1"/>
  <c r="Q41" i="4" s="1"/>
  <c r="R41" i="4" s="1"/>
  <c r="S41" i="4" s="1"/>
  <c r="T41" i="4" s="1"/>
  <c r="U41" i="4" s="1"/>
  <c r="K49" i="4"/>
  <c r="K9" i="4"/>
  <c r="L46" i="4"/>
  <c r="O34" i="4"/>
  <c r="L10" i="4"/>
  <c r="O21" i="4"/>
  <c r="J61" i="13" l="1"/>
  <c r="J24" i="13"/>
  <c r="J58" i="13"/>
  <c r="L11" i="18"/>
  <c r="L10" i="18" s="1"/>
  <c r="L7" i="18"/>
  <c r="L6" i="18" s="1"/>
  <c r="L15" i="18" s="1"/>
  <c r="L14" i="18" s="1"/>
  <c r="L24" i="18" s="1"/>
  <c r="K19" i="18"/>
  <c r="K18" i="18" s="1"/>
  <c r="K25" i="18" s="1"/>
  <c r="K23" i="18"/>
  <c r="K22" i="18" s="1"/>
  <c r="J49" i="13"/>
  <c r="J29" i="5"/>
  <c r="J27" i="5" s="1"/>
  <c r="K16" i="4"/>
  <c r="K15" i="4" s="1"/>
  <c r="K14" i="11"/>
  <c r="K13" i="11" s="1"/>
  <c r="K7" i="14"/>
  <c r="K6" i="14" s="1"/>
  <c r="K10" i="14" s="1"/>
  <c r="K7" i="5"/>
  <c r="K6" i="5" s="1"/>
  <c r="J22" i="5"/>
  <c r="J21" i="5" s="1"/>
  <c r="J25" i="5"/>
  <c r="J24" i="5" s="1"/>
  <c r="J13" i="5" s="1"/>
  <c r="J26" i="13" s="1"/>
  <c r="J30" i="13" s="1"/>
  <c r="J24" i="14"/>
  <c r="J16" i="14"/>
  <c r="J14" i="14" s="1"/>
  <c r="J15" i="12"/>
  <c r="K10" i="11"/>
  <c r="K9" i="11" s="1"/>
  <c r="J50" i="13"/>
  <c r="K10" i="13"/>
  <c r="L23" i="4"/>
  <c r="L45" i="4" s="1"/>
  <c r="L44" i="4" s="1"/>
  <c r="L58" i="4" s="1"/>
  <c r="N28" i="4"/>
  <c r="M23" i="4"/>
  <c r="M45" i="4" s="1"/>
  <c r="J23" i="13"/>
  <c r="J59" i="13"/>
  <c r="J56" i="13"/>
  <c r="J20" i="13"/>
  <c r="S7" i="11"/>
  <c r="S5" i="11" s="1"/>
  <c r="K53" i="4"/>
  <c r="K52" i="4" s="1"/>
  <c r="K60" i="4" s="1"/>
  <c r="L9" i="4"/>
  <c r="L49" i="4"/>
  <c r="M46" i="4"/>
  <c r="M10" i="4"/>
  <c r="P34" i="4"/>
  <c r="P21" i="4"/>
  <c r="K28" i="18" l="1"/>
  <c r="K27" i="18" s="1"/>
  <c r="K16" i="13" s="1"/>
  <c r="J19" i="13"/>
  <c r="M11" i="18"/>
  <c r="M10" i="18" s="1"/>
  <c r="M7" i="18"/>
  <c r="M6" i="18" s="1"/>
  <c r="M15" i="18" s="1"/>
  <c r="M14" i="18" s="1"/>
  <c r="M24" i="18" s="1"/>
  <c r="L19" i="18"/>
  <c r="L18" i="18" s="1"/>
  <c r="L25" i="18" s="1"/>
  <c r="L23" i="18"/>
  <c r="L22" i="18" s="1"/>
  <c r="J60" i="13"/>
  <c r="J55" i="13" s="1"/>
  <c r="K6" i="13"/>
  <c r="K57" i="13" s="1"/>
  <c r="K20" i="4"/>
  <c r="K19" i="4" s="1"/>
  <c r="J14" i="12"/>
  <c r="J31" i="12" s="1"/>
  <c r="J19" i="14"/>
  <c r="J18" i="14" s="1"/>
  <c r="K15" i="14"/>
  <c r="K20" i="5"/>
  <c r="K18" i="5" s="1"/>
  <c r="K15" i="5"/>
  <c r="K14" i="5" s="1"/>
  <c r="K11" i="5"/>
  <c r="K9" i="5" s="1"/>
  <c r="L16" i="4"/>
  <c r="L15" i="4" s="1"/>
  <c r="L14" i="11"/>
  <c r="L13" i="11" s="1"/>
  <c r="L7" i="14"/>
  <c r="L6" i="14" s="1"/>
  <c r="L10" i="14" s="1"/>
  <c r="L9" i="14" s="1"/>
  <c r="L7" i="5"/>
  <c r="L6" i="5" s="1"/>
  <c r="K9" i="14"/>
  <c r="L10" i="11"/>
  <c r="L9" i="11" s="1"/>
  <c r="K21" i="13"/>
  <c r="M44" i="4"/>
  <c r="M58" i="4" s="1"/>
  <c r="L10" i="13"/>
  <c r="L21" i="13" s="1"/>
  <c r="O28" i="4"/>
  <c r="N23" i="4"/>
  <c r="N45" i="4" s="1"/>
  <c r="J20" i="11"/>
  <c r="J17" i="11" s="1"/>
  <c r="K14" i="13"/>
  <c r="T7" i="11"/>
  <c r="T5" i="11" s="1"/>
  <c r="L53" i="4"/>
  <c r="L52" i="4" s="1"/>
  <c r="L60" i="4" s="1"/>
  <c r="N46" i="4"/>
  <c r="N10" i="4"/>
  <c r="M9" i="4"/>
  <c r="M49" i="4"/>
  <c r="Q34" i="4"/>
  <c r="Q21" i="4"/>
  <c r="K61" i="4" l="1"/>
  <c r="K8" i="13"/>
  <c r="K57" i="4"/>
  <c r="K24" i="13"/>
  <c r="K61" i="13"/>
  <c r="L28" i="18"/>
  <c r="L27" i="18" s="1"/>
  <c r="M19" i="18"/>
  <c r="M18" i="18" s="1"/>
  <c r="M25" i="18" s="1"/>
  <c r="M23" i="18"/>
  <c r="N11" i="18"/>
  <c r="N10" i="18" s="1"/>
  <c r="N7" i="18"/>
  <c r="N6" i="18" s="1"/>
  <c r="N15" i="18" s="1"/>
  <c r="N14" i="18" s="1"/>
  <c r="N24" i="18" s="1"/>
  <c r="K49" i="13"/>
  <c r="L6" i="13"/>
  <c r="L57" i="13" s="1"/>
  <c r="L20" i="4"/>
  <c r="L19" i="4" s="1"/>
  <c r="K25" i="5"/>
  <c r="K24" i="5" s="1"/>
  <c r="K22" i="5"/>
  <c r="K21" i="5" s="1"/>
  <c r="L15" i="12"/>
  <c r="L14" i="12" s="1"/>
  <c r="L31" i="12" s="1"/>
  <c r="L24" i="14"/>
  <c r="L16" i="14"/>
  <c r="K29" i="5"/>
  <c r="K27" i="5" s="1"/>
  <c r="M16" i="4"/>
  <c r="M15" i="4" s="1"/>
  <c r="M7" i="14"/>
  <c r="M6" i="14" s="1"/>
  <c r="M10" i="14" s="1"/>
  <c r="M7" i="5"/>
  <c r="M6" i="5" s="1"/>
  <c r="M14" i="11"/>
  <c r="M13" i="11" s="1"/>
  <c r="L15" i="5"/>
  <c r="L14" i="5" s="1"/>
  <c r="L20" i="5"/>
  <c r="L18" i="5" s="1"/>
  <c r="L11" i="5"/>
  <c r="L9" i="5" s="1"/>
  <c r="J25" i="14"/>
  <c r="J22" i="14" s="1"/>
  <c r="K23" i="14" s="1"/>
  <c r="J8" i="12"/>
  <c r="K15" i="12"/>
  <c r="K16" i="14"/>
  <c r="K14" i="14" s="1"/>
  <c r="K24" i="14"/>
  <c r="M10" i="11"/>
  <c r="M9" i="11" s="1"/>
  <c r="M10" i="13"/>
  <c r="M21" i="13" s="1"/>
  <c r="N44" i="4"/>
  <c r="N58" i="4" s="1"/>
  <c r="K50" i="13"/>
  <c r="J51" i="13"/>
  <c r="P28" i="4"/>
  <c r="O23" i="4"/>
  <c r="O45" i="4" s="1"/>
  <c r="J29" i="13"/>
  <c r="K56" i="13"/>
  <c r="K11" i="12"/>
  <c r="K19" i="11"/>
  <c r="L14" i="13"/>
  <c r="K23" i="13"/>
  <c r="K59" i="13"/>
  <c r="K10" i="12"/>
  <c r="K18" i="11"/>
  <c r="K12" i="12"/>
  <c r="K20" i="13"/>
  <c r="U7" i="11"/>
  <c r="U5" i="11" s="1"/>
  <c r="M53" i="4"/>
  <c r="M52" i="4" s="1"/>
  <c r="M60" i="4" s="1"/>
  <c r="N9" i="4"/>
  <c r="N49" i="4"/>
  <c r="O46" i="4"/>
  <c r="O10" i="4"/>
  <c r="R34" i="4"/>
  <c r="R21" i="4"/>
  <c r="M22" i="18" l="1"/>
  <c r="M28" i="18" s="1"/>
  <c r="M27" i="18" s="1"/>
  <c r="L8" i="13"/>
  <c r="L57" i="4"/>
  <c r="L16" i="13"/>
  <c r="L61" i="4"/>
  <c r="M16" i="13"/>
  <c r="M61" i="4"/>
  <c r="L49" i="13"/>
  <c r="L50" i="13"/>
  <c r="N19" i="18"/>
  <c r="N18" i="18" s="1"/>
  <c r="N25" i="18" s="1"/>
  <c r="N23" i="18"/>
  <c r="N22" i="18" s="1"/>
  <c r="O11" i="18"/>
  <c r="O10" i="18" s="1"/>
  <c r="O7" i="18"/>
  <c r="O6" i="18" s="1"/>
  <c r="O15" i="18" s="1"/>
  <c r="O14" i="18" s="1"/>
  <c r="O24" i="18" s="1"/>
  <c r="K13" i="5"/>
  <c r="K26" i="13" s="1"/>
  <c r="M6" i="13"/>
  <c r="M49" i="13" s="1"/>
  <c r="M20" i="4"/>
  <c r="M19" i="4" s="1"/>
  <c r="M57" i="4" s="1"/>
  <c r="L22" i="5"/>
  <c r="L21" i="5" s="1"/>
  <c r="L25" i="5"/>
  <c r="L24" i="5" s="1"/>
  <c r="N16" i="4"/>
  <c r="N15" i="4" s="1"/>
  <c r="N14" i="11"/>
  <c r="N13" i="11" s="1"/>
  <c r="N7" i="14"/>
  <c r="N6" i="14" s="1"/>
  <c r="N10" i="14" s="1"/>
  <c r="N9" i="14" s="1"/>
  <c r="N7" i="5"/>
  <c r="N6" i="5" s="1"/>
  <c r="K14" i="12"/>
  <c r="M20" i="5"/>
  <c r="M18" i="5" s="1"/>
  <c r="M11" i="5"/>
  <c r="M9" i="5" s="1"/>
  <c r="M15" i="5"/>
  <c r="M14" i="5" s="1"/>
  <c r="L29" i="5"/>
  <c r="L27" i="5" s="1"/>
  <c r="M9" i="14"/>
  <c r="N10" i="13"/>
  <c r="N21" i="13" s="1"/>
  <c r="N10" i="11"/>
  <c r="N9" i="11" s="1"/>
  <c r="J28" i="13"/>
  <c r="J37" i="13" s="1"/>
  <c r="O44" i="4"/>
  <c r="Q28" i="4"/>
  <c r="P23" i="4"/>
  <c r="P45" i="4" s="1"/>
  <c r="L11" i="12"/>
  <c r="L19" i="11"/>
  <c r="L10" i="12"/>
  <c r="L18" i="11"/>
  <c r="L56" i="13"/>
  <c r="M14" i="13"/>
  <c r="L23" i="13"/>
  <c r="L59" i="13"/>
  <c r="L12" i="12"/>
  <c r="L20" i="13"/>
  <c r="M8" i="13"/>
  <c r="K20" i="11"/>
  <c r="K17" i="11" s="1"/>
  <c r="N53" i="4"/>
  <c r="N52" i="4" s="1"/>
  <c r="N60" i="4" s="1"/>
  <c r="O9" i="4"/>
  <c r="O49" i="4"/>
  <c r="P46" i="4"/>
  <c r="P10" i="4"/>
  <c r="S34" i="4"/>
  <c r="S21" i="4"/>
  <c r="N28" i="18" l="1"/>
  <c r="N27" i="18" s="1"/>
  <c r="N16" i="13" s="1"/>
  <c r="L24" i="13"/>
  <c r="L61" i="13"/>
  <c r="N61" i="4"/>
  <c r="M24" i="13"/>
  <c r="M61" i="13"/>
  <c r="O10" i="13"/>
  <c r="O21" i="13" s="1"/>
  <c r="O58" i="4"/>
  <c r="M50" i="13"/>
  <c r="M57" i="13"/>
  <c r="O19" i="18"/>
  <c r="O18" i="18" s="1"/>
  <c r="O25" i="18" s="1"/>
  <c r="O23" i="18"/>
  <c r="P11" i="18"/>
  <c r="P10" i="18" s="1"/>
  <c r="P7" i="18"/>
  <c r="P6" i="18" s="1"/>
  <c r="P15" i="18" s="1"/>
  <c r="P14" i="18" s="1"/>
  <c r="P24" i="18" s="1"/>
  <c r="L13" i="5"/>
  <c r="L26" i="13" s="1"/>
  <c r="N20" i="4"/>
  <c r="N19" i="4" s="1"/>
  <c r="N57" i="4" s="1"/>
  <c r="N6" i="13"/>
  <c r="N57" i="13" s="1"/>
  <c r="M29" i="5"/>
  <c r="M27" i="5" s="1"/>
  <c r="M16" i="14"/>
  <c r="M15" i="12"/>
  <c r="M24" i="14"/>
  <c r="M22" i="5"/>
  <c r="M21" i="5" s="1"/>
  <c r="M25" i="5"/>
  <c r="M24" i="5" s="1"/>
  <c r="N20" i="5"/>
  <c r="N18" i="5" s="1"/>
  <c r="N15" i="5"/>
  <c r="N14" i="5" s="1"/>
  <c r="N29" i="5" s="1"/>
  <c r="N27" i="5" s="1"/>
  <c r="N11" i="5"/>
  <c r="N9" i="5" s="1"/>
  <c r="O16" i="4"/>
  <c r="O15" i="4" s="1"/>
  <c r="O14" i="11"/>
  <c r="O13" i="11" s="1"/>
  <c r="O7" i="14"/>
  <c r="O6" i="14" s="1"/>
  <c r="O10" i="14" s="1"/>
  <c r="O7" i="5"/>
  <c r="O6" i="5" s="1"/>
  <c r="N24" i="14"/>
  <c r="N15" i="12"/>
  <c r="N14" i="12" s="1"/>
  <c r="N31" i="12" s="1"/>
  <c r="N16" i="14"/>
  <c r="O10" i="11"/>
  <c r="O9" i="11" s="1"/>
  <c r="J52" i="13"/>
  <c r="P44" i="4"/>
  <c r="R28" i="4"/>
  <c r="Q23" i="4"/>
  <c r="Q45" i="4" s="1"/>
  <c r="N14" i="13"/>
  <c r="M23" i="13"/>
  <c r="M59" i="13"/>
  <c r="M56" i="13"/>
  <c r="M10" i="12"/>
  <c r="M18" i="11"/>
  <c r="M11" i="12"/>
  <c r="M19" i="11"/>
  <c r="M12" i="12"/>
  <c r="M20" i="13"/>
  <c r="L20" i="11"/>
  <c r="L17" i="11" s="1"/>
  <c r="O53" i="4"/>
  <c r="O52" i="4" s="1"/>
  <c r="O60" i="4" s="1"/>
  <c r="P9" i="4"/>
  <c r="P49" i="4"/>
  <c r="Q46" i="4"/>
  <c r="Q10" i="4"/>
  <c r="T34" i="4"/>
  <c r="T21" i="4"/>
  <c r="O22" i="18" l="1"/>
  <c r="O28" i="18"/>
  <c r="O27" i="18" s="1"/>
  <c r="N8" i="13"/>
  <c r="N50" i="13" s="1"/>
  <c r="P10" i="13"/>
  <c r="P58" i="4"/>
  <c r="N24" i="13"/>
  <c r="N61" i="13"/>
  <c r="Q11" i="18"/>
  <c r="Q10" i="18" s="1"/>
  <c r="Q7" i="18"/>
  <c r="Q6" i="18" s="1"/>
  <c r="Q15" i="18" s="1"/>
  <c r="Q14" i="18" s="1"/>
  <c r="Q24" i="18" s="1"/>
  <c r="P19" i="18"/>
  <c r="P18" i="18" s="1"/>
  <c r="P25" i="18" s="1"/>
  <c r="P23" i="18"/>
  <c r="P22" i="18" s="1"/>
  <c r="N49" i="13"/>
  <c r="O6" i="13"/>
  <c r="O57" i="13" s="1"/>
  <c r="O20" i="4"/>
  <c r="O19" i="4" s="1"/>
  <c r="M13" i="5"/>
  <c r="M26" i="13" s="1"/>
  <c r="O9" i="14"/>
  <c r="N25" i="5"/>
  <c r="N24" i="5" s="1"/>
  <c r="N22" i="5"/>
  <c r="N21" i="5" s="1"/>
  <c r="O20" i="5"/>
  <c r="O18" i="5" s="1"/>
  <c r="O15" i="5"/>
  <c r="O14" i="5" s="1"/>
  <c r="O29" i="5" s="1"/>
  <c r="O27" i="5" s="1"/>
  <c r="O11" i="5"/>
  <c r="O9" i="5" s="1"/>
  <c r="P16" i="4"/>
  <c r="P15" i="4" s="1"/>
  <c r="P14" i="11"/>
  <c r="P13" i="11" s="1"/>
  <c r="P7" i="14"/>
  <c r="P6" i="14" s="1"/>
  <c r="P10" i="14" s="1"/>
  <c r="P9" i="14" s="1"/>
  <c r="P7" i="5"/>
  <c r="P6" i="5" s="1"/>
  <c r="M14" i="12"/>
  <c r="M31" i="12" s="1"/>
  <c r="P10" i="11"/>
  <c r="P9" i="11" s="1"/>
  <c r="P10" i="12"/>
  <c r="Q44" i="4"/>
  <c r="S28" i="4"/>
  <c r="R23" i="4"/>
  <c r="R45" i="4" s="1"/>
  <c r="N56" i="13"/>
  <c r="O10" i="12"/>
  <c r="N10" i="12"/>
  <c r="N18" i="11"/>
  <c r="N23" i="13"/>
  <c r="N59" i="13"/>
  <c r="P21" i="13"/>
  <c r="N11" i="12"/>
  <c r="N19" i="11"/>
  <c r="N12" i="12"/>
  <c r="M20" i="11"/>
  <c r="M17" i="11" s="1"/>
  <c r="O14" i="13"/>
  <c r="O11" i="12"/>
  <c r="P53" i="4"/>
  <c r="P52" i="4" s="1"/>
  <c r="P60" i="4" s="1"/>
  <c r="R46" i="4"/>
  <c r="R10" i="4"/>
  <c r="Q9" i="4"/>
  <c r="Q49" i="4"/>
  <c r="U34" i="4"/>
  <c r="U21" i="4"/>
  <c r="N20" i="13" l="1"/>
  <c r="O8" i="13"/>
  <c r="O50" i="13" s="1"/>
  <c r="O57" i="4"/>
  <c r="Q10" i="13"/>
  <c r="Q58" i="4"/>
  <c r="P28" i="18"/>
  <c r="P27" i="18" s="1"/>
  <c r="O16" i="13"/>
  <c r="O61" i="4"/>
  <c r="O49" i="13"/>
  <c r="R11" i="18"/>
  <c r="R10" i="18" s="1"/>
  <c r="R7" i="18"/>
  <c r="R6" i="18" s="1"/>
  <c r="R15" i="18" s="1"/>
  <c r="R14" i="18" s="1"/>
  <c r="R24" i="18" s="1"/>
  <c r="Q19" i="18"/>
  <c r="Q18" i="18" s="1"/>
  <c r="Q25" i="18" s="1"/>
  <c r="Q23" i="18"/>
  <c r="Q22" i="18" s="1"/>
  <c r="N13" i="5"/>
  <c r="N26" i="13" s="1"/>
  <c r="P6" i="13"/>
  <c r="P57" i="13" s="1"/>
  <c r="P20" i="4"/>
  <c r="P19" i="4" s="1"/>
  <c r="P15" i="5"/>
  <c r="P14" i="5" s="1"/>
  <c r="P29" i="5" s="1"/>
  <c r="P27" i="5" s="1"/>
  <c r="P11" i="5"/>
  <c r="P9" i="5" s="1"/>
  <c r="P20" i="5"/>
  <c r="P18" i="5" s="1"/>
  <c r="O22" i="5"/>
  <c r="O21" i="5" s="1"/>
  <c r="O25" i="5"/>
  <c r="O24" i="5" s="1"/>
  <c r="Q16" i="4"/>
  <c r="Q15" i="4" s="1"/>
  <c r="Q7" i="14"/>
  <c r="Q6" i="14" s="1"/>
  <c r="Q10" i="14" s="1"/>
  <c r="Q7" i="5"/>
  <c r="Q6" i="5" s="1"/>
  <c r="Q14" i="11"/>
  <c r="Q13" i="11" s="1"/>
  <c r="P16" i="14"/>
  <c r="P15" i="12"/>
  <c r="P14" i="12" s="1"/>
  <c r="P31" i="12" s="1"/>
  <c r="P24" i="14"/>
  <c r="O15" i="12"/>
  <c r="O24" i="14"/>
  <c r="O16" i="14"/>
  <c r="Q10" i="11"/>
  <c r="Q9" i="11" s="1"/>
  <c r="Q10" i="12"/>
  <c r="R44" i="4"/>
  <c r="R58" i="4" s="1"/>
  <c r="T28" i="4"/>
  <c r="S23" i="4"/>
  <c r="S45" i="4" s="1"/>
  <c r="Q21" i="13"/>
  <c r="O23" i="13"/>
  <c r="O59" i="13"/>
  <c r="N20" i="11"/>
  <c r="N17" i="11" s="1"/>
  <c r="O12" i="12"/>
  <c r="P14" i="13"/>
  <c r="O18" i="11"/>
  <c r="P11" i="12"/>
  <c r="O19" i="11"/>
  <c r="Q53" i="4"/>
  <c r="Q52" i="4" s="1"/>
  <c r="Q60" i="4" s="1"/>
  <c r="R9" i="4"/>
  <c r="R49" i="4"/>
  <c r="S46" i="4"/>
  <c r="S10" i="4"/>
  <c r="O13" i="5" l="1"/>
  <c r="O26" i="13" s="1"/>
  <c r="P8" i="13"/>
  <c r="P57" i="4"/>
  <c r="O20" i="13"/>
  <c r="O56" i="13"/>
  <c r="O24" i="13"/>
  <c r="O61" i="13"/>
  <c r="Q28" i="18"/>
  <c r="Q27" i="18" s="1"/>
  <c r="P16" i="13"/>
  <c r="P61" i="4"/>
  <c r="R19" i="18"/>
  <c r="R18" i="18" s="1"/>
  <c r="R25" i="18" s="1"/>
  <c r="R23" i="18"/>
  <c r="S11" i="18"/>
  <c r="S10" i="18" s="1"/>
  <c r="S7" i="18"/>
  <c r="S6" i="18" s="1"/>
  <c r="S15" i="18" s="1"/>
  <c r="S14" i="18" s="1"/>
  <c r="S24" i="18" s="1"/>
  <c r="P49" i="13"/>
  <c r="P50" i="13"/>
  <c r="Q6" i="13"/>
  <c r="Q49" i="13" s="1"/>
  <c r="Q20" i="4"/>
  <c r="Q19" i="4" s="1"/>
  <c r="Q57" i="4" s="1"/>
  <c r="Q15" i="5"/>
  <c r="Q14" i="5" s="1"/>
  <c r="Q29" i="5" s="1"/>
  <c r="Q27" i="5" s="1"/>
  <c r="Q20" i="5"/>
  <c r="Q18" i="5" s="1"/>
  <c r="Q11" i="5"/>
  <c r="Q9" i="5" s="1"/>
  <c r="Q9" i="14"/>
  <c r="R16" i="4"/>
  <c r="R15" i="4" s="1"/>
  <c r="R14" i="11"/>
  <c r="R13" i="11" s="1"/>
  <c r="R7" i="14"/>
  <c r="R6" i="14" s="1"/>
  <c r="R10" i="14" s="1"/>
  <c r="R9" i="14" s="1"/>
  <c r="R7" i="5"/>
  <c r="R6" i="5" s="1"/>
  <c r="O14" i="12"/>
  <c r="O31" i="12" s="1"/>
  <c r="P25" i="5"/>
  <c r="P24" i="5" s="1"/>
  <c r="P22" i="5"/>
  <c r="P21" i="5" s="1"/>
  <c r="R10" i="11"/>
  <c r="R9" i="11" s="1"/>
  <c r="R10" i="13"/>
  <c r="R21" i="13" s="1"/>
  <c r="S44" i="4"/>
  <c r="S58" i="4" s="1"/>
  <c r="U28" i="4"/>
  <c r="U23" i="4" s="1"/>
  <c r="U45" i="4" s="1"/>
  <c r="T23" i="4"/>
  <c r="T45" i="4" s="1"/>
  <c r="P56" i="13"/>
  <c r="P23" i="13"/>
  <c r="P59" i="13"/>
  <c r="O20" i="11"/>
  <c r="O17" i="11" s="1"/>
  <c r="P19" i="11"/>
  <c r="Q14" i="13"/>
  <c r="Q11" i="12"/>
  <c r="P20" i="13"/>
  <c r="P12" i="12"/>
  <c r="R10" i="12"/>
  <c r="P18" i="11"/>
  <c r="R53" i="4"/>
  <c r="R52" i="4" s="1"/>
  <c r="R60" i="4" s="1"/>
  <c r="S9" i="4"/>
  <c r="S49" i="4"/>
  <c r="T46" i="4"/>
  <c r="T10" i="4"/>
  <c r="R22" i="18" l="1"/>
  <c r="R28" i="18" s="1"/>
  <c r="R27" i="18" s="1"/>
  <c r="Q16" i="13"/>
  <c r="Q61" i="4"/>
  <c r="P24" i="13"/>
  <c r="P61" i="13"/>
  <c r="T11" i="18"/>
  <c r="T10" i="18" s="1"/>
  <c r="T7" i="18"/>
  <c r="T6" i="18" s="1"/>
  <c r="T15" i="18" s="1"/>
  <c r="T14" i="18" s="1"/>
  <c r="T24" i="18" s="1"/>
  <c r="S19" i="18"/>
  <c r="S18" i="18" s="1"/>
  <c r="S25" i="18" s="1"/>
  <c r="S23" i="18"/>
  <c r="S22" i="18" s="1"/>
  <c r="Q57" i="13"/>
  <c r="Q8" i="13"/>
  <c r="Q50" i="13" s="1"/>
  <c r="P13" i="5"/>
  <c r="P26" i="13" s="1"/>
  <c r="R20" i="4"/>
  <c r="R19" i="4" s="1"/>
  <c r="R57" i="4" s="1"/>
  <c r="R6" i="13"/>
  <c r="R49" i="13" s="1"/>
  <c r="R20" i="5"/>
  <c r="R18" i="5" s="1"/>
  <c r="R15" i="5"/>
  <c r="R14" i="5" s="1"/>
  <c r="R29" i="5" s="1"/>
  <c r="R27" i="5" s="1"/>
  <c r="R11" i="5"/>
  <c r="R9" i="5" s="1"/>
  <c r="R15" i="12"/>
  <c r="R14" i="12" s="1"/>
  <c r="R31" i="12" s="1"/>
  <c r="R24" i="14"/>
  <c r="R16" i="14"/>
  <c r="Q15" i="12"/>
  <c r="Q24" i="14"/>
  <c r="Q16" i="14"/>
  <c r="S16" i="4"/>
  <c r="S15" i="4" s="1"/>
  <c r="S14" i="11"/>
  <c r="S13" i="11" s="1"/>
  <c r="S7" i="14"/>
  <c r="S6" i="14" s="1"/>
  <c r="S10" i="14" s="1"/>
  <c r="S9" i="14" s="1"/>
  <c r="S7" i="5"/>
  <c r="S6" i="5" s="1"/>
  <c r="Q25" i="5"/>
  <c r="Q24" i="5" s="1"/>
  <c r="Q22" i="5"/>
  <c r="Q21" i="5" s="1"/>
  <c r="R57" i="13"/>
  <c r="S10" i="11"/>
  <c r="S9" i="11" s="1"/>
  <c r="S10" i="12"/>
  <c r="S10" i="13"/>
  <c r="T44" i="4"/>
  <c r="Q56" i="13"/>
  <c r="Q23" i="13"/>
  <c r="Q59" i="13"/>
  <c r="P20" i="11"/>
  <c r="P17" i="11" s="1"/>
  <c r="Q20" i="13"/>
  <c r="Q12" i="12"/>
  <c r="Q18" i="11"/>
  <c r="Q19" i="11"/>
  <c r="R14" i="13"/>
  <c r="R11" i="12"/>
  <c r="S53" i="4"/>
  <c r="S52" i="4" s="1"/>
  <c r="S60" i="4" s="1"/>
  <c r="T9" i="4"/>
  <c r="T49" i="4"/>
  <c r="U10" i="4"/>
  <c r="U46" i="4"/>
  <c r="U44" i="4" s="1"/>
  <c r="U58" i="4" s="1"/>
  <c r="R61" i="4" l="1"/>
  <c r="R16" i="13"/>
  <c r="T10" i="13"/>
  <c r="T58" i="4"/>
  <c r="Q24" i="13"/>
  <c r="Q61" i="13"/>
  <c r="R24" i="13"/>
  <c r="R61" i="13"/>
  <c r="S28" i="18"/>
  <c r="S27" i="18" s="1"/>
  <c r="T23" i="18"/>
  <c r="T19" i="18"/>
  <c r="T18" i="18" s="1"/>
  <c r="T25" i="18" s="1"/>
  <c r="U11" i="18"/>
  <c r="U10" i="18" s="1"/>
  <c r="U7" i="18"/>
  <c r="U6" i="18" s="1"/>
  <c r="U15" i="18" s="1"/>
  <c r="U14" i="18" s="1"/>
  <c r="U24" i="18" s="1"/>
  <c r="Q13" i="5"/>
  <c r="Q26" i="13" s="1"/>
  <c r="S20" i="4"/>
  <c r="S19" i="4" s="1"/>
  <c r="S57" i="4" s="1"/>
  <c r="S6" i="13"/>
  <c r="S57" i="13" s="1"/>
  <c r="R8" i="13"/>
  <c r="R50" i="13" s="1"/>
  <c r="T16" i="4"/>
  <c r="T15" i="4" s="1"/>
  <c r="T14" i="11"/>
  <c r="T13" i="11" s="1"/>
  <c r="T7" i="14"/>
  <c r="T6" i="14" s="1"/>
  <c r="T10" i="14" s="1"/>
  <c r="T9" i="14" s="1"/>
  <c r="T7" i="5"/>
  <c r="T6" i="5" s="1"/>
  <c r="S20" i="5"/>
  <c r="S18" i="5" s="1"/>
  <c r="S15" i="5"/>
  <c r="S14" i="5" s="1"/>
  <c r="S29" i="5" s="1"/>
  <c r="S27" i="5" s="1"/>
  <c r="S11" i="5"/>
  <c r="S9" i="5" s="1"/>
  <c r="Q14" i="12"/>
  <c r="Q31" i="12" s="1"/>
  <c r="R25" i="5"/>
  <c r="R24" i="5" s="1"/>
  <c r="R22" i="5"/>
  <c r="R21" i="5" s="1"/>
  <c r="S16" i="14"/>
  <c r="S15" i="12"/>
  <c r="S14" i="12" s="1"/>
  <c r="S31" i="12" s="1"/>
  <c r="S24" i="14"/>
  <c r="V44" i="4"/>
  <c r="T10" i="11"/>
  <c r="T9" i="11" s="1"/>
  <c r="S21" i="13"/>
  <c r="R23" i="13"/>
  <c r="R59" i="13"/>
  <c r="T21" i="13"/>
  <c r="Q20" i="11"/>
  <c r="Q17" i="11" s="1"/>
  <c r="R12" i="12"/>
  <c r="T10" i="12"/>
  <c r="R18" i="11"/>
  <c r="S11" i="12"/>
  <c r="S14" i="13"/>
  <c r="U10" i="13"/>
  <c r="V10" i="13" s="1"/>
  <c r="R19" i="11"/>
  <c r="T53" i="4"/>
  <c r="T52" i="4" s="1"/>
  <c r="T60" i="4" s="1"/>
  <c r="U9" i="4"/>
  <c r="U49" i="4"/>
  <c r="T22" i="18" l="1"/>
  <c r="T28" i="18"/>
  <c r="T27" i="18" s="1"/>
  <c r="S16" i="13"/>
  <c r="S61" i="4"/>
  <c r="U23" i="18"/>
  <c r="U19" i="18"/>
  <c r="U18" i="18" s="1"/>
  <c r="U25" i="18" s="1"/>
  <c r="S49" i="13"/>
  <c r="R20" i="13"/>
  <c r="R13" i="5"/>
  <c r="R26" i="13" s="1"/>
  <c r="T6" i="13"/>
  <c r="T49" i="13" s="1"/>
  <c r="T20" i="4"/>
  <c r="T19" i="4" s="1"/>
  <c r="T57" i="4" s="1"/>
  <c r="S8" i="13"/>
  <c r="S50" i="13" s="1"/>
  <c r="R56" i="13"/>
  <c r="T15" i="5"/>
  <c r="T14" i="5" s="1"/>
  <c r="T29" i="5" s="1"/>
  <c r="T27" i="5" s="1"/>
  <c r="T11" i="5"/>
  <c r="T9" i="5" s="1"/>
  <c r="T20" i="5"/>
  <c r="T18" i="5" s="1"/>
  <c r="U16" i="4"/>
  <c r="U15" i="4" s="1"/>
  <c r="U7" i="14"/>
  <c r="U6" i="14" s="1"/>
  <c r="U10" i="14" s="1"/>
  <c r="U7" i="5"/>
  <c r="U6" i="5" s="1"/>
  <c r="U14" i="11"/>
  <c r="U13" i="11" s="1"/>
  <c r="S22" i="5"/>
  <c r="S21" i="5" s="1"/>
  <c r="S25" i="5"/>
  <c r="S24" i="5" s="1"/>
  <c r="T15" i="12"/>
  <c r="T14" i="12" s="1"/>
  <c r="T31" i="12" s="1"/>
  <c r="T24" i="14"/>
  <c r="T16" i="14"/>
  <c r="V58" i="4"/>
  <c r="U10" i="11"/>
  <c r="U9" i="11" s="1"/>
  <c r="V9" i="4"/>
  <c r="S23" i="13"/>
  <c r="S59" i="13"/>
  <c r="U21" i="13"/>
  <c r="V21" i="13" s="1"/>
  <c r="R20" i="11"/>
  <c r="R17" i="11" s="1"/>
  <c r="S18" i="11"/>
  <c r="T11" i="12"/>
  <c r="T14" i="13"/>
  <c r="S19" i="11"/>
  <c r="S12" i="12"/>
  <c r="U53" i="4"/>
  <c r="U52" i="4" s="1"/>
  <c r="U22" i="18" l="1"/>
  <c r="U28" i="18" s="1"/>
  <c r="U27" i="18" s="1"/>
  <c r="V52" i="4"/>
  <c r="U60" i="4"/>
  <c r="S24" i="13"/>
  <c r="S61" i="13"/>
  <c r="T16" i="13"/>
  <c r="T61" i="4"/>
  <c r="T57" i="13"/>
  <c r="S20" i="13"/>
  <c r="S56" i="13"/>
  <c r="T8" i="13"/>
  <c r="T50" i="13" s="1"/>
  <c r="S13" i="5"/>
  <c r="S26" i="13" s="1"/>
  <c r="V15" i="4"/>
  <c r="U6" i="13"/>
  <c r="U49" i="13" s="1"/>
  <c r="U20" i="4"/>
  <c r="U19" i="4" s="1"/>
  <c r="U20" i="5"/>
  <c r="U18" i="5" s="1"/>
  <c r="U11" i="5"/>
  <c r="U9" i="5" s="1"/>
  <c r="U15" i="5"/>
  <c r="U14" i="5" s="1"/>
  <c r="U29" i="5" s="1"/>
  <c r="U27" i="5" s="1"/>
  <c r="T25" i="5"/>
  <c r="T24" i="5" s="1"/>
  <c r="T22" i="5"/>
  <c r="T21" i="5" s="1"/>
  <c r="U9" i="14"/>
  <c r="V10" i="14"/>
  <c r="T23" i="13"/>
  <c r="T59" i="13"/>
  <c r="U10" i="12"/>
  <c r="V10" i="12" s="1"/>
  <c r="S20" i="11"/>
  <c r="S17" i="11" s="1"/>
  <c r="V60" i="4"/>
  <c r="U14" i="13"/>
  <c r="V14" i="13" s="1"/>
  <c r="T19" i="11"/>
  <c r="T12" i="12"/>
  <c r="T18" i="11"/>
  <c r="J59" i="4"/>
  <c r="J56" i="4" s="1"/>
  <c r="N48" i="4"/>
  <c r="N59" i="4" s="1"/>
  <c r="N56" i="4" s="1"/>
  <c r="P48" i="4"/>
  <c r="P59" i="4" s="1"/>
  <c r="P56" i="4" s="1"/>
  <c r="L48" i="4"/>
  <c r="L59" i="4" s="1"/>
  <c r="L56" i="4" s="1"/>
  <c r="O48" i="4"/>
  <c r="O59" i="4" s="1"/>
  <c r="O56" i="4" s="1"/>
  <c r="Q48" i="4"/>
  <c r="Q59" i="4" s="1"/>
  <c r="Q56" i="4" s="1"/>
  <c r="S48" i="4"/>
  <c r="S59" i="4" s="1"/>
  <c r="S56" i="4" s="1"/>
  <c r="T48" i="4"/>
  <c r="T59" i="4" s="1"/>
  <c r="T56" i="4" s="1"/>
  <c r="M48" i="4"/>
  <c r="M59" i="4" s="1"/>
  <c r="M56" i="4" s="1"/>
  <c r="U48" i="4"/>
  <c r="U59" i="4" s="1"/>
  <c r="K48" i="4"/>
  <c r="K59" i="4" s="1"/>
  <c r="K56" i="4" s="1"/>
  <c r="R48" i="4"/>
  <c r="R59" i="4" s="1"/>
  <c r="R56" i="4" s="1"/>
  <c r="T24" i="13" l="1"/>
  <c r="T61" i="13"/>
  <c r="U16" i="13"/>
  <c r="U61" i="4"/>
  <c r="V61" i="4" s="1"/>
  <c r="V19" i="4"/>
  <c r="U57" i="4"/>
  <c r="V57" i="4" s="1"/>
  <c r="U57" i="13"/>
  <c r="U8" i="13"/>
  <c r="U50" i="13" s="1"/>
  <c r="V6" i="13"/>
  <c r="V49" i="13" s="1"/>
  <c r="T13" i="5"/>
  <c r="T26" i="13" s="1"/>
  <c r="T20" i="13"/>
  <c r="T56" i="13"/>
  <c r="U24" i="14"/>
  <c r="U16" i="14"/>
  <c r="U15" i="12"/>
  <c r="V9" i="14"/>
  <c r="U25" i="5"/>
  <c r="U24" i="5" s="1"/>
  <c r="U22" i="5"/>
  <c r="U21" i="5" s="1"/>
  <c r="V48" i="4"/>
  <c r="U11" i="12"/>
  <c r="V11" i="12" s="1"/>
  <c r="U23" i="13"/>
  <c r="V23" i="13" s="1"/>
  <c r="U59" i="13"/>
  <c r="K12" i="13"/>
  <c r="N12" i="13"/>
  <c r="M12" i="13"/>
  <c r="L12" i="13"/>
  <c r="T20" i="11"/>
  <c r="T17" i="11" s="1"/>
  <c r="U12" i="13"/>
  <c r="T12" i="13"/>
  <c r="Q12" i="13"/>
  <c r="O12" i="13"/>
  <c r="R12" i="13"/>
  <c r="U18" i="11"/>
  <c r="S12" i="13"/>
  <c r="P12" i="13"/>
  <c r="U19" i="11"/>
  <c r="U20" i="13"/>
  <c r="U12" i="12"/>
  <c r="V12" i="12" s="1"/>
  <c r="U24" i="13" l="1"/>
  <c r="U61" i="13"/>
  <c r="V16" i="13"/>
  <c r="U56" i="4"/>
  <c r="V56" i="4" s="1"/>
  <c r="V57" i="13"/>
  <c r="V59" i="13"/>
  <c r="U56" i="13"/>
  <c r="V8" i="13"/>
  <c r="V50" i="13" s="1"/>
  <c r="V20" i="13"/>
  <c r="U13" i="5"/>
  <c r="U26" i="13" s="1"/>
  <c r="U14" i="12"/>
  <c r="U31" i="12" s="1"/>
  <c r="V15" i="12"/>
  <c r="V59" i="4"/>
  <c r="V12" i="13"/>
  <c r="V58" i="13" s="1"/>
  <c r="R22" i="13"/>
  <c r="R58" i="13"/>
  <c r="Q22" i="13"/>
  <c r="Q58" i="13"/>
  <c r="U22" i="13"/>
  <c r="U58" i="13"/>
  <c r="M22" i="13"/>
  <c r="M58" i="13"/>
  <c r="K22" i="13"/>
  <c r="K19" i="13" s="1"/>
  <c r="K58" i="13"/>
  <c r="S22" i="13"/>
  <c r="S58" i="13"/>
  <c r="O22" i="13"/>
  <c r="O58" i="13"/>
  <c r="T22" i="13"/>
  <c r="T58" i="13"/>
  <c r="P22" i="13"/>
  <c r="P58" i="13"/>
  <c r="L22" i="13"/>
  <c r="L58" i="13"/>
  <c r="N22" i="13"/>
  <c r="N58" i="13"/>
  <c r="U20" i="11"/>
  <c r="U17" i="11" s="1"/>
  <c r="U19" i="13" l="1"/>
  <c r="V24" i="13"/>
  <c r="V61" i="13"/>
  <c r="M19" i="13"/>
  <c r="M29" i="13" s="1"/>
  <c r="Q19" i="13"/>
  <c r="Q51" i="13" s="1"/>
  <c r="L19" i="13"/>
  <c r="L29" i="13" s="1"/>
  <c r="S19" i="13"/>
  <c r="S51" i="13" s="1"/>
  <c r="T19" i="13"/>
  <c r="T29" i="13" s="1"/>
  <c r="N19" i="13"/>
  <c r="N51" i="13" s="1"/>
  <c r="P19" i="13"/>
  <c r="P29" i="13" s="1"/>
  <c r="O19" i="13"/>
  <c r="O51" i="13" s="1"/>
  <c r="R19" i="13"/>
  <c r="R29" i="13" s="1"/>
  <c r="V56" i="13"/>
  <c r="K29" i="13"/>
  <c r="V22" i="13"/>
  <c r="U29" i="13"/>
  <c r="U51" i="13"/>
  <c r="J32" i="13"/>
  <c r="M51" i="13" l="1"/>
  <c r="P51" i="13"/>
  <c r="S29" i="13"/>
  <c r="R51" i="13"/>
  <c r="Q29" i="13"/>
  <c r="L51" i="13"/>
  <c r="T51" i="13"/>
  <c r="O29" i="13"/>
  <c r="N29" i="13"/>
  <c r="K51" i="13"/>
  <c r="V19" i="13"/>
  <c r="V51" i="13" s="1"/>
  <c r="J38" i="13"/>
  <c r="J9" i="12"/>
  <c r="V29" i="13" l="1"/>
  <c r="J36" i="13"/>
  <c r="J41" i="13" s="1"/>
  <c r="J40" i="13" s="1"/>
  <c r="J46" i="13" s="1"/>
  <c r="J45" i="13" l="1"/>
  <c r="J44" i="13" s="1"/>
  <c r="J53" i="13" l="1"/>
  <c r="J7" i="12"/>
  <c r="J6" i="12" s="1"/>
  <c r="J30" i="12" s="1"/>
  <c r="K31" i="12"/>
  <c r="V31" i="12" s="1"/>
  <c r="V14" i="12"/>
  <c r="L15" i="14"/>
  <c r="L14" i="14" s="1"/>
  <c r="K19" i="14"/>
  <c r="K18" i="14" s="1"/>
  <c r="K25" i="14" l="1"/>
  <c r="K8" i="12"/>
  <c r="M15" i="14"/>
  <c r="M14" i="14" s="1"/>
  <c r="L19" i="14"/>
  <c r="L18" i="14" s="1"/>
  <c r="K22" i="14" l="1"/>
  <c r="L23" i="14" s="1"/>
  <c r="L25" i="14"/>
  <c r="L8" i="12"/>
  <c r="N15" i="14"/>
  <c r="N14" i="14" s="1"/>
  <c r="M19" i="14"/>
  <c r="M18" i="14" s="1"/>
  <c r="L22" i="14" l="1"/>
  <c r="M23" i="14" s="1"/>
  <c r="K60" i="13"/>
  <c r="K55" i="13" s="1"/>
  <c r="K30" i="13"/>
  <c r="K28" i="13" s="1"/>
  <c r="K37" i="13" s="1"/>
  <c r="M25" i="14"/>
  <c r="M8" i="12"/>
  <c r="O15" i="14"/>
  <c r="O14" i="14" s="1"/>
  <c r="N19" i="14"/>
  <c r="N18" i="14" s="1"/>
  <c r="L30" i="13" l="1"/>
  <c r="L28" i="13" s="1"/>
  <c r="L37" i="13" s="1"/>
  <c r="L60" i="13"/>
  <c r="L55" i="13" s="1"/>
  <c r="M22" i="14"/>
  <c r="N23" i="14" s="1"/>
  <c r="K52" i="13"/>
  <c r="N25" i="14"/>
  <c r="N8" i="12"/>
  <c r="P15" i="14"/>
  <c r="P14" i="14" s="1"/>
  <c r="O19" i="14"/>
  <c r="O18" i="14" s="1"/>
  <c r="N22" i="14" l="1"/>
  <c r="L52" i="13"/>
  <c r="M60" i="13"/>
  <c r="M55" i="13" s="1"/>
  <c r="M30" i="13"/>
  <c r="M28" i="13" s="1"/>
  <c r="M37" i="13" s="1"/>
  <c r="O23" i="14"/>
  <c r="O25" i="14"/>
  <c r="O8" i="12"/>
  <c r="Q15" i="14"/>
  <c r="Q14" i="14" s="1"/>
  <c r="P19" i="14"/>
  <c r="P18" i="14" s="1"/>
  <c r="N30" i="13" l="1"/>
  <c r="N28" i="13" s="1"/>
  <c r="N52" i="13" s="1"/>
  <c r="N60" i="13"/>
  <c r="N55" i="13" s="1"/>
  <c r="M52" i="13"/>
  <c r="O22" i="14"/>
  <c r="P23" i="14" s="1"/>
  <c r="P25" i="14"/>
  <c r="P8" i="12"/>
  <c r="R15" i="14"/>
  <c r="R14" i="14" s="1"/>
  <c r="Q19" i="14"/>
  <c r="Q18" i="14" s="1"/>
  <c r="N37" i="13" l="1"/>
  <c r="P22" i="14"/>
  <c r="Q23" i="14" s="1"/>
  <c r="O30" i="13"/>
  <c r="O28" i="13" s="1"/>
  <c r="O52" i="13" s="1"/>
  <c r="O60" i="13"/>
  <c r="O55" i="13" s="1"/>
  <c r="Q25" i="14"/>
  <c r="Q8" i="12"/>
  <c r="S15" i="14"/>
  <c r="S14" i="14" s="1"/>
  <c r="R19" i="14"/>
  <c r="R18" i="14" s="1"/>
  <c r="O37" i="13" l="1"/>
  <c r="P60" i="13"/>
  <c r="P55" i="13" s="1"/>
  <c r="P30" i="13"/>
  <c r="P28" i="13" s="1"/>
  <c r="P52" i="13" s="1"/>
  <c r="Q22" i="14"/>
  <c r="R23" i="14" s="1"/>
  <c r="R25" i="14"/>
  <c r="R8" i="12"/>
  <c r="T15" i="14"/>
  <c r="T14" i="14" s="1"/>
  <c r="S19" i="14"/>
  <c r="S18" i="14" s="1"/>
  <c r="R22" i="14" l="1"/>
  <c r="S23" i="14" s="1"/>
  <c r="P37" i="13"/>
  <c r="Q60" i="13"/>
  <c r="Q55" i="13" s="1"/>
  <c r="Q30" i="13"/>
  <c r="Q28" i="13" s="1"/>
  <c r="Q37" i="13" s="1"/>
  <c r="R30" i="13"/>
  <c r="R28" i="13" s="1"/>
  <c r="S25" i="14"/>
  <c r="S8" i="12"/>
  <c r="U15" i="14"/>
  <c r="U14" i="14" s="1"/>
  <c r="T19" i="14"/>
  <c r="T18" i="14" s="1"/>
  <c r="Q52" i="13" l="1"/>
  <c r="S22" i="14"/>
  <c r="T23" i="14" s="1"/>
  <c r="R60" i="13"/>
  <c r="R55" i="13" s="1"/>
  <c r="R37" i="13"/>
  <c r="R52" i="13"/>
  <c r="T25" i="14"/>
  <c r="T8" i="12"/>
  <c r="U19" i="14"/>
  <c r="U18" i="14" s="1"/>
  <c r="V18" i="14" s="1"/>
  <c r="T22" i="14" l="1"/>
  <c r="U23" i="14" s="1"/>
  <c r="S60" i="13"/>
  <c r="S55" i="13" s="1"/>
  <c r="S30" i="13"/>
  <c r="S28" i="13" s="1"/>
  <c r="S52" i="13" s="1"/>
  <c r="U25" i="14"/>
  <c r="U8" i="12"/>
  <c r="V8" i="12" s="1"/>
  <c r="S37" i="13" l="1"/>
  <c r="T30" i="13"/>
  <c r="T28" i="13" s="1"/>
  <c r="T52" i="13" s="1"/>
  <c r="T60" i="13"/>
  <c r="T55" i="13" s="1"/>
  <c r="U22" i="14"/>
  <c r="T37" i="13" l="1"/>
  <c r="V26" i="13"/>
  <c r="V60" i="13" s="1"/>
  <c r="V55" i="13" s="1"/>
  <c r="U60" i="13"/>
  <c r="U55" i="13" s="1"/>
  <c r="U30" i="13"/>
  <c r="U28" i="13" s="1"/>
  <c r="V28" i="13" s="1"/>
  <c r="V52" i="13" s="1"/>
  <c r="V30" i="13" l="1"/>
  <c r="U37" i="13"/>
  <c r="V37" i="13" s="1"/>
  <c r="U52" i="13"/>
  <c r="J21" i="12" l="1"/>
  <c r="J32" i="12" s="1"/>
  <c r="J29" i="12" s="1"/>
  <c r="J36" i="12" l="1"/>
  <c r="J34" i="12" s="1"/>
  <c r="J22" i="15" l="1"/>
  <c r="J20" i="15" s="1"/>
  <c r="K35" i="12"/>
  <c r="K21" i="15" l="1"/>
  <c r="J19" i="15"/>
  <c r="K26" i="12" l="1"/>
  <c r="K21" i="12" s="1"/>
  <c r="K33" i="13"/>
  <c r="K32" i="13" l="1"/>
  <c r="K9" i="12" s="1"/>
  <c r="K38" i="13" l="1"/>
  <c r="K32" i="12"/>
  <c r="K36" i="13" l="1"/>
  <c r="K41" i="13" s="1"/>
  <c r="K40" i="13" s="1"/>
  <c r="K46" i="13" l="1"/>
  <c r="K45" i="13"/>
  <c r="K44" i="13" l="1"/>
  <c r="K7" i="12" l="1"/>
  <c r="K6" i="12" s="1"/>
  <c r="K30" i="12" s="1"/>
  <c r="K29" i="12" s="1"/>
  <c r="K53" i="13"/>
  <c r="K36" i="12" l="1"/>
  <c r="K34" i="12" s="1"/>
  <c r="L35" i="12" l="1"/>
  <c r="K22" i="15"/>
  <c r="L21" i="15" l="1"/>
  <c r="K20" i="15"/>
  <c r="K19" i="15" s="1"/>
  <c r="L26" i="12" l="1"/>
  <c r="L33" i="13"/>
  <c r="L32" i="13" l="1"/>
  <c r="L21" i="12"/>
  <c r="L38" i="13" l="1"/>
  <c r="L9" i="12"/>
  <c r="L32" i="12"/>
  <c r="L36" i="13" l="1"/>
  <c r="L41" i="13" s="1"/>
  <c r="L40" i="13" s="1"/>
  <c r="L46" i="13" s="1"/>
  <c r="L45" i="13" l="1"/>
  <c r="L44" i="13" l="1"/>
  <c r="L7" i="12" l="1"/>
  <c r="L6" i="12" s="1"/>
  <c r="L30" i="12" s="1"/>
  <c r="L29" i="12" s="1"/>
  <c r="L36" i="12" s="1"/>
  <c r="L34" i="12" s="1"/>
  <c r="L53" i="13"/>
  <c r="L22" i="15" l="1"/>
  <c r="M35" i="12"/>
  <c r="M21" i="15" l="1"/>
  <c r="L20" i="15"/>
  <c r="L19" i="15" s="1"/>
  <c r="M33" i="13" l="1"/>
  <c r="M26" i="12"/>
  <c r="M32" i="13" l="1"/>
  <c r="M9" i="12" s="1"/>
  <c r="M21" i="12"/>
  <c r="M38" i="13" l="1"/>
  <c r="M36" i="13" s="1"/>
  <c r="M41" i="13" s="1"/>
  <c r="M40" i="13" s="1"/>
  <c r="M32" i="12"/>
  <c r="M45" i="13" l="1"/>
  <c r="M46" i="13"/>
  <c r="M44" i="13" l="1"/>
  <c r="M53" i="13" l="1"/>
  <c r="M7" i="12"/>
  <c r="M6" i="12" s="1"/>
  <c r="M30" i="12" s="1"/>
  <c r="M29" i="12" l="1"/>
  <c r="M36" i="12" l="1"/>
  <c r="M34" i="12" s="1"/>
  <c r="N35" i="12" l="1"/>
  <c r="M22" i="15"/>
  <c r="M20" i="15" l="1"/>
  <c r="M19" i="15" s="1"/>
  <c r="N21" i="15"/>
  <c r="N26" i="12" l="1"/>
  <c r="N33" i="13"/>
  <c r="N32" i="13" l="1"/>
  <c r="N38" i="13" s="1"/>
  <c r="N21" i="12"/>
  <c r="N9" i="12" l="1"/>
  <c r="N36" i="13"/>
  <c r="N41" i="13" s="1"/>
  <c r="N32" i="12"/>
  <c r="N45" i="13" l="1"/>
  <c r="N40" i="13"/>
  <c r="N46" i="13" l="1"/>
  <c r="N44" i="13" s="1"/>
  <c r="N53" i="13" l="1"/>
  <c r="N7" i="12"/>
  <c r="N6" i="12" s="1"/>
  <c r="N30" i="12" s="1"/>
  <c r="N29" i="12" l="1"/>
  <c r="N36" i="12" l="1"/>
  <c r="N34" i="12" s="1"/>
  <c r="N22" i="15" l="1"/>
  <c r="O35" i="12"/>
  <c r="O21" i="15" l="1"/>
  <c r="N20" i="15"/>
  <c r="N19" i="15" s="1"/>
  <c r="O33" i="13" l="1"/>
  <c r="O26" i="12"/>
  <c r="O32" i="13" l="1"/>
  <c r="O38" i="13" s="1"/>
  <c r="O21" i="12"/>
  <c r="O9" i="12" l="1"/>
  <c r="O36" i="13"/>
  <c r="O32" i="12"/>
  <c r="O45" i="13" l="1"/>
  <c r="O41" i="13"/>
  <c r="O40" i="13" s="1"/>
  <c r="O46" i="13" s="1"/>
  <c r="O44" i="13" l="1"/>
  <c r="O53" i="13" s="1"/>
  <c r="O7" i="12" l="1"/>
  <c r="O6" i="12" s="1"/>
  <c r="O30" i="12" s="1"/>
  <c r="O29" i="12" l="1"/>
  <c r="O36" i="12" s="1"/>
  <c r="O34" i="12" s="1"/>
  <c r="O22" i="15" l="1"/>
  <c r="P35" i="12"/>
  <c r="O20" i="15" l="1"/>
  <c r="O19" i="15" s="1"/>
  <c r="P21" i="15"/>
  <c r="P26" i="12" l="1"/>
  <c r="P21" i="12" s="1"/>
  <c r="P32" i="12" s="1"/>
  <c r="P33" i="13"/>
  <c r="P32" i="13" s="1"/>
  <c r="P9" i="12" l="1"/>
  <c r="P38" i="13"/>
  <c r="P36" i="13" s="1"/>
  <c r="P45" i="13" l="1"/>
  <c r="P41" i="13"/>
  <c r="P40" i="13" s="1"/>
  <c r="P46" i="13" s="1"/>
  <c r="P44" i="13" l="1"/>
  <c r="P53" i="13" s="1"/>
  <c r="P7" i="12" l="1"/>
  <c r="P6" i="12" s="1"/>
  <c r="P30" i="12" s="1"/>
  <c r="P29" i="12" s="1"/>
  <c r="P36" i="12" s="1"/>
  <c r="P34" i="12" s="1"/>
  <c r="P22" i="15" s="1"/>
  <c r="Q35" i="12" l="1"/>
  <c r="Q21" i="15"/>
  <c r="P20" i="15"/>
  <c r="P19" i="15" s="1"/>
  <c r="Q26" i="12" l="1"/>
  <c r="Q21" i="12" s="1"/>
  <c r="Q32" i="12" s="1"/>
  <c r="Q33" i="13"/>
  <c r="Q32" i="13" s="1"/>
  <c r="Q9" i="12" l="1"/>
  <c r="Q38" i="13"/>
  <c r="Q36" i="13" s="1"/>
  <c r="Q45" i="13" l="1"/>
  <c r="Q41" i="13"/>
  <c r="Q40" i="13" s="1"/>
  <c r="Q46" i="13" s="1"/>
  <c r="Q44" i="13" l="1"/>
  <c r="Q7" i="12" s="1"/>
  <c r="Q6" i="12" s="1"/>
  <c r="Q30" i="12" s="1"/>
  <c r="Q29" i="12" s="1"/>
  <c r="Q36" i="12" s="1"/>
  <c r="Q34" i="12" s="1"/>
  <c r="Q53" i="13" l="1"/>
  <c r="Q22" i="15"/>
  <c r="R35" i="12"/>
  <c r="R21" i="15" l="1"/>
  <c r="Q20" i="15"/>
  <c r="Q19" i="15" s="1"/>
  <c r="R33" i="13" l="1"/>
  <c r="R32" i="13" s="1"/>
  <c r="R26" i="12"/>
  <c r="R21" i="12" s="1"/>
  <c r="R32" i="12" s="1"/>
  <c r="R9" i="12" l="1"/>
  <c r="R38" i="13"/>
  <c r="R36" i="13" s="1"/>
  <c r="R45" i="13" l="1"/>
  <c r="R41" i="13"/>
  <c r="R40" i="13" s="1"/>
  <c r="R46" i="13" s="1"/>
  <c r="R44" i="13" l="1"/>
  <c r="R53" i="13" s="1"/>
  <c r="R7" i="12" l="1"/>
  <c r="R6" i="12" s="1"/>
  <c r="R30" i="12" s="1"/>
  <c r="R29" i="12" s="1"/>
  <c r="R36" i="12" s="1"/>
  <c r="R34" i="12" s="1"/>
  <c r="R22" i="15" s="1"/>
  <c r="S21" i="15" s="1"/>
  <c r="R20" i="15" l="1"/>
  <c r="R19" i="15" s="1"/>
  <c r="S33" i="13" s="1"/>
  <c r="S32" i="13" s="1"/>
  <c r="S35" i="12"/>
  <c r="S26" i="12" l="1"/>
  <c r="S21" i="12" s="1"/>
  <c r="S32" i="12" s="1"/>
  <c r="S9" i="12"/>
  <c r="S38" i="13"/>
  <c r="S36" i="13" s="1"/>
  <c r="S45" i="13" l="1"/>
  <c r="S41" i="13"/>
  <c r="S40" i="13" s="1"/>
  <c r="S46" i="13" s="1"/>
  <c r="S44" i="13" l="1"/>
  <c r="S53" i="13" s="1"/>
  <c r="S7" i="12" l="1"/>
  <c r="S6" i="12" s="1"/>
  <c r="S30" i="12" s="1"/>
  <c r="S29" i="12" s="1"/>
  <c r="S36" i="12" s="1"/>
  <c r="S34" i="12" s="1"/>
  <c r="T35" i="12" s="1"/>
  <c r="S22" i="15" l="1"/>
  <c r="T21" i="15" s="1"/>
  <c r="S20" i="15" l="1"/>
  <c r="S19" i="15" s="1"/>
  <c r="T26" i="12" s="1"/>
  <c r="T21" i="12" s="1"/>
  <c r="T32" i="12" s="1"/>
  <c r="T33" i="13" l="1"/>
  <c r="T32" i="13" s="1"/>
  <c r="T38" i="13" s="1"/>
  <c r="T36" i="13" s="1"/>
  <c r="T9" i="12" l="1"/>
  <c r="T45" i="13"/>
  <c r="T41" i="13"/>
  <c r="T40" i="13" s="1"/>
  <c r="T46" i="13" s="1"/>
  <c r="T44" i="13" l="1"/>
  <c r="T53" i="13" s="1"/>
  <c r="T7" i="12" l="1"/>
  <c r="T6" i="12" s="1"/>
  <c r="T30" i="12" s="1"/>
  <c r="T29" i="12" s="1"/>
  <c r="T36" i="12" s="1"/>
  <c r="T34" i="12" s="1"/>
  <c r="U35" i="12" s="1"/>
  <c r="T22" i="15" l="1"/>
  <c r="U21" i="15" s="1"/>
  <c r="T20" i="15" l="1"/>
  <c r="T19" i="15" s="1"/>
  <c r="U33" i="13" s="1"/>
  <c r="U32" i="13" s="1"/>
  <c r="V32" i="13" s="1"/>
  <c r="U26" i="12" l="1"/>
  <c r="U21" i="12" s="1"/>
  <c r="V21" i="12" s="1"/>
  <c r="V33" i="13"/>
  <c r="U38" i="13"/>
  <c r="V38" i="13" s="1"/>
  <c r="U9" i="12"/>
  <c r="V9" i="12" s="1"/>
  <c r="V26" i="12" l="1"/>
  <c r="U32" i="12"/>
  <c r="V32" i="12" s="1"/>
  <c r="U36" i="13"/>
  <c r="U45" i="13" l="1"/>
  <c r="V45" i="13" s="1"/>
  <c r="U41" i="13"/>
  <c r="V36" i="13"/>
  <c r="U40" i="13" l="1"/>
  <c r="V41" i="13"/>
  <c r="U46" i="13" l="1"/>
  <c r="V40" i="13"/>
  <c r="V46" i="13" l="1"/>
  <c r="U44" i="13"/>
  <c r="V44" i="13" l="1"/>
  <c r="V53" i="13" s="1"/>
  <c r="U7" i="12"/>
  <c r="U53" i="13"/>
  <c r="U6" i="12" l="1"/>
  <c r="V7" i="12"/>
  <c r="V6" i="12" s="1"/>
  <c r="U30" i="12" l="1"/>
  <c r="V30" i="12" l="1"/>
  <c r="U29" i="12"/>
  <c r="U36" i="12" l="1"/>
  <c r="U34" i="12" s="1"/>
  <c r="U22" i="15" s="1"/>
  <c r="U20" i="15" s="1"/>
  <c r="U19" i="15" s="1"/>
  <c r="V29" i="12"/>
</calcChain>
</file>

<file path=xl/sharedStrings.xml><?xml version="1.0" encoding="utf-8"?>
<sst xmlns="http://schemas.openxmlformats.org/spreadsheetml/2006/main" count="455" uniqueCount="178">
  <si>
    <t>Conversion rate</t>
  </si>
  <si>
    <t>[%]</t>
  </si>
  <si>
    <t>Google Adwords</t>
  </si>
  <si>
    <t>Net Margin</t>
  </si>
  <si>
    <t># of visits</t>
  </si>
  <si>
    <t>Average transaction value (ATV)</t>
  </si>
  <si>
    <t># of transactions</t>
  </si>
  <si>
    <t>Gross Margin</t>
  </si>
  <si>
    <t>% Gross Margin</t>
  </si>
  <si>
    <t>Cost of traffic</t>
  </si>
  <si>
    <t>% of total generated traffic</t>
  </si>
  <si>
    <t>Direct</t>
  </si>
  <si>
    <t>Organic search</t>
  </si>
  <si>
    <t>Newsletters / emailing</t>
  </si>
  <si>
    <t>Affiliations</t>
  </si>
  <si>
    <t>Display Ads</t>
  </si>
  <si>
    <t>Facebook Ads</t>
  </si>
  <si>
    <t>Cost per visit</t>
  </si>
  <si>
    <t>Cost of logistics</t>
  </si>
  <si>
    <t>Sale, margin, cost of sales development</t>
  </si>
  <si>
    <t>Cost of delivery per transaction</t>
  </si>
  <si>
    <t>Transaction fees</t>
  </si>
  <si>
    <t>% transaction fee</t>
  </si>
  <si>
    <t>Sales</t>
  </si>
  <si>
    <t>Salaries</t>
  </si>
  <si>
    <t># of Full Time Equivalent (FTE)</t>
  </si>
  <si>
    <t>Average salary per FTE</t>
  </si>
  <si>
    <t>Social securities as % of Salary</t>
  </si>
  <si>
    <t>External Services</t>
  </si>
  <si>
    <t>Total Fixed costs</t>
  </si>
  <si>
    <t># of sq m</t>
  </si>
  <si>
    <t>Cost per sq m</t>
  </si>
  <si>
    <t>Materials and utilities</t>
  </si>
  <si>
    <t>Maintenace</t>
  </si>
  <si>
    <t>Others</t>
  </si>
  <si>
    <t>Available info</t>
  </si>
  <si>
    <t>Data for the slide</t>
  </si>
  <si>
    <t>back</t>
  </si>
  <si>
    <t>Parameters</t>
  </si>
  <si>
    <t>Revenues</t>
  </si>
  <si>
    <t>Useful for the case links</t>
  </si>
  <si>
    <t>Topic</t>
  </si>
  <si>
    <t>Working Capital</t>
  </si>
  <si>
    <t>Inventory</t>
  </si>
  <si>
    <t>['000 USD]</t>
  </si>
  <si>
    <t>Inventory conversion period</t>
  </si>
  <si>
    <t>[day]</t>
  </si>
  <si>
    <t>Receivables</t>
  </si>
  <si>
    <t>Receivables conversion period</t>
  </si>
  <si>
    <t>Payables</t>
  </si>
  <si>
    <t>COGS</t>
  </si>
  <si>
    <t>Payables conversion period</t>
  </si>
  <si>
    <t>CF From Operating Activities</t>
  </si>
  <si>
    <t>Depreciation &amp; Amortization</t>
  </si>
  <si>
    <t>Interest Expenses Net</t>
  </si>
  <si>
    <t>Change in Inventory</t>
  </si>
  <si>
    <t>Change in Receivables</t>
  </si>
  <si>
    <t>Change in Payables</t>
  </si>
  <si>
    <t>CF from Investing</t>
  </si>
  <si>
    <t>Capex</t>
  </si>
  <si>
    <t>Acquisitions, net of cash acquired</t>
  </si>
  <si>
    <t>Purchases of short-term investments</t>
  </si>
  <si>
    <t>Other</t>
  </si>
  <si>
    <t>CF from Financing</t>
  </si>
  <si>
    <t>Loan Increase</t>
  </si>
  <si>
    <t>Interest Paid</t>
  </si>
  <si>
    <t>Interest Received</t>
  </si>
  <si>
    <t>Repayment of the Loan</t>
  </si>
  <si>
    <t>Cash Invested by owners - Equity</t>
  </si>
  <si>
    <t>Total CF</t>
  </si>
  <si>
    <t>Cash Position at the end of the period</t>
  </si>
  <si>
    <t>Cash Position at the beginning of the period</t>
  </si>
  <si>
    <t>Change in CF</t>
  </si>
  <si>
    <t>Selling &amp; Marketing costs</t>
  </si>
  <si>
    <t>Logistic Costs</t>
  </si>
  <si>
    <t>Transactional Fees</t>
  </si>
  <si>
    <t>Headoffice Costs</t>
  </si>
  <si>
    <t>Operating Profit</t>
  </si>
  <si>
    <t>Pre-Tax Profit</t>
  </si>
  <si>
    <t>Net Income</t>
  </si>
  <si>
    <t>As a % of Sales margin evolution</t>
  </si>
  <si>
    <t>Operational profit</t>
  </si>
  <si>
    <t>Opearting Profit (EBIT)</t>
  </si>
  <si>
    <t>Profit &amp; Loss</t>
  </si>
  <si>
    <t>Interest Received (interest income)</t>
  </si>
  <si>
    <t>Interest Paid (Interest expences)</t>
  </si>
  <si>
    <t>[FTE]</t>
  </si>
  <si>
    <t>['000 USD/FTE]</t>
  </si>
  <si>
    <t>Net Profit (Net Income)</t>
  </si>
  <si>
    <t xml:space="preserve"> </t>
  </si>
  <si>
    <t>Warehouse</t>
  </si>
  <si>
    <t>Debt</t>
  </si>
  <si>
    <t>Cash Flow</t>
  </si>
  <si>
    <t>[USD / transaction]</t>
  </si>
  <si>
    <t>[USD / visit]</t>
  </si>
  <si>
    <t>Increase of the Debt</t>
  </si>
  <si>
    <t>Repayment of the Debt</t>
  </si>
  <si>
    <t>Average Debt</t>
  </si>
  <si>
    <t>Interest Rate</t>
  </si>
  <si>
    <t>Corporate Tax (CIT)</t>
  </si>
  <si>
    <t>% CIT Tax</t>
  </si>
  <si>
    <t>Average Cash</t>
  </si>
  <si>
    <t>Depreciation</t>
  </si>
  <si>
    <t>% Depreciation</t>
  </si>
  <si>
    <t>Capex (Increase in Net Book Value)</t>
  </si>
  <si>
    <t>Total</t>
  </si>
  <si>
    <t>Annual Interest rate</t>
  </si>
  <si>
    <t># of months</t>
  </si>
  <si>
    <t>Net (Sales) Margin</t>
  </si>
  <si>
    <t>Costs as % of Sales</t>
  </si>
  <si>
    <t>Finace &amp; Accounting - Essential Terms</t>
  </si>
  <si>
    <t>https://www2.slideshare.net/AsenGyczew/essential-finance-accounting-for-management-consultants-and-business-analysts</t>
  </si>
  <si>
    <t>E-commerce basic model</t>
  </si>
  <si>
    <t>https://www.youtube.com/watch?v=NjQrW--dfm0</t>
  </si>
  <si>
    <t>[month]</t>
  </si>
  <si>
    <t>What kind of model it is</t>
  </si>
  <si>
    <t>Monthly</t>
  </si>
  <si>
    <t>Number of days used for Working Capital Calculations</t>
  </si>
  <si>
    <t>Number of months used for Interest calculation</t>
  </si>
  <si>
    <t>Categories used</t>
  </si>
  <si>
    <t>Averaged Weighted Cost of 1 visit</t>
  </si>
  <si>
    <t>Selling &amp; Marketing costs (Cost of traffic)</t>
  </si>
  <si>
    <t>Proceeds from assets sold</t>
  </si>
  <si>
    <t>Gross Book Value of Asssets at the end of the period</t>
  </si>
  <si>
    <t>Gross Book Value of Asssets - at the beginning of the period</t>
  </si>
  <si>
    <t>Net Book Value of Assets at the end of the period</t>
  </si>
  <si>
    <t>Net Book Value of Assets at the beginning of the period</t>
  </si>
  <si>
    <t>Debt at the end of the period</t>
  </si>
  <si>
    <t>Debt at the beginning of the period</t>
  </si>
  <si>
    <t>Cash at the beginning of the period</t>
  </si>
  <si>
    <t>Cash at the end of the period</t>
  </si>
  <si>
    <t>Gross Market/Merchandise Value (GMV)</t>
  </si>
  <si>
    <t>% Fee collected by the marketplace (Take rate)</t>
  </si>
  <si>
    <t>Marketplace Revenues</t>
  </si>
  <si>
    <t>% Growth rate</t>
  </si>
  <si>
    <t>[M transaction]</t>
  </si>
  <si>
    <t>[M visit]</t>
  </si>
  <si>
    <t>[M USD]</t>
  </si>
  <si>
    <t>Head Office Costs</t>
  </si>
  <si>
    <t># of people in the Head Office</t>
  </si>
  <si>
    <t>Head Office Space</t>
  </si>
  <si>
    <t>[sq m]</t>
  </si>
  <si>
    <t># of sq m per 1 person in HQ</t>
  </si>
  <si>
    <t>[sq m / FTE]</t>
  </si>
  <si>
    <t>Materials and utilities per 1 person</t>
  </si>
  <si>
    <t>['000 USD / FTE]</t>
  </si>
  <si>
    <t>Rent</t>
  </si>
  <si>
    <t>[USD / sq m]</t>
  </si>
  <si>
    <t>% of Salaries</t>
  </si>
  <si>
    <t># of FTE we need in the firm depending of GMV</t>
  </si>
  <si>
    <t>Software development Costs</t>
  </si>
  <si>
    <t>Software development</t>
  </si>
  <si>
    <t>Rules for selected parameters</t>
  </si>
  <si>
    <t># Software Capex based on GMV</t>
  </si>
  <si>
    <t>Fashion Marketplace for 2nd hand clothes &amp; shoes with the Cash Flow</t>
  </si>
  <si>
    <t># of buyers</t>
  </si>
  <si>
    <t># of transaction per 1 buyer</t>
  </si>
  <si>
    <t>[transaction / buyer]</t>
  </si>
  <si>
    <t>['000 buyer]</t>
  </si>
  <si>
    <t># of transaction per 1 seller</t>
  </si>
  <si>
    <t># of buyers that also sell</t>
  </si>
  <si>
    <t>% of buyers that also sell (Buyer/Seller Overlap)</t>
  </si>
  <si>
    <t># of sellers lost</t>
  </si>
  <si>
    <t># of sellers</t>
  </si>
  <si>
    <t>% Churn rate</t>
  </si>
  <si>
    <t>['000 seller]</t>
  </si>
  <si>
    <t>[transaction / seller]</t>
  </si>
  <si>
    <t># of sellers we need to acquire</t>
  </si>
  <si>
    <t># of sellers I need</t>
  </si>
  <si>
    <t>Cost of acquiring sellers</t>
  </si>
  <si>
    <t>Cost per 1 seller</t>
  </si>
  <si>
    <t>[USD / seller]</t>
  </si>
  <si>
    <t>https://www.reforge.com/brief/the-8-most-important-metrics-for-marketplace-growth#FSYXEkELkLsGxRRwx7pt7Q</t>
  </si>
  <si>
    <t>Metrics for marketplace</t>
  </si>
  <si>
    <t># of buyers and sellers on the platform</t>
  </si>
  <si>
    <t>Annual</t>
  </si>
  <si>
    <t>https://www.slideshare.net/AsenGyczew/how-to-create-a-successful-marketplace</t>
  </si>
  <si>
    <t>How to create a successful 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</si>
</sst>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8"/>
      <color rgb="FF0000F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10" fillId="2" borderId="0" xfId="0" applyFont="1" applyFill="1"/>
    <xf numFmtId="0" fontId="0" fillId="2" borderId="0" xfId="0" applyFill="1"/>
    <xf numFmtId="0" fontId="0" fillId="3" borderId="0" xfId="0" applyFill="1"/>
    <xf numFmtId="3" fontId="10" fillId="2" borderId="0" xfId="0" applyNumberFormat="1" applyFont="1" applyFill="1"/>
    <xf numFmtId="3" fontId="0" fillId="2" borderId="0" xfId="0" applyNumberFormat="1" applyFill="1"/>
    <xf numFmtId="9" fontId="0" fillId="3" borderId="0" xfId="0" applyNumberFormat="1" applyFill="1"/>
    <xf numFmtId="3" fontId="0" fillId="3" borderId="0" xfId="0" applyNumberFormat="1" applyFill="1"/>
    <xf numFmtId="2" fontId="0" fillId="3" borderId="0" xfId="0" applyNumberFormat="1" applyFill="1"/>
    <xf numFmtId="9" fontId="0" fillId="2" borderId="0" xfId="0" applyNumberFormat="1" applyFill="1"/>
    <xf numFmtId="9" fontId="0" fillId="2" borderId="0" xfId="1" applyFont="1" applyFill="1"/>
    <xf numFmtId="4" fontId="0" fillId="2" borderId="0" xfId="0" applyNumberFormat="1" applyFill="1"/>
    <xf numFmtId="0" fontId="9" fillId="2" borderId="0" xfId="0" applyFont="1" applyFill="1"/>
    <xf numFmtId="0" fontId="12" fillId="2" borderId="0" xfId="2" applyFill="1"/>
    <xf numFmtId="0" fontId="13" fillId="2" borderId="0" xfId="3" applyFont="1" applyFill="1"/>
    <xf numFmtId="0" fontId="11" fillId="2" borderId="0" xfId="3" applyFill="1"/>
    <xf numFmtId="0" fontId="10" fillId="2" borderId="0" xfId="3" applyFont="1" applyFill="1"/>
    <xf numFmtId="0" fontId="14" fillId="2" borderId="0" xfId="0" applyFont="1" applyFill="1"/>
    <xf numFmtId="0" fontId="12" fillId="2" borderId="0" xfId="2" applyFill="1" applyAlignment="1">
      <alignment wrapText="1"/>
    </xf>
    <xf numFmtId="1" fontId="14" fillId="2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10" fillId="2" borderId="0" xfId="0" applyNumberFormat="1" applyFont="1" applyFill="1" applyAlignment="1">
      <alignment wrapText="1"/>
    </xf>
    <xf numFmtId="0" fontId="8" fillId="2" borderId="0" xfId="0" applyFont="1" applyFill="1"/>
    <xf numFmtId="3" fontId="14" fillId="2" borderId="0" xfId="0" applyNumberFormat="1" applyFont="1" applyFill="1"/>
    <xf numFmtId="3" fontId="12" fillId="2" borderId="0" xfId="2" applyNumberFormat="1" applyFill="1" applyAlignment="1">
      <alignment wrapText="1"/>
    </xf>
    <xf numFmtId="3" fontId="12" fillId="2" borderId="0" xfId="2" applyNumberFormat="1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0" fontId="0" fillId="2" borderId="0" xfId="3" applyFont="1" applyFill="1"/>
    <xf numFmtId="9" fontId="0" fillId="3" borderId="0" xfId="1" applyFont="1" applyFill="1"/>
    <xf numFmtId="164" fontId="0" fillId="2" borderId="0" xfId="0" applyNumberFormat="1" applyFill="1"/>
    <xf numFmtId="0" fontId="0" fillId="2" borderId="0" xfId="0" applyFill="1"/>
    <xf numFmtId="0" fontId="10" fillId="2" borderId="0" xfId="0" applyFont="1" applyFill="1"/>
    <xf numFmtId="0" fontId="11" fillId="2" borderId="0" xfId="3" applyFill="1"/>
    <xf numFmtId="0" fontId="10" fillId="2" borderId="0" xfId="3" applyFont="1" applyFill="1"/>
    <xf numFmtId="0" fontId="7" fillId="2" borderId="0" xfId="0" applyFont="1" applyFill="1"/>
    <xf numFmtId="3" fontId="12" fillId="2" borderId="0" xfId="2" applyNumberFormat="1" applyFill="1"/>
    <xf numFmtId="3" fontId="6" fillId="2" borderId="0" xfId="0" applyNumberFormat="1" applyFont="1" applyFill="1"/>
    <xf numFmtId="0" fontId="6" fillId="2" borderId="0" xfId="0" applyFont="1" applyFill="1"/>
    <xf numFmtId="3" fontId="5" fillId="2" borderId="0" xfId="0" applyNumberFormat="1" applyFont="1" applyFill="1"/>
    <xf numFmtId="0" fontId="5" fillId="2" borderId="0" xfId="0" applyFont="1" applyFill="1"/>
    <xf numFmtId="9" fontId="10" fillId="2" borderId="0" xfId="1" applyFont="1" applyFill="1"/>
    <xf numFmtId="3" fontId="0" fillId="3" borderId="0" xfId="0" applyNumberFormat="1" applyFill="1" applyAlignment="1">
      <alignment wrapText="1"/>
    </xf>
    <xf numFmtId="3" fontId="5" fillId="3" borderId="0" xfId="0" applyNumberFormat="1" applyFont="1" applyFill="1" applyAlignment="1">
      <alignment wrapText="1"/>
    </xf>
    <xf numFmtId="4" fontId="4" fillId="2" borderId="0" xfId="0" applyNumberFormat="1" applyFont="1" applyFill="1"/>
    <xf numFmtId="0" fontId="4" fillId="2" borderId="0" xfId="0" applyFont="1" applyFill="1"/>
    <xf numFmtId="3" fontId="4" fillId="2" borderId="0" xfId="0" applyNumberFormat="1" applyFont="1" applyFill="1"/>
    <xf numFmtId="3" fontId="10" fillId="2" borderId="0" xfId="0" applyNumberFormat="1" applyFont="1" applyFill="1" applyAlignment="1"/>
    <xf numFmtId="0" fontId="3" fillId="2" borderId="0" xfId="0" applyFont="1" applyFill="1"/>
    <xf numFmtId="0" fontId="0" fillId="2" borderId="0" xfId="0" applyFill="1" applyBorder="1"/>
    <xf numFmtId="3" fontId="10" fillId="2" borderId="0" xfId="0" applyNumberFormat="1" applyFont="1" applyFill="1" applyBorder="1"/>
    <xf numFmtId="0" fontId="2" fillId="2" borderId="0" xfId="0" applyFont="1" applyFill="1"/>
    <xf numFmtId="164" fontId="10" fillId="2" borderId="0" xfId="0" applyNumberFormat="1" applyFont="1" applyFill="1"/>
    <xf numFmtId="3" fontId="10" fillId="3" borderId="0" xfId="0" applyNumberFormat="1" applyFont="1" applyFill="1"/>
    <xf numFmtId="165" fontId="0" fillId="3" borderId="0" xfId="1" applyNumberFormat="1" applyFont="1" applyFill="1"/>
    <xf numFmtId="165" fontId="0" fillId="2" borderId="0" xfId="0" applyNumberFormat="1" applyFill="1"/>
    <xf numFmtId="2" fontId="10" fillId="2" borderId="0" xfId="0" applyNumberFormat="1" applyFont="1" applyFill="1"/>
    <xf numFmtId="164" fontId="4" fillId="2" borderId="0" xfId="0" applyNumberFormat="1" applyFont="1" applyFill="1"/>
    <xf numFmtId="166" fontId="10" fillId="2" borderId="0" xfId="0" applyNumberFormat="1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0" fontId="2" fillId="3" borderId="0" xfId="0" applyFont="1" applyFill="1"/>
    <xf numFmtId="9" fontId="2" fillId="3" borderId="0" xfId="0" applyNumberFormat="1" applyFont="1" applyFill="1"/>
    <xf numFmtId="9" fontId="2" fillId="2" borderId="0" xfId="1" applyFont="1" applyFill="1"/>
    <xf numFmtId="1" fontId="2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/>
  </cellXfs>
  <cellStyles count="5">
    <cellStyle name="Hyperlink" xfId="2" builtinId="8"/>
    <cellStyle name="Hyperlink 2" xfId="4" xr:uid="{00000000-0005-0000-0000-000001000000}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E30726-CD1B-49C5-8AF4-E3FFEAFA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91217" cy="908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lideshare.net/AsenGyczew/how-to-create-a-successful-marketplace" TargetMode="External"/><Relationship Id="rId2" Type="http://schemas.openxmlformats.org/officeDocument/2006/relationships/hyperlink" Target="https://www.reforge.com/brief/the-8-most-important-metrics-for-marketplace-growth" TargetMode="External"/><Relationship Id="rId1" Type="http://schemas.openxmlformats.org/officeDocument/2006/relationships/hyperlink" Target="https://www.youtube.com/watch?v=NjQrW--dfm0" TargetMode="External"/><Relationship Id="rId4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D5:F27"/>
  <sheetViews>
    <sheetView zoomScale="80" zoomScaleNormal="80" workbookViewId="0">
      <selection activeCell="H7" sqref="H7"/>
    </sheetView>
  </sheetViews>
  <sheetFormatPr defaultColWidth="9.1796875" defaultRowHeight="14.5" x14ac:dyDescent="0.35"/>
  <cols>
    <col min="1" max="4" width="9.1796875" style="15"/>
    <col min="5" max="5" width="3.90625" style="15" customWidth="1"/>
    <col min="6" max="16384" width="9.1796875" style="15"/>
  </cols>
  <sheetData>
    <row r="5" spans="5:6" x14ac:dyDescent="0.35">
      <c r="E5" s="14" t="s">
        <v>154</v>
      </c>
    </row>
    <row r="9" spans="5:6" x14ac:dyDescent="0.35">
      <c r="E9" s="16" t="s">
        <v>35</v>
      </c>
    </row>
    <row r="10" spans="5:6" x14ac:dyDescent="0.35">
      <c r="E10" s="16"/>
      <c r="F10" s="13" t="str">
        <f>'Sales &amp; Margin'!A1</f>
        <v>Sale, margin, cost of sales development</v>
      </c>
    </row>
    <row r="11" spans="5:6" s="32" customFormat="1" x14ac:dyDescent="0.35">
      <c r="E11" s="33"/>
      <c r="F11" s="13" t="str">
        <f>'Buyers &amp; Sellers'!A1</f>
        <v># of buyers and sellers on the platform</v>
      </c>
    </row>
    <row r="12" spans="5:6" x14ac:dyDescent="0.35">
      <c r="E12" s="16"/>
      <c r="F12" s="13" t="str">
        <f>HQ!A1</f>
        <v>Head Office Costs</v>
      </c>
    </row>
    <row r="13" spans="5:6" s="32" customFormat="1" x14ac:dyDescent="0.35">
      <c r="E13" s="33"/>
      <c r="F13" s="35" t="str">
        <f>'P&amp;L'!A1</f>
        <v>Profit &amp; Loss</v>
      </c>
    </row>
    <row r="14" spans="5:6" s="32" customFormat="1" x14ac:dyDescent="0.35">
      <c r="E14" s="33"/>
      <c r="F14" s="35" t="str">
        <f>'Work Cap'!A1</f>
        <v>Working Capital</v>
      </c>
    </row>
    <row r="15" spans="5:6" s="32" customFormat="1" x14ac:dyDescent="0.35">
      <c r="E15" s="33"/>
      <c r="F15" s="35" t="str">
        <f>CF!A1</f>
        <v>Cash Flow</v>
      </c>
    </row>
    <row r="16" spans="5:6" s="32" customFormat="1" x14ac:dyDescent="0.35">
      <c r="E16" s="33"/>
      <c r="F16" s="35" t="str">
        <f>Capex!A1</f>
        <v>Capex</v>
      </c>
    </row>
    <row r="17" spans="4:6" s="32" customFormat="1" x14ac:dyDescent="0.35">
      <c r="E17" s="33"/>
      <c r="F17" s="35" t="str">
        <f>Debt!A1</f>
        <v>Debt</v>
      </c>
    </row>
    <row r="18" spans="4:6" x14ac:dyDescent="0.35">
      <c r="F18" s="13" t="str">
        <f>Slide!A1</f>
        <v>Data for the slide</v>
      </c>
    </row>
    <row r="19" spans="4:6" x14ac:dyDescent="0.35">
      <c r="F19" s="13" t="str">
        <f>Parameters!A1</f>
        <v>Parameters</v>
      </c>
    </row>
    <row r="20" spans="4:6" s="32" customFormat="1" x14ac:dyDescent="0.35">
      <c r="F20" s="13" t="str">
        <f>Category!A1</f>
        <v>Categories used</v>
      </c>
    </row>
    <row r="21" spans="4:6" x14ac:dyDescent="0.35">
      <c r="F21" s="13" t="str">
        <f>Links!A1</f>
        <v>Useful for the case links</v>
      </c>
    </row>
    <row r="25" spans="4:6" x14ac:dyDescent="0.35">
      <c r="D25" s="27"/>
    </row>
    <row r="26" spans="4:6" x14ac:dyDescent="0.35">
      <c r="D26" s="27"/>
    </row>
    <row r="27" spans="4:6" x14ac:dyDescent="0.35">
      <c r="D27" s="27"/>
    </row>
  </sheetData>
  <hyperlinks>
    <hyperlink ref="F18" location="Slide!A1" display="Slide!A1" xr:uid="{00000000-0004-0000-0000-000000000000}"/>
    <hyperlink ref="F21" location="Links!A1" display="Links!A1" xr:uid="{00000000-0004-0000-0000-000001000000}"/>
    <hyperlink ref="F19" location="Parameters!A1" display="Parameters!A1" xr:uid="{00000000-0004-0000-0000-000002000000}"/>
    <hyperlink ref="F10" location="'Sales &amp; Margin'!A1" display="'Sales &amp; Margin'!A1" xr:uid="{00000000-0004-0000-0000-000003000000}"/>
    <hyperlink ref="F12" location="HQ!A1" display="HQ!A1" xr:uid="{00000000-0004-0000-0000-000004000000}"/>
    <hyperlink ref="F13" location="'P&amp;L'!A1" display="'P&amp;L'!A1" xr:uid="{00000000-0004-0000-0000-000005000000}"/>
    <hyperlink ref="F14" location="'Work Cap'!A1" display="'Work Cap'!A1" xr:uid="{00000000-0004-0000-0000-000006000000}"/>
    <hyperlink ref="F15" location="CF!A1" display="CF!A1" xr:uid="{00000000-0004-0000-0000-000007000000}"/>
    <hyperlink ref="F16" location="Capex!A1" display="Capex!A1" xr:uid="{00000000-0004-0000-0000-000008000000}"/>
    <hyperlink ref="F17" location="Debt!A1" display="Debt!A1" xr:uid="{00000000-0004-0000-0000-000009000000}"/>
    <hyperlink ref="F20" location="Category!A1" display="Category!A1" xr:uid="{00000000-0004-0000-0000-00000A000000}"/>
    <hyperlink ref="F11" location="'Buyers &amp; Sellers'!A1" display="'Buyers &amp; Sellers'!A1" xr:uid="{00000000-0004-0000-0000-00000B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V36"/>
  <sheetViews>
    <sheetView tabSelected="1" zoomScale="70" zoomScaleNormal="70" workbookViewId="0">
      <pane xSplit="9" ySplit="4" topLeftCell="J13" activePane="bottomRight" state="frozen"/>
      <selection activeCell="N21" sqref="N21"/>
      <selection pane="topRight" activeCell="N21" sqref="N21"/>
      <selection pane="bottomLeft" activeCell="N21" sqref="N21"/>
      <selection pane="bottomRight" activeCell="O33" sqref="O33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6.453125" style="23" customWidth="1"/>
    <col min="4" max="4" width="3.453125" style="4" customWidth="1"/>
    <col min="5" max="5" width="5.179687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5" bestFit="1" customWidth="1"/>
    <col min="10" max="16" width="9.54296875" style="5" customWidth="1"/>
    <col min="17" max="17" width="9.54296875" style="26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92</v>
      </c>
      <c r="J1" s="24" t="s">
        <v>37</v>
      </c>
      <c r="Q1" s="25"/>
      <c r="V1" s="24" t="s">
        <v>37</v>
      </c>
    </row>
    <row r="4" spans="1:22" x14ac:dyDescent="0.35">
      <c r="J4" s="21">
        <v>1</v>
      </c>
      <c r="K4" s="21">
        <v>2</v>
      </c>
      <c r="L4" s="21">
        <v>3</v>
      </c>
      <c r="M4" s="21">
        <v>4</v>
      </c>
      <c r="N4" s="21">
        <v>5</v>
      </c>
      <c r="O4" s="21">
        <v>6</v>
      </c>
      <c r="P4" s="21">
        <v>7</v>
      </c>
      <c r="Q4" s="21">
        <v>8</v>
      </c>
      <c r="R4" s="21">
        <v>9</v>
      </c>
      <c r="S4" s="21">
        <v>10</v>
      </c>
      <c r="T4" s="21">
        <v>11</v>
      </c>
      <c r="U4" s="21">
        <v>12</v>
      </c>
      <c r="V4" s="4" t="s">
        <v>105</v>
      </c>
    </row>
    <row r="5" spans="1:22" x14ac:dyDescent="0.35"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s="4" customFormat="1" x14ac:dyDescent="0.35">
      <c r="A6" s="5"/>
      <c r="B6" s="5"/>
      <c r="C6" s="2"/>
      <c r="D6" s="1" t="s">
        <v>52</v>
      </c>
      <c r="E6" s="2"/>
      <c r="F6" s="2"/>
      <c r="G6" s="2"/>
      <c r="H6" s="2"/>
      <c r="I6" s="64" t="s">
        <v>137</v>
      </c>
      <c r="J6" s="4">
        <f>SUM(J7:J12)</f>
        <v>-4.1761200000000001</v>
      </c>
      <c r="K6" s="4">
        <f t="shared" ref="K6:V6" si="0">SUM(K7:K12)</f>
        <v>-3.9304405479452056</v>
      </c>
      <c r="L6" s="4">
        <f t="shared" si="0"/>
        <v>0.50079452054794427</v>
      </c>
      <c r="M6" s="4">
        <f t="shared" si="0"/>
        <v>5.5304621004566226</v>
      </c>
      <c r="N6" s="4">
        <f t="shared" si="0"/>
        <v>25.021036523358674</v>
      </c>
      <c r="O6" s="4">
        <f t="shared" si="0"/>
        <v>57.999734361003561</v>
      </c>
      <c r="P6" s="4">
        <f t="shared" si="0"/>
        <v>60.507169128865911</v>
      </c>
      <c r="Q6" s="4">
        <f t="shared" si="0"/>
        <v>78.481993608620485</v>
      </c>
      <c r="R6" s="4">
        <f t="shared" si="0"/>
        <v>108.25521208352016</v>
      </c>
      <c r="S6" s="4">
        <f t="shared" si="0"/>
        <v>146.82646218573632</v>
      </c>
      <c r="T6" s="4">
        <f t="shared" si="0"/>
        <v>196.83370000496987</v>
      </c>
      <c r="U6" s="4">
        <f t="shared" si="0"/>
        <v>261.70776570853718</v>
      </c>
      <c r="V6" s="4">
        <f t="shared" si="0"/>
        <v>933.55776967767156</v>
      </c>
    </row>
    <row r="7" spans="1:22" s="4" customFormat="1" x14ac:dyDescent="0.35">
      <c r="A7" s="5"/>
      <c r="B7" s="5"/>
      <c r="C7" s="2"/>
      <c r="D7" s="2"/>
      <c r="E7" s="2" t="s">
        <v>88</v>
      </c>
      <c r="F7" s="2"/>
      <c r="G7" s="2"/>
      <c r="H7" s="2"/>
      <c r="I7" s="64" t="s">
        <v>137</v>
      </c>
      <c r="J7" s="5">
        <f>'P&amp;L'!J44</f>
        <v>-4.3886200000000004</v>
      </c>
      <c r="K7" s="5">
        <f>'P&amp;L'!K44</f>
        <v>-5.9102438500000014</v>
      </c>
      <c r="L7" s="5">
        <f>'P&amp;L'!L44</f>
        <v>-3.9759683369982879</v>
      </c>
      <c r="M7" s="5">
        <f>'P&amp;L'!M44</f>
        <v>-1.8243149521769499</v>
      </c>
      <c r="N7" s="5">
        <f>'P&amp;L'!N44</f>
        <v>11.048789181378339</v>
      </c>
      <c r="O7" s="5">
        <f>'P&amp;L'!O44</f>
        <v>31.066422368552125</v>
      </c>
      <c r="P7" s="5">
        <f>'P&amp;L'!P44</f>
        <v>43.295046372827862</v>
      </c>
      <c r="Q7" s="5">
        <f>'P&amp;L'!Q44</f>
        <v>56.352725006518341</v>
      </c>
      <c r="R7" s="5">
        <f>'P&amp;L'!R44</f>
        <v>79.857485832757703</v>
      </c>
      <c r="S7" s="5">
        <f>'P&amp;L'!S44</f>
        <v>110.42684497064289</v>
      </c>
      <c r="T7" s="5">
        <f>'P&amp;L'!T44</f>
        <v>150.18504763906185</v>
      </c>
      <c r="U7" s="5">
        <f>'P&amp;L'!U44</f>
        <v>201.88860008759696</v>
      </c>
      <c r="V7" s="38">
        <f t="shared" ref="V7:V26" si="1">SUM(J7:U7)</f>
        <v>668.02181432016084</v>
      </c>
    </row>
    <row r="8" spans="1:22" s="4" customFormat="1" x14ac:dyDescent="0.35">
      <c r="A8" s="5"/>
      <c r="B8" s="5"/>
      <c r="C8" s="2"/>
      <c r="D8" s="2"/>
      <c r="E8" s="2" t="s">
        <v>53</v>
      </c>
      <c r="F8" s="2"/>
      <c r="G8" s="2"/>
      <c r="H8" s="2"/>
      <c r="I8" s="64" t="s">
        <v>137</v>
      </c>
      <c r="J8" s="5">
        <f>Capex!J18</f>
        <v>0.2</v>
      </c>
      <c r="K8" s="5">
        <f>Capex!K18</f>
        <v>0.4</v>
      </c>
      <c r="L8" s="5">
        <f>Capex!L18</f>
        <v>0.65</v>
      </c>
      <c r="M8" s="5">
        <f>Capex!M18</f>
        <v>0.93333333333333335</v>
      </c>
      <c r="N8" s="5">
        <f>Capex!N18</f>
        <v>1.2166666666666666</v>
      </c>
      <c r="O8" s="5">
        <f>Capex!O18</f>
        <v>1.55</v>
      </c>
      <c r="P8" s="5">
        <f>Capex!P18</f>
        <v>1.9666666666666666</v>
      </c>
      <c r="Q8" s="5">
        <f>Capex!Q18</f>
        <v>2.4</v>
      </c>
      <c r="R8" s="5">
        <f>Capex!R18</f>
        <v>2.8333333333333335</v>
      </c>
      <c r="S8" s="5">
        <f>Capex!S18</f>
        <v>3.2666666666666666</v>
      </c>
      <c r="T8" s="5">
        <f>Capex!T18</f>
        <v>3.6999999999999997</v>
      </c>
      <c r="U8" s="5">
        <f>Capex!U18</f>
        <v>4.1333333333333329</v>
      </c>
      <c r="V8" s="38">
        <f t="shared" si="1"/>
        <v>23.25</v>
      </c>
    </row>
    <row r="9" spans="1:22" x14ac:dyDescent="0.35">
      <c r="C9" s="2"/>
      <c r="D9" s="2"/>
      <c r="E9" s="44" t="s">
        <v>54</v>
      </c>
      <c r="F9" s="2"/>
      <c r="G9" s="2"/>
      <c r="H9" s="2"/>
      <c r="I9" s="64" t="s">
        <v>137</v>
      </c>
      <c r="J9" s="5">
        <f>-'P&amp;L'!J32</f>
        <v>1.2500000000000001E-2</v>
      </c>
      <c r="K9" s="5">
        <f>-'P&amp;L'!K32</f>
        <v>5.4323850000000007E-2</v>
      </c>
      <c r="L9" s="5">
        <f>-'P&amp;L'!L32</f>
        <v>9.1968336998287673E-2</v>
      </c>
      <c r="M9" s="5">
        <f>-'P&amp;L'!M32</f>
        <v>0.10911495217695064</v>
      </c>
      <c r="N9" s="5">
        <f>-'P&amp;L'!N32</f>
        <v>0.13092314106709285</v>
      </c>
      <c r="O9" s="5">
        <f>-'P&amp;L'!O32</f>
        <v>0.1339969239582835</v>
      </c>
      <c r="P9" s="5">
        <f>-'P&amp;L'!P32</f>
        <v>9.586704827550277E-2</v>
      </c>
      <c r="Q9" s="5">
        <f>-'P&amp;L'!Q32</f>
        <v>3.4802848677473019E-2</v>
      </c>
      <c r="R9" s="5">
        <f>-'P&amp;L'!R32</f>
        <v>-3.8412562022971511E-2</v>
      </c>
      <c r="S9" s="5">
        <f>-'P&amp;L'!S32</f>
        <v>-0.15069657486087668</v>
      </c>
      <c r="T9" s="5">
        <f>-'P&amp;L'!T32</f>
        <v>-0.32008889436599358</v>
      </c>
      <c r="U9" s="5">
        <f>-'P&amp;L'!U32</f>
        <v>-0.56353135074927119</v>
      </c>
      <c r="V9" s="38">
        <f t="shared" si="1"/>
        <v>-0.40923228084552254</v>
      </c>
    </row>
    <row r="10" spans="1:22" s="4" customFormat="1" x14ac:dyDescent="0.35">
      <c r="A10" s="5"/>
      <c r="B10" s="5"/>
      <c r="C10" s="2"/>
      <c r="D10" s="2"/>
      <c r="E10" s="2" t="s">
        <v>55</v>
      </c>
      <c r="F10" s="2"/>
      <c r="G10" s="2"/>
      <c r="H10" s="2"/>
      <c r="I10" s="64" t="s">
        <v>137</v>
      </c>
      <c r="J10" s="5"/>
      <c r="K10" s="5">
        <f>-('Work Cap'!K5-'Work Cap'!J5)</f>
        <v>0</v>
      </c>
      <c r="L10" s="5">
        <f>-('Work Cap'!L5-'Work Cap'!K5)</f>
        <v>0</v>
      </c>
      <c r="M10" s="5">
        <f>-('Work Cap'!M5-'Work Cap'!L5)</f>
        <v>0</v>
      </c>
      <c r="N10" s="5">
        <f>-('Work Cap'!N5-'Work Cap'!M5)</f>
        <v>0</v>
      </c>
      <c r="O10" s="5">
        <f>-('Work Cap'!O5-'Work Cap'!N5)</f>
        <v>0</v>
      </c>
      <c r="P10" s="5">
        <f>-('Work Cap'!P5-'Work Cap'!O5)</f>
        <v>0</v>
      </c>
      <c r="Q10" s="5">
        <f>-('Work Cap'!Q5-'Work Cap'!P5)</f>
        <v>0</v>
      </c>
      <c r="R10" s="5">
        <f>-('Work Cap'!R5-'Work Cap'!Q5)</f>
        <v>0</v>
      </c>
      <c r="S10" s="5">
        <f>-('Work Cap'!S5-'Work Cap'!R5)</f>
        <v>0</v>
      </c>
      <c r="T10" s="5">
        <f>-('Work Cap'!T5-'Work Cap'!S5)</f>
        <v>0</v>
      </c>
      <c r="U10" s="5">
        <f>-('Work Cap'!U5-'Work Cap'!T5)</f>
        <v>0</v>
      </c>
      <c r="V10" s="38">
        <f t="shared" si="1"/>
        <v>0</v>
      </c>
    </row>
    <row r="11" spans="1:22" x14ac:dyDescent="0.35">
      <c r="C11" s="2"/>
      <c r="D11" s="2"/>
      <c r="E11" s="2" t="s">
        <v>56</v>
      </c>
      <c r="F11" s="2"/>
      <c r="G11" s="2"/>
      <c r="H11" s="2"/>
      <c r="I11" s="64" t="s">
        <v>137</v>
      </c>
      <c r="K11" s="5">
        <f>-('Work Cap'!K9-'Work Cap'!J9)</f>
        <v>-0.76273972602739748</v>
      </c>
      <c r="L11" s="5">
        <f>-('Work Cap'!L9-'Work Cap'!K9)</f>
        <v>-1.8673972602739723</v>
      </c>
      <c r="M11" s="5">
        <f>-('Work Cap'!M9-'Work Cap'!L9)</f>
        <v>-3.1561643835616437</v>
      </c>
      <c r="N11" s="5">
        <f>-('Work Cap'!N9-'Work Cap'!M9)</f>
        <v>-6.3123287671232875</v>
      </c>
      <c r="O11" s="5">
        <f>-('Work Cap'!O9-'Work Cap'!N9)</f>
        <v>-12.624657534246575</v>
      </c>
      <c r="P11" s="5">
        <f>-('Work Cap'!P9-'Work Cap'!O9)</f>
        <v>-7.5747945205479503</v>
      </c>
      <c r="Q11" s="5">
        <f>-('Work Cap'!Q9-'Work Cap'!P9)</f>
        <v>-9.8472328767123258</v>
      </c>
      <c r="R11" s="5">
        <f>-('Work Cap'!R9-'Work Cap'!Q9)</f>
        <v>-12.801402739726043</v>
      </c>
      <c r="S11" s="5">
        <f>-('Work Cap'!S9-'Work Cap'!R9)</f>
        <v>-16.641823561643847</v>
      </c>
      <c r="T11" s="5">
        <f>-('Work Cap'!T9-'Work Cap'!S9)</f>
        <v>-21.634370630136999</v>
      </c>
      <c r="U11" s="5">
        <f>-('Work Cap'!U9-'Work Cap'!T9)</f>
        <v>-28.124681819178093</v>
      </c>
      <c r="V11" s="38">
        <f t="shared" si="1"/>
        <v>-121.34759381917813</v>
      </c>
    </row>
    <row r="12" spans="1:22" s="4" customFormat="1" x14ac:dyDescent="0.35">
      <c r="A12" s="5"/>
      <c r="B12" s="5"/>
      <c r="C12" s="1"/>
      <c r="D12" s="2"/>
      <c r="E12" s="2" t="s">
        <v>57</v>
      </c>
      <c r="F12" s="2"/>
      <c r="G12" s="2"/>
      <c r="H12" s="2"/>
      <c r="I12" s="64" t="s">
        <v>137</v>
      </c>
      <c r="J12" s="5"/>
      <c r="K12" s="5">
        <f>'Work Cap'!K13-'Work Cap'!J13</f>
        <v>2.2882191780821923</v>
      </c>
      <c r="L12" s="5">
        <f>'Work Cap'!L13-'Work Cap'!K13</f>
        <v>5.6021917808219168</v>
      </c>
      <c r="M12" s="5">
        <f>'Work Cap'!M13-'Work Cap'!L13</f>
        <v>9.4684931506849317</v>
      </c>
      <c r="N12" s="5">
        <f>'Work Cap'!N13-'Work Cap'!M13</f>
        <v>18.936986301369863</v>
      </c>
      <c r="O12" s="5">
        <f>'Work Cap'!O13-'Work Cap'!N13</f>
        <v>37.873972602739727</v>
      </c>
      <c r="P12" s="5">
        <f>'Work Cap'!P13-'Work Cap'!O13</f>
        <v>22.724383561643833</v>
      </c>
      <c r="Q12" s="5">
        <f>'Work Cap'!Q13-'Work Cap'!P13</f>
        <v>29.541698630137006</v>
      </c>
      <c r="R12" s="5">
        <f>'Work Cap'!R13-'Work Cap'!Q13</f>
        <v>38.404208219178145</v>
      </c>
      <c r="S12" s="5">
        <f>'Work Cap'!S13-'Work Cap'!R13</f>
        <v>49.925470684931497</v>
      </c>
      <c r="T12" s="5">
        <f>'Work Cap'!T13-'Work Cap'!S13</f>
        <v>64.903111890411026</v>
      </c>
      <c r="U12" s="5">
        <f>'Work Cap'!U13-'Work Cap'!T13</f>
        <v>84.374045457534237</v>
      </c>
      <c r="V12" s="38">
        <f t="shared" si="1"/>
        <v>364.04278145753437</v>
      </c>
    </row>
    <row r="13" spans="1:22" x14ac:dyDescent="0.35">
      <c r="D13" s="1"/>
      <c r="E13" s="2"/>
      <c r="F13" s="2"/>
    </row>
    <row r="14" spans="1:22" x14ac:dyDescent="0.35">
      <c r="D14" s="1" t="s">
        <v>58</v>
      </c>
      <c r="E14" s="2"/>
      <c r="F14" s="2"/>
      <c r="G14" s="2"/>
      <c r="H14" s="2"/>
      <c r="I14" s="64" t="s">
        <v>137</v>
      </c>
      <c r="J14" s="4">
        <f>SUM(J15:J19)</f>
        <v>-10</v>
      </c>
      <c r="K14" s="4">
        <f t="shared" ref="K14:U14" si="2">SUM(K15:K19)</f>
        <v>-12</v>
      </c>
      <c r="L14" s="4">
        <f t="shared" si="2"/>
        <v>-15</v>
      </c>
      <c r="M14" s="4">
        <f t="shared" si="2"/>
        <v>-17</v>
      </c>
      <c r="N14" s="4">
        <f t="shared" si="2"/>
        <v>-17</v>
      </c>
      <c r="O14" s="4">
        <f t="shared" si="2"/>
        <v>-20</v>
      </c>
      <c r="P14" s="4">
        <f t="shared" si="2"/>
        <v>-25</v>
      </c>
      <c r="Q14" s="4">
        <f t="shared" si="2"/>
        <v>-26</v>
      </c>
      <c r="R14" s="4">
        <f t="shared" si="2"/>
        <v>-26</v>
      </c>
      <c r="S14" s="4">
        <f t="shared" si="2"/>
        <v>-26</v>
      </c>
      <c r="T14" s="4">
        <f t="shared" si="2"/>
        <v>-26</v>
      </c>
      <c r="U14" s="4">
        <f t="shared" si="2"/>
        <v>-26</v>
      </c>
      <c r="V14" s="4">
        <f t="shared" si="1"/>
        <v>-246</v>
      </c>
    </row>
    <row r="15" spans="1:22" x14ac:dyDescent="0.35">
      <c r="C15" s="5"/>
      <c r="D15" s="2"/>
      <c r="E15" s="2" t="s">
        <v>59</v>
      </c>
      <c r="F15" s="2"/>
      <c r="G15" s="2"/>
      <c r="H15" s="2"/>
      <c r="I15" s="64" t="s">
        <v>137</v>
      </c>
      <c r="J15" s="5">
        <f>-Capex!J9</f>
        <v>-10</v>
      </c>
      <c r="K15" s="5">
        <f>-Capex!K9</f>
        <v>-12</v>
      </c>
      <c r="L15" s="5">
        <f>-Capex!L9</f>
        <v>-15</v>
      </c>
      <c r="M15" s="5">
        <f>-Capex!M9</f>
        <v>-17</v>
      </c>
      <c r="N15" s="5">
        <f>-Capex!N9</f>
        <v>-17</v>
      </c>
      <c r="O15" s="5">
        <f>-Capex!O9</f>
        <v>-20</v>
      </c>
      <c r="P15" s="5">
        <f>-Capex!P9</f>
        <v>-25</v>
      </c>
      <c r="Q15" s="5">
        <f>-Capex!Q9</f>
        <v>-26</v>
      </c>
      <c r="R15" s="5">
        <f>-Capex!R9</f>
        <v>-26</v>
      </c>
      <c r="S15" s="5">
        <f>-Capex!S9</f>
        <v>-26</v>
      </c>
      <c r="T15" s="5">
        <f>-Capex!T9</f>
        <v>-26</v>
      </c>
      <c r="U15" s="5">
        <f>-Capex!U9</f>
        <v>-26</v>
      </c>
      <c r="V15" s="38">
        <f t="shared" si="1"/>
        <v>-246</v>
      </c>
    </row>
    <row r="16" spans="1:22" x14ac:dyDescent="0.35">
      <c r="D16" s="2"/>
      <c r="E16" s="2" t="s">
        <v>122</v>
      </c>
      <c r="F16" s="2"/>
      <c r="G16" s="2"/>
      <c r="H16" s="2"/>
      <c r="I16" s="64" t="s">
        <v>137</v>
      </c>
      <c r="J16" s="7"/>
      <c r="K16" s="5">
        <f>J16</f>
        <v>0</v>
      </c>
      <c r="L16" s="5">
        <f t="shared" ref="L16:U19" si="3">K16</f>
        <v>0</v>
      </c>
      <c r="M16" s="5">
        <f t="shared" si="3"/>
        <v>0</v>
      </c>
      <c r="N16" s="5">
        <f t="shared" si="3"/>
        <v>0</v>
      </c>
      <c r="O16" s="5">
        <f t="shared" si="3"/>
        <v>0</v>
      </c>
      <c r="P16" s="5">
        <f t="shared" si="3"/>
        <v>0</v>
      </c>
      <c r="Q16" s="5">
        <f t="shared" si="3"/>
        <v>0</v>
      </c>
      <c r="R16" s="5">
        <f t="shared" si="3"/>
        <v>0</v>
      </c>
      <c r="S16" s="5">
        <f t="shared" si="3"/>
        <v>0</v>
      </c>
      <c r="T16" s="5">
        <f t="shared" si="3"/>
        <v>0</v>
      </c>
      <c r="U16" s="5">
        <f t="shared" si="3"/>
        <v>0</v>
      </c>
      <c r="V16" s="38">
        <f t="shared" si="1"/>
        <v>0</v>
      </c>
    </row>
    <row r="17" spans="4:22" x14ac:dyDescent="0.35">
      <c r="D17" s="2"/>
      <c r="E17" s="2" t="s">
        <v>60</v>
      </c>
      <c r="F17" s="2"/>
      <c r="G17" s="2"/>
      <c r="H17" s="2"/>
      <c r="I17" s="64" t="s">
        <v>137</v>
      </c>
      <c r="J17" s="7"/>
      <c r="K17" s="5">
        <f>J17</f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0</v>
      </c>
      <c r="P17" s="5">
        <f t="shared" si="3"/>
        <v>0</v>
      </c>
      <c r="Q17" s="5">
        <f t="shared" si="3"/>
        <v>0</v>
      </c>
      <c r="R17" s="5">
        <f t="shared" si="3"/>
        <v>0</v>
      </c>
      <c r="S17" s="5">
        <f t="shared" si="3"/>
        <v>0</v>
      </c>
      <c r="T17" s="5">
        <f t="shared" si="3"/>
        <v>0</v>
      </c>
      <c r="U17" s="5">
        <f t="shared" si="3"/>
        <v>0</v>
      </c>
      <c r="V17" s="38">
        <f t="shared" si="1"/>
        <v>0</v>
      </c>
    </row>
    <row r="18" spans="4:22" x14ac:dyDescent="0.35">
      <c r="D18" s="2"/>
      <c r="E18" s="2" t="s">
        <v>61</v>
      </c>
      <c r="F18" s="2"/>
      <c r="G18" s="2"/>
      <c r="H18" s="2"/>
      <c r="I18" s="64" t="s">
        <v>137</v>
      </c>
      <c r="J18" s="7"/>
      <c r="K18" s="5">
        <f>J18</f>
        <v>0</v>
      </c>
      <c r="L18" s="5">
        <f t="shared" si="3"/>
        <v>0</v>
      </c>
      <c r="M18" s="5">
        <f t="shared" si="3"/>
        <v>0</v>
      </c>
      <c r="N18" s="5">
        <f t="shared" si="3"/>
        <v>0</v>
      </c>
      <c r="O18" s="5">
        <f t="shared" si="3"/>
        <v>0</v>
      </c>
      <c r="P18" s="5">
        <f t="shared" si="3"/>
        <v>0</v>
      </c>
      <c r="Q18" s="5">
        <f t="shared" si="3"/>
        <v>0</v>
      </c>
      <c r="R18" s="5">
        <f t="shared" si="3"/>
        <v>0</v>
      </c>
      <c r="S18" s="5">
        <f t="shared" si="3"/>
        <v>0</v>
      </c>
      <c r="T18" s="5">
        <f t="shared" si="3"/>
        <v>0</v>
      </c>
      <c r="U18" s="5">
        <f t="shared" si="3"/>
        <v>0</v>
      </c>
      <c r="V18" s="38">
        <f t="shared" si="1"/>
        <v>0</v>
      </c>
    </row>
    <row r="19" spans="4:22" x14ac:dyDescent="0.35">
      <c r="D19" s="2"/>
      <c r="E19" s="2" t="s">
        <v>62</v>
      </c>
      <c r="F19" s="2" t="s">
        <v>89</v>
      </c>
      <c r="G19" s="2"/>
      <c r="H19" s="2"/>
      <c r="I19" s="64" t="s">
        <v>137</v>
      </c>
      <c r="J19" s="7"/>
      <c r="K19" s="5">
        <f>J19</f>
        <v>0</v>
      </c>
      <c r="L19" s="5">
        <f t="shared" si="3"/>
        <v>0</v>
      </c>
      <c r="M19" s="5">
        <f t="shared" si="3"/>
        <v>0</v>
      </c>
      <c r="N19" s="5">
        <f t="shared" si="3"/>
        <v>0</v>
      </c>
      <c r="O19" s="5">
        <f t="shared" si="3"/>
        <v>0</v>
      </c>
      <c r="P19" s="5">
        <f t="shared" si="3"/>
        <v>0</v>
      </c>
      <c r="Q19" s="5">
        <f t="shared" si="3"/>
        <v>0</v>
      </c>
      <c r="R19" s="5">
        <f t="shared" si="3"/>
        <v>0</v>
      </c>
      <c r="S19" s="5">
        <f t="shared" si="3"/>
        <v>0</v>
      </c>
      <c r="T19" s="5">
        <f t="shared" si="3"/>
        <v>0</v>
      </c>
      <c r="U19" s="5">
        <f t="shared" si="3"/>
        <v>0</v>
      </c>
      <c r="V19" s="38">
        <f t="shared" si="1"/>
        <v>0</v>
      </c>
    </row>
    <row r="21" spans="4:22" x14ac:dyDescent="0.35">
      <c r="D21" s="1" t="s">
        <v>63</v>
      </c>
      <c r="E21" s="2"/>
      <c r="F21" s="2"/>
      <c r="G21" s="2"/>
      <c r="I21" s="64" t="s">
        <v>137</v>
      </c>
      <c r="J21" s="4">
        <f>SUM(J22:J26)</f>
        <v>4.9874999999999998</v>
      </c>
      <c r="K21" s="4">
        <f>SUM(K22:K26)</f>
        <v>9.9456761499999988</v>
      </c>
      <c r="L21" s="4">
        <f t="shared" ref="L21:U21" si="4">SUM(L22:L26)</f>
        <v>-9.1968336998287673E-2</v>
      </c>
      <c r="M21" s="4">
        <f t="shared" si="4"/>
        <v>-0.10911495217695064</v>
      </c>
      <c r="N21" s="4">
        <f t="shared" si="4"/>
        <v>-0.13092314106709285</v>
      </c>
      <c r="O21" s="4">
        <f t="shared" si="4"/>
        <v>-0.1339969239582835</v>
      </c>
      <c r="P21" s="4">
        <f t="shared" si="4"/>
        <v>-9.586704827550277E-2</v>
      </c>
      <c r="Q21" s="4">
        <f t="shared" si="4"/>
        <v>-3.4802848677473019E-2</v>
      </c>
      <c r="R21" s="4">
        <f t="shared" si="4"/>
        <v>3.8412562022971511E-2</v>
      </c>
      <c r="S21" s="4">
        <f t="shared" si="4"/>
        <v>0.15069657486087668</v>
      </c>
      <c r="T21" s="4">
        <f t="shared" si="4"/>
        <v>0.32008889436599358</v>
      </c>
      <c r="U21" s="4">
        <f t="shared" si="4"/>
        <v>0.56353135074927119</v>
      </c>
      <c r="V21" s="4">
        <f t="shared" si="1"/>
        <v>15.409232280845519</v>
      </c>
    </row>
    <row r="22" spans="4:22" x14ac:dyDescent="0.35">
      <c r="D22" s="2"/>
      <c r="E22" s="2" t="s">
        <v>68</v>
      </c>
      <c r="F22" s="2"/>
      <c r="G22" s="2"/>
      <c r="I22" s="64" t="s">
        <v>137</v>
      </c>
      <c r="J22" s="7">
        <v>0</v>
      </c>
      <c r="K22" s="5">
        <f>J22</f>
        <v>0</v>
      </c>
      <c r="L22" s="5">
        <f t="shared" ref="L22:U22" si="5">K22</f>
        <v>0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0</v>
      </c>
      <c r="R22" s="5">
        <f t="shared" si="5"/>
        <v>0</v>
      </c>
      <c r="S22" s="5">
        <f t="shared" si="5"/>
        <v>0</v>
      </c>
      <c r="T22" s="5">
        <f t="shared" si="5"/>
        <v>0</v>
      </c>
      <c r="U22" s="5">
        <f t="shared" si="5"/>
        <v>0</v>
      </c>
      <c r="V22" s="38">
        <f t="shared" si="1"/>
        <v>0</v>
      </c>
    </row>
    <row r="23" spans="4:22" x14ac:dyDescent="0.35">
      <c r="D23" s="1"/>
      <c r="E23" s="2" t="s">
        <v>64</v>
      </c>
      <c r="F23" s="2"/>
      <c r="G23" s="2"/>
      <c r="I23" s="64" t="s">
        <v>137</v>
      </c>
      <c r="J23" s="5">
        <f>Debt!J8</f>
        <v>5</v>
      </c>
      <c r="K23" s="5">
        <f>Debt!K8</f>
        <v>10</v>
      </c>
      <c r="L23" s="5">
        <f>Debt!L8</f>
        <v>0</v>
      </c>
      <c r="M23" s="5">
        <f>Debt!M8</f>
        <v>0</v>
      </c>
      <c r="N23" s="5">
        <f>Debt!N8</f>
        <v>0</v>
      </c>
      <c r="O23" s="5">
        <f>Debt!O8</f>
        <v>0</v>
      </c>
      <c r="P23" s="5">
        <f>Debt!P8</f>
        <v>0</v>
      </c>
      <c r="Q23" s="5">
        <f>Debt!Q8</f>
        <v>0</v>
      </c>
      <c r="R23" s="5">
        <f>Debt!R8</f>
        <v>0</v>
      </c>
      <c r="S23" s="5">
        <f>Debt!S8</f>
        <v>0</v>
      </c>
      <c r="T23" s="5">
        <f>Debt!T8</f>
        <v>0</v>
      </c>
      <c r="U23" s="5">
        <f>Debt!U8</f>
        <v>0</v>
      </c>
      <c r="V23" s="38">
        <f t="shared" si="1"/>
        <v>15</v>
      </c>
    </row>
    <row r="24" spans="4:22" x14ac:dyDescent="0.35">
      <c r="D24" s="2"/>
      <c r="E24" s="2" t="s">
        <v>67</v>
      </c>
      <c r="F24" s="2"/>
      <c r="G24" s="2"/>
      <c r="I24" s="64" t="s">
        <v>137</v>
      </c>
      <c r="J24" s="5">
        <f>-Debt!J9</f>
        <v>0</v>
      </c>
      <c r="K24" s="5">
        <f>-Debt!K9</f>
        <v>0</v>
      </c>
      <c r="L24" s="5">
        <f>-Debt!L9</f>
        <v>0</v>
      </c>
      <c r="M24" s="5">
        <f>-Debt!M9</f>
        <v>0</v>
      </c>
      <c r="N24" s="5">
        <f>-Debt!N9</f>
        <v>0</v>
      </c>
      <c r="O24" s="5">
        <f>-Debt!O9</f>
        <v>0</v>
      </c>
      <c r="P24" s="5">
        <f>-Debt!P9</f>
        <v>0</v>
      </c>
      <c r="Q24" s="5">
        <f>-Debt!Q9</f>
        <v>0</v>
      </c>
      <c r="R24" s="5">
        <f>-Debt!R9</f>
        <v>0</v>
      </c>
      <c r="S24" s="5">
        <f>-Debt!S9</f>
        <v>0</v>
      </c>
      <c r="T24" s="5">
        <f>-Debt!T9</f>
        <v>0</v>
      </c>
      <c r="U24" s="5">
        <f>-Debt!U9</f>
        <v>0</v>
      </c>
      <c r="V24" s="38">
        <f t="shared" si="1"/>
        <v>0</v>
      </c>
    </row>
    <row r="25" spans="4:22" x14ac:dyDescent="0.35">
      <c r="D25" s="2"/>
      <c r="E25" s="2" t="s">
        <v>65</v>
      </c>
      <c r="F25" s="2"/>
      <c r="G25" s="2"/>
      <c r="I25" s="64" t="s">
        <v>137</v>
      </c>
      <c r="J25" s="5">
        <f>-Debt!J11</f>
        <v>-1.2500000000000001E-2</v>
      </c>
      <c r="K25" s="5">
        <f>-Debt!K11</f>
        <v>-0.05</v>
      </c>
      <c r="L25" s="5">
        <f>-Debt!L11</f>
        <v>-7.4999999999999997E-2</v>
      </c>
      <c r="M25" s="5">
        <f>-Debt!M11</f>
        <v>-7.4999999999999997E-2</v>
      </c>
      <c r="N25" s="5">
        <f>-Debt!N11</f>
        <v>-7.4999999999999997E-2</v>
      </c>
      <c r="O25" s="5">
        <f>-Debt!O11</f>
        <v>-7.4999999999999997E-2</v>
      </c>
      <c r="P25" s="5">
        <f>-Debt!P11</f>
        <v>-7.4999999999999997E-2</v>
      </c>
      <c r="Q25" s="5">
        <f>-Debt!Q11</f>
        <v>-7.4999999999999997E-2</v>
      </c>
      <c r="R25" s="5">
        <f>-Debt!R11</f>
        <v>-7.4999999999999997E-2</v>
      </c>
      <c r="S25" s="5">
        <f>-Debt!S11</f>
        <v>-7.4999999999999997E-2</v>
      </c>
      <c r="T25" s="5">
        <f>-Debt!T11</f>
        <v>-7.4999999999999997E-2</v>
      </c>
      <c r="U25" s="5">
        <f>-Debt!U11</f>
        <v>-7.4999999999999997E-2</v>
      </c>
      <c r="V25" s="38">
        <f t="shared" si="1"/>
        <v>-0.81249999999999989</v>
      </c>
    </row>
    <row r="26" spans="4:22" x14ac:dyDescent="0.35">
      <c r="D26" s="2"/>
      <c r="E26" s="2" t="s">
        <v>66</v>
      </c>
      <c r="F26" s="2"/>
      <c r="G26" s="2"/>
      <c r="I26" s="64" t="s">
        <v>137</v>
      </c>
      <c r="K26" s="5">
        <f>Debt!J19</f>
        <v>-4.3238500000000006E-3</v>
      </c>
      <c r="L26" s="5">
        <f>Debt!K19</f>
        <v>-1.6968336998287672E-2</v>
      </c>
      <c r="M26" s="5">
        <f>Debt!L19</f>
        <v>-3.4114952176950632E-2</v>
      </c>
      <c r="N26" s="5">
        <f>Debt!M19</f>
        <v>-5.5923141067092869E-2</v>
      </c>
      <c r="O26" s="5">
        <f>Debt!N19</f>
        <v>-5.8996923958283487E-2</v>
      </c>
      <c r="P26" s="5">
        <f>Debt!O19</f>
        <v>-2.0867048275502766E-2</v>
      </c>
      <c r="Q26" s="5">
        <f>Debt!P19</f>
        <v>4.0197151322526978E-2</v>
      </c>
      <c r="R26" s="5">
        <f>Debt!Q19</f>
        <v>0.11341256202297151</v>
      </c>
      <c r="S26" s="5">
        <f>Debt!R19</f>
        <v>0.22569657486087666</v>
      </c>
      <c r="T26" s="5">
        <f>Debt!S19</f>
        <v>0.39508889436599359</v>
      </c>
      <c r="U26" s="5">
        <f>Debt!T19</f>
        <v>0.63853135074927114</v>
      </c>
      <c r="V26" s="38">
        <f t="shared" si="1"/>
        <v>1.2217322808455224</v>
      </c>
    </row>
    <row r="29" spans="4:22" x14ac:dyDescent="0.35">
      <c r="D29" s="1" t="s">
        <v>69</v>
      </c>
      <c r="E29" s="2"/>
      <c r="F29" s="2"/>
      <c r="I29" s="64" t="s">
        <v>137</v>
      </c>
      <c r="J29" s="4">
        <f>SUM(J30:J32)</f>
        <v>-9.1886200000000002</v>
      </c>
      <c r="K29" s="4">
        <f t="shared" ref="K29:U29" si="6">SUM(K30:K32)</f>
        <v>-5.9847643979452076</v>
      </c>
      <c r="L29" s="4">
        <f t="shared" si="6"/>
        <v>-14.591173816450343</v>
      </c>
      <c r="M29" s="4">
        <f t="shared" si="6"/>
        <v>-11.578652851720328</v>
      </c>
      <c r="N29" s="4">
        <f t="shared" si="6"/>
        <v>7.890113382291581</v>
      </c>
      <c r="O29" s="4">
        <f t="shared" si="6"/>
        <v>37.865737437045276</v>
      </c>
      <c r="P29" s="4">
        <f t="shared" si="6"/>
        <v>35.41130208059041</v>
      </c>
      <c r="Q29" s="4">
        <f t="shared" si="6"/>
        <v>52.447190759943012</v>
      </c>
      <c r="R29" s="4">
        <f t="shared" si="6"/>
        <v>82.293624645543133</v>
      </c>
      <c r="S29" s="4">
        <f t="shared" si="6"/>
        <v>120.97715876059719</v>
      </c>
      <c r="T29" s="4">
        <f t="shared" si="6"/>
        <v>171.15378889933586</v>
      </c>
      <c r="U29" s="4">
        <f t="shared" si="6"/>
        <v>236.27129705928644</v>
      </c>
      <c r="V29" s="4">
        <f t="shared" ref="V29:V32" si="7">SUM(J29:U29)</f>
        <v>702.96700195851702</v>
      </c>
    </row>
    <row r="30" spans="4:22" x14ac:dyDescent="0.35">
      <c r="D30" s="2"/>
      <c r="E30" s="22" t="s">
        <v>52</v>
      </c>
      <c r="F30" s="2"/>
      <c r="I30" s="64" t="s">
        <v>137</v>
      </c>
      <c r="J30" s="5">
        <f t="shared" ref="J30:U30" si="8">J6</f>
        <v>-4.1761200000000001</v>
      </c>
      <c r="K30" s="5">
        <f t="shared" si="8"/>
        <v>-3.9304405479452056</v>
      </c>
      <c r="L30" s="5">
        <f t="shared" si="8"/>
        <v>0.50079452054794427</v>
      </c>
      <c r="M30" s="5">
        <f t="shared" si="8"/>
        <v>5.5304621004566226</v>
      </c>
      <c r="N30" s="5">
        <f t="shared" si="8"/>
        <v>25.021036523358674</v>
      </c>
      <c r="O30" s="5">
        <f t="shared" si="8"/>
        <v>57.999734361003561</v>
      </c>
      <c r="P30" s="5">
        <f t="shared" si="8"/>
        <v>60.507169128865911</v>
      </c>
      <c r="Q30" s="5">
        <f t="shared" si="8"/>
        <v>78.481993608620485</v>
      </c>
      <c r="R30" s="5">
        <f t="shared" si="8"/>
        <v>108.25521208352016</v>
      </c>
      <c r="S30" s="5">
        <f t="shared" si="8"/>
        <v>146.82646218573632</v>
      </c>
      <c r="T30" s="5">
        <f t="shared" si="8"/>
        <v>196.83370000496987</v>
      </c>
      <c r="U30" s="5">
        <f t="shared" si="8"/>
        <v>261.70776570853718</v>
      </c>
      <c r="V30" s="38">
        <f t="shared" si="7"/>
        <v>933.55776967767156</v>
      </c>
    </row>
    <row r="31" spans="4:22" x14ac:dyDescent="0.35">
      <c r="D31" s="2"/>
      <c r="E31" s="22" t="s">
        <v>58</v>
      </c>
      <c r="F31" s="2"/>
      <c r="I31" s="64" t="s">
        <v>137</v>
      </c>
      <c r="J31" s="5">
        <f t="shared" ref="J31:U31" si="9">J14</f>
        <v>-10</v>
      </c>
      <c r="K31" s="5">
        <f t="shared" si="9"/>
        <v>-12</v>
      </c>
      <c r="L31" s="5">
        <f t="shared" si="9"/>
        <v>-15</v>
      </c>
      <c r="M31" s="5">
        <f t="shared" si="9"/>
        <v>-17</v>
      </c>
      <c r="N31" s="5">
        <f t="shared" si="9"/>
        <v>-17</v>
      </c>
      <c r="O31" s="5">
        <f t="shared" si="9"/>
        <v>-20</v>
      </c>
      <c r="P31" s="5">
        <f t="shared" si="9"/>
        <v>-25</v>
      </c>
      <c r="Q31" s="5">
        <f t="shared" si="9"/>
        <v>-26</v>
      </c>
      <c r="R31" s="5">
        <f t="shared" si="9"/>
        <v>-26</v>
      </c>
      <c r="S31" s="5">
        <f t="shared" si="9"/>
        <v>-26</v>
      </c>
      <c r="T31" s="5">
        <f t="shared" si="9"/>
        <v>-26</v>
      </c>
      <c r="U31" s="5">
        <f t="shared" si="9"/>
        <v>-26</v>
      </c>
      <c r="V31" s="38">
        <f t="shared" si="7"/>
        <v>-246</v>
      </c>
    </row>
    <row r="32" spans="4:22" x14ac:dyDescent="0.35">
      <c r="D32" s="2"/>
      <c r="E32" s="22" t="s">
        <v>63</v>
      </c>
      <c r="F32" s="2"/>
      <c r="I32" s="64" t="s">
        <v>137</v>
      </c>
      <c r="J32" s="5">
        <f t="shared" ref="J32:U32" si="10">J21</f>
        <v>4.9874999999999998</v>
      </c>
      <c r="K32" s="5">
        <f t="shared" si="10"/>
        <v>9.9456761499999988</v>
      </c>
      <c r="L32" s="5">
        <f t="shared" si="10"/>
        <v>-9.1968336998287673E-2</v>
      </c>
      <c r="M32" s="5">
        <f t="shared" si="10"/>
        <v>-0.10911495217695064</v>
      </c>
      <c r="N32" s="5">
        <f t="shared" si="10"/>
        <v>-0.13092314106709285</v>
      </c>
      <c r="O32" s="5">
        <f t="shared" si="10"/>
        <v>-0.1339969239582835</v>
      </c>
      <c r="P32" s="5">
        <f t="shared" si="10"/>
        <v>-9.586704827550277E-2</v>
      </c>
      <c r="Q32" s="5">
        <f t="shared" si="10"/>
        <v>-3.4802848677473019E-2</v>
      </c>
      <c r="R32" s="5">
        <f t="shared" si="10"/>
        <v>3.8412562022971511E-2</v>
      </c>
      <c r="S32" s="5">
        <f t="shared" si="10"/>
        <v>0.15069657486087668</v>
      </c>
      <c r="T32" s="5">
        <f t="shared" si="10"/>
        <v>0.32008889436599358</v>
      </c>
      <c r="U32" s="5">
        <f t="shared" si="10"/>
        <v>0.56353135074927119</v>
      </c>
      <c r="V32" s="38">
        <f t="shared" si="7"/>
        <v>15.409232280845519</v>
      </c>
    </row>
    <row r="33" spans="4:22" x14ac:dyDescent="0.35">
      <c r="D33" s="2"/>
      <c r="E33" s="2"/>
      <c r="F33" s="2"/>
      <c r="V33" s="38"/>
    </row>
    <row r="34" spans="4:22" x14ac:dyDescent="0.35">
      <c r="D34" s="1" t="s">
        <v>70</v>
      </c>
      <c r="E34" s="2"/>
      <c r="F34" s="2"/>
      <c r="I34" s="64" t="s">
        <v>137</v>
      </c>
      <c r="J34" s="4">
        <f>J35+J36</f>
        <v>-7.1886200000000002</v>
      </c>
      <c r="K34" s="4">
        <f t="shared" ref="K34:U34" si="11">K35+K36</f>
        <v>-13.173384397945208</v>
      </c>
      <c r="L34" s="4">
        <f t="shared" si="11"/>
        <v>-27.764558214395549</v>
      </c>
      <c r="M34" s="4">
        <f t="shared" si="11"/>
        <v>-39.343211066115877</v>
      </c>
      <c r="N34" s="4">
        <f t="shared" si="11"/>
        <v>-31.453097683824296</v>
      </c>
      <c r="O34" s="4">
        <f t="shared" si="11"/>
        <v>6.4126397532209793</v>
      </c>
      <c r="P34" s="4">
        <f t="shared" si="11"/>
        <v>41.823941833811389</v>
      </c>
      <c r="Q34" s="4">
        <f t="shared" si="11"/>
        <v>94.271132593754402</v>
      </c>
      <c r="R34" s="4">
        <f t="shared" si="11"/>
        <v>176.56475723929753</v>
      </c>
      <c r="S34" s="4">
        <f t="shared" si="11"/>
        <v>297.54191599989474</v>
      </c>
      <c r="T34" s="4">
        <f t="shared" si="11"/>
        <v>468.69570489923058</v>
      </c>
      <c r="U34" s="4">
        <f t="shared" si="11"/>
        <v>704.96700195851702</v>
      </c>
      <c r="V34" s="38"/>
    </row>
    <row r="35" spans="4:22" x14ac:dyDescent="0.35">
      <c r="D35" s="2"/>
      <c r="E35" s="2" t="s">
        <v>71</v>
      </c>
      <c r="F35" s="2"/>
      <c r="I35" s="64" t="s">
        <v>137</v>
      </c>
      <c r="J35" s="7">
        <v>2</v>
      </c>
      <c r="K35" s="5">
        <f>J34</f>
        <v>-7.1886200000000002</v>
      </c>
      <c r="L35" s="5">
        <f t="shared" ref="L35:U35" si="12">K34</f>
        <v>-13.173384397945208</v>
      </c>
      <c r="M35" s="5">
        <f t="shared" si="12"/>
        <v>-27.764558214395549</v>
      </c>
      <c r="N35" s="5">
        <f t="shared" si="12"/>
        <v>-39.343211066115877</v>
      </c>
      <c r="O35" s="5">
        <f t="shared" si="12"/>
        <v>-31.453097683824296</v>
      </c>
      <c r="P35" s="5">
        <f t="shared" si="12"/>
        <v>6.4126397532209793</v>
      </c>
      <c r="Q35" s="5">
        <f t="shared" si="12"/>
        <v>41.823941833811389</v>
      </c>
      <c r="R35" s="5">
        <f t="shared" si="12"/>
        <v>94.271132593754402</v>
      </c>
      <c r="S35" s="5">
        <f t="shared" si="12"/>
        <v>176.56475723929753</v>
      </c>
      <c r="T35" s="5">
        <f t="shared" si="12"/>
        <v>297.54191599989474</v>
      </c>
      <c r="U35" s="5">
        <f t="shared" si="12"/>
        <v>468.69570489923058</v>
      </c>
    </row>
    <row r="36" spans="4:22" x14ac:dyDescent="0.35">
      <c r="D36" s="2"/>
      <c r="E36" s="2" t="s">
        <v>72</v>
      </c>
      <c r="F36" s="2"/>
      <c r="I36" s="64" t="s">
        <v>137</v>
      </c>
      <c r="J36" s="5">
        <f>J29</f>
        <v>-9.1886200000000002</v>
      </c>
      <c r="K36" s="5">
        <f t="shared" ref="K36:U36" si="13">K29</f>
        <v>-5.9847643979452076</v>
      </c>
      <c r="L36" s="5">
        <f t="shared" si="13"/>
        <v>-14.591173816450343</v>
      </c>
      <c r="M36" s="5">
        <f t="shared" si="13"/>
        <v>-11.578652851720328</v>
      </c>
      <c r="N36" s="5">
        <f t="shared" si="13"/>
        <v>7.890113382291581</v>
      </c>
      <c r="O36" s="5">
        <f t="shared" si="13"/>
        <v>37.865737437045276</v>
      </c>
      <c r="P36" s="5">
        <f t="shared" si="13"/>
        <v>35.41130208059041</v>
      </c>
      <c r="Q36" s="5">
        <f t="shared" si="13"/>
        <v>52.447190759943012</v>
      </c>
      <c r="R36" s="5">
        <f t="shared" si="13"/>
        <v>82.293624645543133</v>
      </c>
      <c r="S36" s="5">
        <f t="shared" si="13"/>
        <v>120.97715876059719</v>
      </c>
      <c r="T36" s="5">
        <f t="shared" si="13"/>
        <v>171.15378889933586</v>
      </c>
      <c r="U36" s="5">
        <f t="shared" si="13"/>
        <v>236.27129705928644</v>
      </c>
    </row>
  </sheetData>
  <hyperlinks>
    <hyperlink ref="V1" location="Master!A1" display="back" xr:uid="{00000000-0004-0000-0900-000000000000}"/>
    <hyperlink ref="J1" location="Master!A1" display="back" xr:uid="{00000000-0004-0000-0900-000001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K11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J9" sqref="J9"/>
    </sheetView>
  </sheetViews>
  <sheetFormatPr defaultColWidth="8.7265625" defaultRowHeight="14.5" x14ac:dyDescent="0.35"/>
  <cols>
    <col min="1" max="1" width="8.7265625" style="2"/>
    <col min="2" max="2" width="4.81640625" style="2" customWidth="1"/>
    <col min="3" max="3" width="6.453125" style="17" customWidth="1"/>
    <col min="4" max="4" width="3.453125" style="31" customWidth="1"/>
    <col min="5" max="5" width="5.7265625" style="2" customWidth="1"/>
    <col min="6" max="6" width="3" style="2" customWidth="1"/>
    <col min="7" max="7" width="8.7265625" style="2"/>
    <col min="8" max="8" width="28.7265625" style="2" customWidth="1"/>
    <col min="9" max="9" width="7.6328125" style="2" bestFit="1" customWidth="1"/>
    <col min="10" max="10" width="15.6328125" style="20" customWidth="1"/>
    <col min="11" max="11" width="14.81640625" style="2" customWidth="1"/>
    <col min="12" max="16384" width="8.7265625" style="2"/>
  </cols>
  <sheetData>
    <row r="1" spans="1:11" x14ac:dyDescent="0.35">
      <c r="A1" s="1" t="s">
        <v>38</v>
      </c>
      <c r="J1" s="18" t="s">
        <v>37</v>
      </c>
    </row>
    <row r="4" spans="1:11" x14ac:dyDescent="0.35">
      <c r="J4" s="19"/>
      <c r="K4" s="19"/>
    </row>
    <row r="6" spans="1:11" s="30" customFormat="1" x14ac:dyDescent="0.35">
      <c r="C6" s="17"/>
      <c r="D6" s="31"/>
      <c r="J6" s="20"/>
    </row>
    <row r="7" spans="1:11" s="30" customFormat="1" x14ac:dyDescent="0.35">
      <c r="C7" s="17"/>
      <c r="D7" s="31" t="s">
        <v>115</v>
      </c>
      <c r="F7" s="31"/>
      <c r="I7" s="22"/>
      <c r="J7" s="42" t="s">
        <v>175</v>
      </c>
    </row>
    <row r="8" spans="1:11" s="30" customFormat="1" x14ac:dyDescent="0.35">
      <c r="C8" s="17"/>
      <c r="D8" s="31"/>
      <c r="G8" s="22"/>
      <c r="J8" s="20"/>
    </row>
    <row r="9" spans="1:11" s="30" customFormat="1" x14ac:dyDescent="0.35">
      <c r="C9" s="17"/>
      <c r="D9" s="31" t="s">
        <v>117</v>
      </c>
      <c r="I9" s="30" t="s">
        <v>46</v>
      </c>
      <c r="J9" s="20">
        <f>VLOOKUP($J$7,Category!$I$7:$K$9,2,0)</f>
        <v>365</v>
      </c>
    </row>
    <row r="10" spans="1:11" s="30" customFormat="1" x14ac:dyDescent="0.35">
      <c r="C10" s="17"/>
      <c r="D10" s="31"/>
      <c r="J10" s="20"/>
    </row>
    <row r="11" spans="1:11" s="30" customFormat="1" x14ac:dyDescent="0.35">
      <c r="C11" s="17"/>
      <c r="D11" s="46" t="s">
        <v>118</v>
      </c>
      <c r="F11" s="31"/>
      <c r="I11" s="30" t="s">
        <v>114</v>
      </c>
      <c r="J11" s="20">
        <f>VLOOKUP($J$7,Category!$I$7:$K$9,3,0)</f>
        <v>1</v>
      </c>
    </row>
  </sheetData>
  <hyperlinks>
    <hyperlink ref="J1" location="Master!A1" display="back" xr:uid="{00000000-0004-0000-0A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Category!$I$7:$I$8</xm:f>
          </x14:formula1>
          <xm:sqref>J7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K14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I9" sqref="I9"/>
    </sheetView>
  </sheetViews>
  <sheetFormatPr defaultColWidth="8.7265625" defaultRowHeight="14.5" x14ac:dyDescent="0.35"/>
  <cols>
    <col min="1" max="1" width="8.7265625" style="30"/>
    <col min="2" max="2" width="4.81640625" style="30" customWidth="1"/>
    <col min="3" max="3" width="6.453125" style="17" customWidth="1"/>
    <col min="4" max="4" width="3.453125" style="30" customWidth="1"/>
    <col min="5" max="5" width="5.7265625" style="30" customWidth="1"/>
    <col min="6" max="6" width="3" style="30" customWidth="1"/>
    <col min="7" max="7" width="8.7265625" style="30"/>
    <col min="8" max="8" width="15.08984375" style="30" customWidth="1"/>
    <col min="9" max="9" width="26.1796875" style="30" customWidth="1"/>
    <col min="10" max="10" width="23.26953125" style="20" customWidth="1"/>
    <col min="11" max="11" width="22.7265625" style="30" customWidth="1"/>
    <col min="12" max="16384" width="8.7265625" style="30"/>
  </cols>
  <sheetData>
    <row r="1" spans="1:11" x14ac:dyDescent="0.35">
      <c r="A1" s="31" t="s">
        <v>119</v>
      </c>
      <c r="J1" s="18" t="s">
        <v>37</v>
      </c>
    </row>
    <row r="4" spans="1:11" x14ac:dyDescent="0.35">
      <c r="J4" s="19"/>
      <c r="K4" s="19"/>
    </row>
    <row r="6" spans="1:11" ht="43.5" x14ac:dyDescent="0.35">
      <c r="J6" s="20" t="s">
        <v>117</v>
      </c>
      <c r="K6" s="20" t="s">
        <v>118</v>
      </c>
    </row>
    <row r="7" spans="1:11" x14ac:dyDescent="0.35">
      <c r="F7" s="31"/>
      <c r="I7" s="39" t="s">
        <v>116</v>
      </c>
      <c r="J7" s="42">
        <v>30</v>
      </c>
      <c r="K7" s="42">
        <v>12</v>
      </c>
    </row>
    <row r="8" spans="1:11" x14ac:dyDescent="0.35">
      <c r="G8" s="22"/>
      <c r="I8" s="30" t="s">
        <v>175</v>
      </c>
      <c r="J8" s="41">
        <v>365</v>
      </c>
      <c r="K8" s="41">
        <v>1</v>
      </c>
    </row>
    <row r="9" spans="1:11" x14ac:dyDescent="0.35">
      <c r="I9" s="22"/>
    </row>
    <row r="11" spans="1:11" x14ac:dyDescent="0.35">
      <c r="F11" s="31"/>
      <c r="I11" s="31"/>
    </row>
    <row r="14" spans="1:11" x14ac:dyDescent="0.35">
      <c r="F14" s="31"/>
      <c r="J14" s="9"/>
    </row>
  </sheetData>
  <hyperlinks>
    <hyperlink ref="J1" location="Master!A1" display="back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K4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J1" sqref="J1"/>
    </sheetView>
  </sheetViews>
  <sheetFormatPr defaultColWidth="8.7265625" defaultRowHeight="14.5" x14ac:dyDescent="0.35"/>
  <cols>
    <col min="1" max="1" width="8.7265625" style="2"/>
    <col min="2" max="2" width="4.81640625" style="2" customWidth="1"/>
    <col min="3" max="3" width="6.453125" style="17" customWidth="1"/>
    <col min="4" max="4" width="3.453125" style="2" customWidth="1"/>
    <col min="5" max="5" width="5.7265625" style="2" customWidth="1"/>
    <col min="6" max="8" width="8.7265625" style="2"/>
    <col min="9" max="9" width="20.81640625" style="2" bestFit="1" customWidth="1"/>
    <col min="10" max="10" width="13.26953125" style="20" customWidth="1"/>
    <col min="11" max="11" width="14.81640625" style="2" customWidth="1"/>
    <col min="12" max="16384" width="8.7265625" style="2"/>
  </cols>
  <sheetData>
    <row r="1" spans="1:11" x14ac:dyDescent="0.35">
      <c r="A1" s="1" t="s">
        <v>36</v>
      </c>
      <c r="J1" s="18" t="s">
        <v>37</v>
      </c>
    </row>
    <row r="4" spans="1:11" x14ac:dyDescent="0.35">
      <c r="J4" s="19"/>
      <c r="K4" s="19"/>
    </row>
  </sheetData>
  <hyperlinks>
    <hyperlink ref="J1" location="Master!A1" display="back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E9"/>
  <sheetViews>
    <sheetView zoomScale="70" zoomScaleNormal="70" workbookViewId="0">
      <selection activeCell="E10" sqref="E10"/>
    </sheetView>
  </sheetViews>
  <sheetFormatPr defaultRowHeight="14.5" x14ac:dyDescent="0.35"/>
  <cols>
    <col min="1" max="3" width="8.7265625" style="2"/>
    <col min="4" max="4" width="32.7265625" style="2" customWidth="1"/>
    <col min="5" max="16384" width="8.7265625" style="2"/>
  </cols>
  <sheetData>
    <row r="1" spans="1:5" x14ac:dyDescent="0.35">
      <c r="A1" s="1" t="s">
        <v>40</v>
      </c>
    </row>
    <row r="2" spans="1:5" x14ac:dyDescent="0.35">
      <c r="E2" s="18" t="s">
        <v>37</v>
      </c>
    </row>
    <row r="5" spans="1:5" x14ac:dyDescent="0.35">
      <c r="D5" s="1" t="s">
        <v>41</v>
      </c>
      <c r="E5" s="1" t="s">
        <v>41</v>
      </c>
    </row>
    <row r="6" spans="1:5" s="30" customFormat="1" x14ac:dyDescent="0.35">
      <c r="D6" s="31" t="s">
        <v>173</v>
      </c>
      <c r="E6" s="13" t="s">
        <v>172</v>
      </c>
    </row>
    <row r="7" spans="1:5" x14ac:dyDescent="0.35">
      <c r="D7" s="2" t="s">
        <v>110</v>
      </c>
      <c r="E7" s="13" t="s">
        <v>111</v>
      </c>
    </row>
    <row r="8" spans="1:5" x14ac:dyDescent="0.35">
      <c r="D8" s="2" t="s">
        <v>112</v>
      </c>
      <c r="E8" s="13" t="s">
        <v>113</v>
      </c>
    </row>
    <row r="9" spans="1:5" x14ac:dyDescent="0.35">
      <c r="D9" s="2" t="s">
        <v>177</v>
      </c>
      <c r="E9" s="13" t="s">
        <v>176</v>
      </c>
    </row>
  </sheetData>
  <hyperlinks>
    <hyperlink ref="E2" location="Master!A1" display="back" xr:uid="{00000000-0004-0000-0D00-000000000000}"/>
    <hyperlink ref="E8" r:id="rId1" xr:uid="{00000000-0004-0000-0D00-000001000000}"/>
    <hyperlink ref="E6" r:id="rId2" location="FSYXEkELkLsGxRRwx7pt7Q" xr:uid="{00000000-0004-0000-0D00-000002000000}"/>
    <hyperlink ref="E9" r:id="rId3" xr:uid="{00000000-0004-0000-0D00-000003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V61"/>
  <sheetViews>
    <sheetView zoomScale="70" zoomScaleNormal="70" workbookViewId="0">
      <pane xSplit="9" ySplit="4" topLeftCell="J19" activePane="bottomRight" state="frozen"/>
      <selection activeCell="I10" sqref="I10"/>
      <selection pane="topRight" activeCell="I10" sqref="I10"/>
      <selection pane="bottomLeft" activeCell="I10" sqref="I10"/>
      <selection pane="bottomRight" activeCell="U56" sqref="U56"/>
    </sheetView>
  </sheetViews>
  <sheetFormatPr defaultColWidth="9.1796875" defaultRowHeight="14.5" outlineLevelRow="1" x14ac:dyDescent="0.35"/>
  <cols>
    <col min="1" max="1" width="12.90625" style="2" customWidth="1"/>
    <col min="2" max="2" width="3.7265625" style="2" customWidth="1"/>
    <col min="3" max="3" width="3" style="2" customWidth="1"/>
    <col min="4" max="4" width="2.1796875" style="2" customWidth="1"/>
    <col min="5" max="5" width="3.453125" style="4" customWidth="1"/>
    <col min="6" max="7" width="9.1796875" style="2"/>
    <col min="8" max="8" width="7.81640625" style="2" customWidth="1"/>
    <col min="9" max="9" width="16.26953125" style="2" bestFit="1" customWidth="1"/>
    <col min="10" max="16384" width="9.1796875" style="2"/>
  </cols>
  <sheetData>
    <row r="1" spans="1:22" x14ac:dyDescent="0.35">
      <c r="A1" s="1" t="s">
        <v>19</v>
      </c>
    </row>
    <row r="2" spans="1:22" x14ac:dyDescent="0.35">
      <c r="R2" s="24" t="s">
        <v>37</v>
      </c>
    </row>
    <row r="4" spans="1:22" x14ac:dyDescent="0.35"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>
        <v>7</v>
      </c>
      <c r="Q4" s="1">
        <v>8</v>
      </c>
      <c r="R4" s="1">
        <v>9</v>
      </c>
      <c r="S4" s="1">
        <v>10</v>
      </c>
      <c r="T4" s="1">
        <v>11</v>
      </c>
      <c r="U4" s="1">
        <v>12</v>
      </c>
      <c r="V4" s="31" t="s">
        <v>105</v>
      </c>
    </row>
    <row r="6" spans="1:22" s="30" customFormat="1" x14ac:dyDescent="0.35">
      <c r="B6" s="31" t="s">
        <v>4</v>
      </c>
      <c r="E6" s="4"/>
      <c r="I6" s="30" t="s">
        <v>136</v>
      </c>
      <c r="J6" s="52">
        <v>4</v>
      </c>
      <c r="K6" s="4">
        <f>J6*(1+K7)</f>
        <v>8</v>
      </c>
      <c r="L6" s="4">
        <f t="shared" ref="L6:U6" si="0">K6*(1+L7)</f>
        <v>16</v>
      </c>
      <c r="M6" s="4">
        <f t="shared" si="0"/>
        <v>32</v>
      </c>
      <c r="N6" s="4">
        <f t="shared" si="0"/>
        <v>64</v>
      </c>
      <c r="O6" s="4">
        <f t="shared" si="0"/>
        <v>128</v>
      </c>
      <c r="P6" s="4">
        <f t="shared" si="0"/>
        <v>166.4</v>
      </c>
      <c r="Q6" s="4">
        <f t="shared" si="0"/>
        <v>216.32000000000002</v>
      </c>
      <c r="R6" s="4">
        <f t="shared" si="0"/>
        <v>281.21600000000007</v>
      </c>
      <c r="S6" s="4">
        <f t="shared" si="0"/>
        <v>365.58080000000012</v>
      </c>
      <c r="T6" s="4">
        <f t="shared" si="0"/>
        <v>475.25504000000018</v>
      </c>
      <c r="U6" s="4">
        <f t="shared" si="0"/>
        <v>617.83155200000022</v>
      </c>
    </row>
    <row r="7" spans="1:22" s="30" customFormat="1" x14ac:dyDescent="0.35">
      <c r="B7" s="31"/>
      <c r="C7" s="30" t="s">
        <v>134</v>
      </c>
      <c r="E7" s="4"/>
      <c r="I7" s="30" t="s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0.3</v>
      </c>
      <c r="Q7" s="9">
        <f>P7</f>
        <v>0.3</v>
      </c>
      <c r="R7" s="9">
        <f t="shared" ref="R7:U7" si="1">Q7</f>
        <v>0.3</v>
      </c>
      <c r="S7" s="9">
        <f t="shared" si="1"/>
        <v>0.3</v>
      </c>
      <c r="T7" s="9">
        <f t="shared" si="1"/>
        <v>0.3</v>
      </c>
      <c r="U7" s="9">
        <f t="shared" si="1"/>
        <v>0.3</v>
      </c>
    </row>
    <row r="8" spans="1:22" s="30" customFormat="1" x14ac:dyDescent="0.35">
      <c r="E8" s="4"/>
    </row>
    <row r="9" spans="1:22" x14ac:dyDescent="0.35">
      <c r="B9" s="1" t="s">
        <v>131</v>
      </c>
      <c r="I9" s="30" t="s">
        <v>137</v>
      </c>
      <c r="J9" s="51">
        <f>J10*J13</f>
        <v>9.6</v>
      </c>
      <c r="K9" s="51">
        <f>K10*K13</f>
        <v>23.520000000000003</v>
      </c>
      <c r="L9" s="51">
        <f t="shared" ref="L9:U9" si="2">L10*L13</f>
        <v>57.6</v>
      </c>
      <c r="M9" s="51">
        <f t="shared" si="2"/>
        <v>115.2</v>
      </c>
      <c r="N9" s="51">
        <f t="shared" si="2"/>
        <v>230.4</v>
      </c>
      <c r="O9" s="51">
        <f t="shared" si="2"/>
        <v>460.8</v>
      </c>
      <c r="P9" s="51">
        <f t="shared" si="2"/>
        <v>599.04000000000008</v>
      </c>
      <c r="Q9" s="51">
        <f t="shared" si="2"/>
        <v>778.75200000000007</v>
      </c>
      <c r="R9" s="51">
        <f t="shared" si="2"/>
        <v>1012.3776000000004</v>
      </c>
      <c r="S9" s="51">
        <f t="shared" si="2"/>
        <v>1316.0908800000004</v>
      </c>
      <c r="T9" s="51">
        <f t="shared" si="2"/>
        <v>1710.9181440000009</v>
      </c>
      <c r="U9" s="51">
        <f t="shared" si="2"/>
        <v>2224.1935872000008</v>
      </c>
      <c r="V9" s="51">
        <f>SUM(J9:U9)</f>
        <v>8538.4922112000022</v>
      </c>
    </row>
    <row r="10" spans="1:22" x14ac:dyDescent="0.35">
      <c r="C10" s="2" t="s">
        <v>6</v>
      </c>
      <c r="I10" s="2" t="s">
        <v>135</v>
      </c>
      <c r="J10" s="29">
        <f>J11*J12</f>
        <v>0.24</v>
      </c>
      <c r="K10" s="29">
        <f>K11*K12</f>
        <v>0.56000000000000005</v>
      </c>
      <c r="L10" s="29">
        <f t="shared" ref="L10:U10" si="3">L11*L12</f>
        <v>1.28</v>
      </c>
      <c r="M10" s="29">
        <f t="shared" si="3"/>
        <v>2.56</v>
      </c>
      <c r="N10" s="29">
        <f t="shared" si="3"/>
        <v>5.12</v>
      </c>
      <c r="O10" s="29">
        <f t="shared" si="3"/>
        <v>10.24</v>
      </c>
      <c r="P10" s="29">
        <f t="shared" si="3"/>
        <v>13.312000000000001</v>
      </c>
      <c r="Q10" s="29">
        <f t="shared" si="3"/>
        <v>17.305600000000002</v>
      </c>
      <c r="R10" s="29">
        <f t="shared" si="3"/>
        <v>22.497280000000007</v>
      </c>
      <c r="S10" s="29">
        <f t="shared" si="3"/>
        <v>29.24646400000001</v>
      </c>
      <c r="T10" s="29">
        <f t="shared" si="3"/>
        <v>38.020403200000018</v>
      </c>
      <c r="U10" s="29">
        <f t="shared" si="3"/>
        <v>49.426524160000021</v>
      </c>
    </row>
    <row r="11" spans="1:22" hidden="1" outlineLevel="1" x14ac:dyDescent="0.35">
      <c r="D11" s="2" t="s">
        <v>4</v>
      </c>
      <c r="I11" s="2" t="s">
        <v>136</v>
      </c>
      <c r="J11" s="29">
        <f>J6</f>
        <v>4</v>
      </c>
      <c r="K11" s="29">
        <f t="shared" ref="K11:U11" si="4">K6</f>
        <v>8</v>
      </c>
      <c r="L11" s="29">
        <f t="shared" si="4"/>
        <v>16</v>
      </c>
      <c r="M11" s="29">
        <f t="shared" si="4"/>
        <v>32</v>
      </c>
      <c r="N11" s="29">
        <f t="shared" si="4"/>
        <v>64</v>
      </c>
      <c r="O11" s="29">
        <f t="shared" si="4"/>
        <v>128</v>
      </c>
      <c r="P11" s="29">
        <f t="shared" si="4"/>
        <v>166.4</v>
      </c>
      <c r="Q11" s="29">
        <f t="shared" si="4"/>
        <v>216.32000000000002</v>
      </c>
      <c r="R11" s="29">
        <f t="shared" si="4"/>
        <v>281.21600000000007</v>
      </c>
      <c r="S11" s="29">
        <f t="shared" si="4"/>
        <v>365.58080000000012</v>
      </c>
      <c r="T11" s="29">
        <f t="shared" si="4"/>
        <v>475.25504000000018</v>
      </c>
      <c r="U11" s="29">
        <f t="shared" si="4"/>
        <v>617.83155200000022</v>
      </c>
    </row>
    <row r="12" spans="1:22" hidden="1" outlineLevel="1" x14ac:dyDescent="0.35">
      <c r="D12" s="2" t="s">
        <v>0</v>
      </c>
      <c r="I12" s="2" t="s">
        <v>1</v>
      </c>
      <c r="J12" s="6">
        <v>0.06</v>
      </c>
      <c r="K12" s="6">
        <v>7.0000000000000007E-2</v>
      </c>
      <c r="L12" s="6">
        <v>0.08</v>
      </c>
      <c r="M12" s="10">
        <f t="shared" ref="M12:U12" si="5">L12</f>
        <v>0.08</v>
      </c>
      <c r="N12" s="10">
        <f t="shared" si="5"/>
        <v>0.08</v>
      </c>
      <c r="O12" s="10">
        <f t="shared" si="5"/>
        <v>0.08</v>
      </c>
      <c r="P12" s="10">
        <f t="shared" si="5"/>
        <v>0.08</v>
      </c>
      <c r="Q12" s="10">
        <f t="shared" si="5"/>
        <v>0.08</v>
      </c>
      <c r="R12" s="10">
        <f t="shared" si="5"/>
        <v>0.08</v>
      </c>
      <c r="S12" s="10">
        <f t="shared" si="5"/>
        <v>0.08</v>
      </c>
      <c r="T12" s="10">
        <f t="shared" si="5"/>
        <v>0.08</v>
      </c>
      <c r="U12" s="10">
        <f t="shared" si="5"/>
        <v>0.08</v>
      </c>
    </row>
    <row r="13" spans="1:22" collapsed="1" x14ac:dyDescent="0.35">
      <c r="C13" s="2" t="s">
        <v>5</v>
      </c>
      <c r="I13" s="2" t="s">
        <v>93</v>
      </c>
      <c r="J13" s="3">
        <v>40</v>
      </c>
      <c r="K13" s="3">
        <v>42</v>
      </c>
      <c r="L13" s="3">
        <v>45</v>
      </c>
      <c r="M13" s="2">
        <f t="shared" ref="M13:U13" si="6">L13</f>
        <v>45</v>
      </c>
      <c r="N13" s="2">
        <f t="shared" si="6"/>
        <v>45</v>
      </c>
      <c r="O13" s="2">
        <f t="shared" si="6"/>
        <v>45</v>
      </c>
      <c r="P13" s="2">
        <f t="shared" si="6"/>
        <v>45</v>
      </c>
      <c r="Q13" s="2">
        <f t="shared" si="6"/>
        <v>45</v>
      </c>
      <c r="R13" s="2">
        <f t="shared" si="6"/>
        <v>45</v>
      </c>
      <c r="S13" s="2">
        <f t="shared" si="6"/>
        <v>45</v>
      </c>
      <c r="T13" s="2">
        <f t="shared" si="6"/>
        <v>45</v>
      </c>
      <c r="U13" s="2">
        <f t="shared" si="6"/>
        <v>45</v>
      </c>
    </row>
    <row r="15" spans="1:22" s="30" customFormat="1" x14ac:dyDescent="0.35">
      <c r="B15" s="31" t="s">
        <v>133</v>
      </c>
      <c r="E15" s="4"/>
      <c r="I15" s="30" t="s">
        <v>137</v>
      </c>
      <c r="J15" s="51">
        <f>J16*J17</f>
        <v>0.96</v>
      </c>
      <c r="K15" s="51">
        <f t="shared" ref="K15:U15" si="7">K16*K17</f>
        <v>2.8224000000000005</v>
      </c>
      <c r="L15" s="51">
        <f t="shared" si="7"/>
        <v>8.64</v>
      </c>
      <c r="M15" s="51">
        <f t="shared" si="7"/>
        <v>17.28</v>
      </c>
      <c r="N15" s="51">
        <f t="shared" si="7"/>
        <v>34.56</v>
      </c>
      <c r="O15" s="51">
        <f t="shared" si="7"/>
        <v>69.12</v>
      </c>
      <c r="P15" s="51">
        <f t="shared" si="7"/>
        <v>89.856000000000009</v>
      </c>
      <c r="Q15" s="51">
        <f t="shared" si="7"/>
        <v>116.81280000000001</v>
      </c>
      <c r="R15" s="51">
        <f t="shared" si="7"/>
        <v>151.85664000000006</v>
      </c>
      <c r="S15" s="51">
        <f t="shared" si="7"/>
        <v>197.41363200000006</v>
      </c>
      <c r="T15" s="51">
        <f t="shared" si="7"/>
        <v>256.63772160000013</v>
      </c>
      <c r="U15" s="51">
        <f t="shared" si="7"/>
        <v>333.6290380800001</v>
      </c>
      <c r="V15" s="51">
        <f>SUM(J15:U15)</f>
        <v>1279.5882316800003</v>
      </c>
    </row>
    <row r="16" spans="1:22" s="30" customFormat="1" x14ac:dyDescent="0.35">
      <c r="C16" s="50" t="s">
        <v>131</v>
      </c>
      <c r="E16" s="4"/>
      <c r="I16" s="30" t="s">
        <v>137</v>
      </c>
      <c r="J16" s="29">
        <f>J9</f>
        <v>9.6</v>
      </c>
      <c r="K16" s="29">
        <f t="shared" ref="K16:U16" si="8">K9</f>
        <v>23.520000000000003</v>
      </c>
      <c r="L16" s="29">
        <f t="shared" si="8"/>
        <v>57.6</v>
      </c>
      <c r="M16" s="29">
        <f t="shared" si="8"/>
        <v>115.2</v>
      </c>
      <c r="N16" s="29">
        <f t="shared" si="8"/>
        <v>230.4</v>
      </c>
      <c r="O16" s="29">
        <f t="shared" si="8"/>
        <v>460.8</v>
      </c>
      <c r="P16" s="29">
        <f t="shared" si="8"/>
        <v>599.04000000000008</v>
      </c>
      <c r="Q16" s="29">
        <f t="shared" si="8"/>
        <v>778.75200000000007</v>
      </c>
      <c r="R16" s="29">
        <f t="shared" si="8"/>
        <v>1012.3776000000004</v>
      </c>
      <c r="S16" s="29">
        <f t="shared" si="8"/>
        <v>1316.0908800000004</v>
      </c>
      <c r="T16" s="29">
        <f t="shared" si="8"/>
        <v>1710.9181440000009</v>
      </c>
      <c r="U16" s="29">
        <f t="shared" si="8"/>
        <v>2224.1935872000008</v>
      </c>
    </row>
    <row r="17" spans="2:22" s="30" customFormat="1" x14ac:dyDescent="0.35">
      <c r="C17" s="30" t="s">
        <v>132</v>
      </c>
      <c r="E17" s="4"/>
      <c r="I17" s="30" t="s">
        <v>1</v>
      </c>
      <c r="J17" s="6">
        <v>0.1</v>
      </c>
      <c r="K17" s="6">
        <v>0.12</v>
      </c>
      <c r="L17" s="6">
        <v>0.15</v>
      </c>
      <c r="M17" s="9">
        <f t="shared" ref="M17:U17" si="9">L17</f>
        <v>0.15</v>
      </c>
      <c r="N17" s="9">
        <f t="shared" si="9"/>
        <v>0.15</v>
      </c>
      <c r="O17" s="9">
        <f t="shared" si="9"/>
        <v>0.15</v>
      </c>
      <c r="P17" s="9">
        <f t="shared" si="9"/>
        <v>0.15</v>
      </c>
      <c r="Q17" s="9">
        <f t="shared" si="9"/>
        <v>0.15</v>
      </c>
      <c r="R17" s="9">
        <f t="shared" si="9"/>
        <v>0.15</v>
      </c>
      <c r="S17" s="9">
        <f t="shared" si="9"/>
        <v>0.15</v>
      </c>
      <c r="T17" s="9">
        <f t="shared" si="9"/>
        <v>0.15</v>
      </c>
      <c r="U17" s="9">
        <f t="shared" si="9"/>
        <v>0.15</v>
      </c>
    </row>
    <row r="18" spans="2:22" s="48" customFormat="1" x14ac:dyDescent="0.35">
      <c r="E18" s="49"/>
    </row>
    <row r="19" spans="2:22" s="1" customFormat="1" x14ac:dyDescent="0.35">
      <c r="B19" s="1" t="s">
        <v>7</v>
      </c>
      <c r="E19" s="4"/>
      <c r="I19" s="30" t="s">
        <v>137</v>
      </c>
      <c r="J19" s="51">
        <f>J20*J21</f>
        <v>0.91199999999999992</v>
      </c>
      <c r="K19" s="51">
        <f t="shared" ref="K19:U19" si="10">K20*K21</f>
        <v>2.6812800000000001</v>
      </c>
      <c r="L19" s="51">
        <f t="shared" si="10"/>
        <v>8.2080000000000002</v>
      </c>
      <c r="M19" s="51">
        <f t="shared" si="10"/>
        <v>16.416</v>
      </c>
      <c r="N19" s="51">
        <f t="shared" si="10"/>
        <v>32.832000000000001</v>
      </c>
      <c r="O19" s="51">
        <f t="shared" si="10"/>
        <v>65.664000000000001</v>
      </c>
      <c r="P19" s="51">
        <f t="shared" si="10"/>
        <v>85.363200000000006</v>
      </c>
      <c r="Q19" s="51">
        <f t="shared" si="10"/>
        <v>110.97216</v>
      </c>
      <c r="R19" s="51">
        <f t="shared" si="10"/>
        <v>144.26380800000004</v>
      </c>
      <c r="S19" s="51">
        <f t="shared" si="10"/>
        <v>187.54295040000005</v>
      </c>
      <c r="T19" s="51">
        <f t="shared" si="10"/>
        <v>243.8058355200001</v>
      </c>
      <c r="U19" s="51">
        <f t="shared" si="10"/>
        <v>316.94758617600007</v>
      </c>
      <c r="V19" s="4">
        <f>SUM(J19:U19)</f>
        <v>1215.6088200960003</v>
      </c>
    </row>
    <row r="20" spans="2:22" x14ac:dyDescent="0.35">
      <c r="C20" s="64" t="s">
        <v>133</v>
      </c>
      <c r="I20" s="30" t="s">
        <v>137</v>
      </c>
      <c r="J20" s="58">
        <f>J15</f>
        <v>0.96</v>
      </c>
      <c r="K20" s="58">
        <f t="shared" ref="K20:U20" si="11">K15</f>
        <v>2.8224000000000005</v>
      </c>
      <c r="L20" s="58">
        <f t="shared" si="11"/>
        <v>8.64</v>
      </c>
      <c r="M20" s="58">
        <f t="shared" si="11"/>
        <v>17.28</v>
      </c>
      <c r="N20" s="58">
        <f t="shared" si="11"/>
        <v>34.56</v>
      </c>
      <c r="O20" s="58">
        <f t="shared" si="11"/>
        <v>69.12</v>
      </c>
      <c r="P20" s="58">
        <f t="shared" si="11"/>
        <v>89.856000000000009</v>
      </c>
      <c r="Q20" s="58">
        <f t="shared" si="11"/>
        <v>116.81280000000001</v>
      </c>
      <c r="R20" s="58">
        <f t="shared" si="11"/>
        <v>151.85664000000006</v>
      </c>
      <c r="S20" s="58">
        <f t="shared" si="11"/>
        <v>197.41363200000006</v>
      </c>
      <c r="T20" s="58">
        <f t="shared" si="11"/>
        <v>256.63772160000013</v>
      </c>
      <c r="U20" s="58">
        <f t="shared" si="11"/>
        <v>333.6290380800001</v>
      </c>
    </row>
    <row r="21" spans="2:22" x14ac:dyDescent="0.35">
      <c r="C21" s="2" t="s">
        <v>8</v>
      </c>
      <c r="I21" s="2" t="s">
        <v>1</v>
      </c>
      <c r="J21" s="6">
        <v>0.95</v>
      </c>
      <c r="K21" s="9">
        <f>J21</f>
        <v>0.95</v>
      </c>
      <c r="L21" s="9">
        <f t="shared" ref="L21:U21" si="12">K21</f>
        <v>0.95</v>
      </c>
      <c r="M21" s="9">
        <f t="shared" si="12"/>
        <v>0.95</v>
      </c>
      <c r="N21" s="9">
        <f t="shared" si="12"/>
        <v>0.95</v>
      </c>
      <c r="O21" s="9">
        <f t="shared" si="12"/>
        <v>0.95</v>
      </c>
      <c r="P21" s="9">
        <f t="shared" si="12"/>
        <v>0.95</v>
      </c>
      <c r="Q21" s="9">
        <f t="shared" si="12"/>
        <v>0.95</v>
      </c>
      <c r="R21" s="9">
        <f t="shared" si="12"/>
        <v>0.95</v>
      </c>
      <c r="S21" s="9">
        <f t="shared" si="12"/>
        <v>0.95</v>
      </c>
      <c r="T21" s="9">
        <f t="shared" si="12"/>
        <v>0.95</v>
      </c>
      <c r="U21" s="9">
        <f t="shared" si="12"/>
        <v>0.95</v>
      </c>
    </row>
    <row r="23" spans="2:22" s="30" customFormat="1" x14ac:dyDescent="0.35">
      <c r="B23" s="31" t="s">
        <v>120</v>
      </c>
      <c r="E23" s="4"/>
      <c r="I23" s="30" t="s">
        <v>94</v>
      </c>
      <c r="J23" s="55">
        <f>SUMPRODUCT(J34:J41,J25:J32)</f>
        <v>0.67003000000000013</v>
      </c>
      <c r="K23" s="55">
        <f t="shared" ref="K23:U23" si="13">SUMPRODUCT(K34:K41,K25:K32)</f>
        <v>0.5303000000000001</v>
      </c>
      <c r="L23" s="55">
        <f t="shared" si="13"/>
        <v>0.17575000000000002</v>
      </c>
      <c r="M23" s="55">
        <f t="shared" si="13"/>
        <v>6.660000000000002E-2</v>
      </c>
      <c r="N23" s="55">
        <f t="shared" si="13"/>
        <v>3.3750000000000009E-2</v>
      </c>
      <c r="O23" s="55">
        <f t="shared" si="13"/>
        <v>3.3750000000000009E-2</v>
      </c>
      <c r="P23" s="55">
        <f t="shared" si="13"/>
        <v>3.3750000000000009E-2</v>
      </c>
      <c r="Q23" s="55">
        <f t="shared" si="13"/>
        <v>3.3750000000000009E-2</v>
      </c>
      <c r="R23" s="55">
        <f t="shared" si="13"/>
        <v>3.3750000000000009E-2</v>
      </c>
      <c r="S23" s="55">
        <f t="shared" si="13"/>
        <v>3.3750000000000009E-2</v>
      </c>
      <c r="T23" s="55">
        <f t="shared" si="13"/>
        <v>3.3750000000000009E-2</v>
      </c>
      <c r="U23" s="55">
        <f t="shared" si="13"/>
        <v>3.3750000000000009E-2</v>
      </c>
    </row>
    <row r="24" spans="2:22" x14ac:dyDescent="0.35">
      <c r="C24" s="2" t="s">
        <v>17</v>
      </c>
      <c r="I24" s="30" t="s">
        <v>94</v>
      </c>
    </row>
    <row r="25" spans="2:22" hidden="1" outlineLevel="1" x14ac:dyDescent="0.35">
      <c r="D25" s="2" t="str">
        <f t="shared" ref="D25:D32" si="14">D34</f>
        <v>Direct</v>
      </c>
      <c r="I25" s="2" t="s">
        <v>94</v>
      </c>
      <c r="J25" s="8">
        <v>0</v>
      </c>
      <c r="K25" s="11">
        <f t="shared" ref="K25:U32" si="15">J25</f>
        <v>0</v>
      </c>
      <c r="L25" s="11">
        <f t="shared" si="15"/>
        <v>0</v>
      </c>
      <c r="M25" s="11">
        <f t="shared" si="15"/>
        <v>0</v>
      </c>
      <c r="N25" s="11">
        <f t="shared" si="15"/>
        <v>0</v>
      </c>
      <c r="O25" s="11">
        <f t="shared" si="15"/>
        <v>0</v>
      </c>
      <c r="P25" s="11">
        <f t="shared" si="15"/>
        <v>0</v>
      </c>
      <c r="Q25" s="11">
        <f t="shared" si="15"/>
        <v>0</v>
      </c>
      <c r="R25" s="11">
        <f t="shared" si="15"/>
        <v>0</v>
      </c>
      <c r="S25" s="11">
        <f t="shared" si="15"/>
        <v>0</v>
      </c>
      <c r="T25" s="11">
        <f t="shared" si="15"/>
        <v>0</v>
      </c>
      <c r="U25" s="11">
        <f t="shared" si="15"/>
        <v>0</v>
      </c>
    </row>
    <row r="26" spans="2:22" hidden="1" outlineLevel="1" x14ac:dyDescent="0.35">
      <c r="D26" s="2" t="str">
        <f t="shared" si="14"/>
        <v>Organic search</v>
      </c>
      <c r="I26" s="30" t="s">
        <v>94</v>
      </c>
      <c r="J26" s="8">
        <v>0</v>
      </c>
      <c r="K26" s="11">
        <f t="shared" si="15"/>
        <v>0</v>
      </c>
      <c r="L26" s="11">
        <f t="shared" si="15"/>
        <v>0</v>
      </c>
      <c r="M26" s="11">
        <f t="shared" si="15"/>
        <v>0</v>
      </c>
      <c r="N26" s="11">
        <f t="shared" si="15"/>
        <v>0</v>
      </c>
      <c r="O26" s="11">
        <f t="shared" si="15"/>
        <v>0</v>
      </c>
      <c r="P26" s="11">
        <f t="shared" si="15"/>
        <v>0</v>
      </c>
      <c r="Q26" s="11">
        <f t="shared" si="15"/>
        <v>0</v>
      </c>
      <c r="R26" s="11">
        <f t="shared" si="15"/>
        <v>0</v>
      </c>
      <c r="S26" s="11">
        <f t="shared" si="15"/>
        <v>0</v>
      </c>
      <c r="T26" s="11">
        <f t="shared" si="15"/>
        <v>0</v>
      </c>
      <c r="U26" s="11">
        <f t="shared" si="15"/>
        <v>0</v>
      </c>
    </row>
    <row r="27" spans="2:22" hidden="1" outlineLevel="1" x14ac:dyDescent="0.35">
      <c r="D27" s="2" t="str">
        <f t="shared" si="14"/>
        <v>Newsletters / emailing</v>
      </c>
      <c r="I27" s="30" t="s">
        <v>94</v>
      </c>
      <c r="J27" s="8">
        <v>3.0000000000000001E-3</v>
      </c>
      <c r="K27" s="11">
        <f t="shared" si="15"/>
        <v>3.0000000000000001E-3</v>
      </c>
      <c r="L27" s="11">
        <f t="shared" si="15"/>
        <v>3.0000000000000001E-3</v>
      </c>
      <c r="M27" s="11">
        <f t="shared" si="15"/>
        <v>3.0000000000000001E-3</v>
      </c>
      <c r="N27" s="11">
        <f t="shared" si="15"/>
        <v>3.0000000000000001E-3</v>
      </c>
      <c r="O27" s="11">
        <f t="shared" si="15"/>
        <v>3.0000000000000001E-3</v>
      </c>
      <c r="P27" s="11">
        <f t="shared" si="15"/>
        <v>3.0000000000000001E-3</v>
      </c>
      <c r="Q27" s="11">
        <f t="shared" si="15"/>
        <v>3.0000000000000001E-3</v>
      </c>
      <c r="R27" s="11">
        <f t="shared" si="15"/>
        <v>3.0000000000000001E-3</v>
      </c>
      <c r="S27" s="11">
        <f t="shared" si="15"/>
        <v>3.0000000000000001E-3</v>
      </c>
      <c r="T27" s="11">
        <f t="shared" si="15"/>
        <v>3.0000000000000001E-3</v>
      </c>
      <c r="U27" s="11">
        <f t="shared" si="15"/>
        <v>3.0000000000000001E-3</v>
      </c>
    </row>
    <row r="28" spans="2:22" hidden="1" outlineLevel="1" x14ac:dyDescent="0.35">
      <c r="D28" s="2" t="str">
        <f t="shared" si="14"/>
        <v>Google Adwords</v>
      </c>
      <c r="I28" s="30" t="s">
        <v>94</v>
      </c>
      <c r="J28" s="8">
        <v>1</v>
      </c>
      <c r="K28" s="11">
        <f t="shared" si="15"/>
        <v>1</v>
      </c>
      <c r="L28" s="11">
        <f t="shared" si="15"/>
        <v>1</v>
      </c>
      <c r="M28" s="11">
        <f t="shared" si="15"/>
        <v>1</v>
      </c>
      <c r="N28" s="11">
        <f t="shared" si="15"/>
        <v>1</v>
      </c>
      <c r="O28" s="11">
        <f t="shared" si="15"/>
        <v>1</v>
      </c>
      <c r="P28" s="11">
        <f t="shared" si="15"/>
        <v>1</v>
      </c>
      <c r="Q28" s="11">
        <f t="shared" si="15"/>
        <v>1</v>
      </c>
      <c r="R28" s="11">
        <f t="shared" si="15"/>
        <v>1</v>
      </c>
      <c r="S28" s="11">
        <f t="shared" si="15"/>
        <v>1</v>
      </c>
      <c r="T28" s="11">
        <f t="shared" si="15"/>
        <v>1</v>
      </c>
      <c r="U28" s="11">
        <f t="shared" si="15"/>
        <v>1</v>
      </c>
    </row>
    <row r="29" spans="2:22" hidden="1" outlineLevel="1" x14ac:dyDescent="0.35">
      <c r="D29" s="2" t="str">
        <f t="shared" si="14"/>
        <v>Affiliations</v>
      </c>
      <c r="I29" s="30" t="s">
        <v>94</v>
      </c>
      <c r="J29" s="8">
        <v>0.2</v>
      </c>
      <c r="K29" s="11">
        <f t="shared" si="15"/>
        <v>0.2</v>
      </c>
      <c r="L29" s="11">
        <f t="shared" si="15"/>
        <v>0.2</v>
      </c>
      <c r="M29" s="11">
        <f t="shared" si="15"/>
        <v>0.2</v>
      </c>
      <c r="N29" s="11">
        <f t="shared" si="15"/>
        <v>0.2</v>
      </c>
      <c r="O29" s="11">
        <f t="shared" si="15"/>
        <v>0.2</v>
      </c>
      <c r="P29" s="11">
        <f t="shared" si="15"/>
        <v>0.2</v>
      </c>
      <c r="Q29" s="11">
        <f t="shared" si="15"/>
        <v>0.2</v>
      </c>
      <c r="R29" s="11">
        <f t="shared" si="15"/>
        <v>0.2</v>
      </c>
      <c r="S29" s="11">
        <f t="shared" si="15"/>
        <v>0.2</v>
      </c>
      <c r="T29" s="11">
        <f t="shared" si="15"/>
        <v>0.2</v>
      </c>
      <c r="U29" s="11">
        <f t="shared" si="15"/>
        <v>0.2</v>
      </c>
    </row>
    <row r="30" spans="2:22" hidden="1" outlineLevel="1" x14ac:dyDescent="0.35">
      <c r="D30" s="2" t="str">
        <f t="shared" si="14"/>
        <v>Display Ads</v>
      </c>
      <c r="I30" s="30" t="s">
        <v>94</v>
      </c>
      <c r="J30" s="8">
        <v>0.1</v>
      </c>
      <c r="K30" s="11">
        <f t="shared" si="15"/>
        <v>0.1</v>
      </c>
      <c r="L30" s="11">
        <f t="shared" si="15"/>
        <v>0.1</v>
      </c>
      <c r="M30" s="11">
        <f t="shared" si="15"/>
        <v>0.1</v>
      </c>
      <c r="N30" s="11">
        <f t="shared" si="15"/>
        <v>0.1</v>
      </c>
      <c r="O30" s="11">
        <f t="shared" si="15"/>
        <v>0.1</v>
      </c>
      <c r="P30" s="11">
        <f t="shared" si="15"/>
        <v>0.1</v>
      </c>
      <c r="Q30" s="11">
        <f t="shared" si="15"/>
        <v>0.1</v>
      </c>
      <c r="R30" s="11">
        <f t="shared" si="15"/>
        <v>0.1</v>
      </c>
      <c r="S30" s="11">
        <f t="shared" si="15"/>
        <v>0.1</v>
      </c>
      <c r="T30" s="11">
        <f t="shared" si="15"/>
        <v>0.1</v>
      </c>
      <c r="U30" s="11">
        <f t="shared" si="15"/>
        <v>0.1</v>
      </c>
    </row>
    <row r="31" spans="2:22" hidden="1" outlineLevel="1" x14ac:dyDescent="0.35">
      <c r="D31" s="2" t="str">
        <f t="shared" si="14"/>
        <v>Facebook Ads</v>
      </c>
      <c r="I31" s="30" t="s">
        <v>94</v>
      </c>
      <c r="J31" s="8">
        <v>1</v>
      </c>
      <c r="K31" s="11">
        <f t="shared" si="15"/>
        <v>1</v>
      </c>
      <c r="L31" s="11">
        <f t="shared" si="15"/>
        <v>1</v>
      </c>
      <c r="M31" s="11">
        <f t="shared" si="15"/>
        <v>1</v>
      </c>
      <c r="N31" s="11">
        <f t="shared" si="15"/>
        <v>1</v>
      </c>
      <c r="O31" s="11">
        <f t="shared" si="15"/>
        <v>1</v>
      </c>
      <c r="P31" s="11">
        <f t="shared" si="15"/>
        <v>1</v>
      </c>
      <c r="Q31" s="11">
        <f t="shared" si="15"/>
        <v>1</v>
      </c>
      <c r="R31" s="11">
        <f t="shared" si="15"/>
        <v>1</v>
      </c>
      <c r="S31" s="11">
        <f t="shared" si="15"/>
        <v>1</v>
      </c>
      <c r="T31" s="11">
        <f t="shared" si="15"/>
        <v>1</v>
      </c>
      <c r="U31" s="11">
        <f t="shared" si="15"/>
        <v>1</v>
      </c>
    </row>
    <row r="32" spans="2:22" hidden="1" outlineLevel="1" x14ac:dyDescent="0.35">
      <c r="D32" s="2" t="str">
        <f t="shared" si="14"/>
        <v>Others</v>
      </c>
      <c r="I32" s="30" t="s">
        <v>94</v>
      </c>
      <c r="J32" s="8">
        <v>1</v>
      </c>
      <c r="K32" s="11">
        <f t="shared" si="15"/>
        <v>1</v>
      </c>
      <c r="L32" s="11">
        <f t="shared" si="15"/>
        <v>1</v>
      </c>
      <c r="M32" s="11">
        <f t="shared" si="15"/>
        <v>1</v>
      </c>
      <c r="N32" s="11">
        <f t="shared" si="15"/>
        <v>1</v>
      </c>
      <c r="O32" s="11">
        <f t="shared" si="15"/>
        <v>1</v>
      </c>
      <c r="P32" s="11">
        <f t="shared" si="15"/>
        <v>1</v>
      </c>
      <c r="Q32" s="11">
        <f t="shared" si="15"/>
        <v>1</v>
      </c>
      <c r="R32" s="11">
        <f t="shared" si="15"/>
        <v>1</v>
      </c>
      <c r="S32" s="11">
        <f t="shared" si="15"/>
        <v>1</v>
      </c>
      <c r="T32" s="11">
        <f t="shared" si="15"/>
        <v>1</v>
      </c>
      <c r="U32" s="11">
        <f t="shared" si="15"/>
        <v>1</v>
      </c>
    </row>
    <row r="33" spans="2:22" collapsed="1" x14ac:dyDescent="0.35">
      <c r="B33" s="1"/>
      <c r="C33" s="2" t="s">
        <v>10</v>
      </c>
      <c r="I33" s="2" t="s">
        <v>1</v>
      </c>
    </row>
    <row r="34" spans="2:22" hidden="1" outlineLevel="1" x14ac:dyDescent="0.35">
      <c r="B34" s="1"/>
      <c r="D34" s="2" t="s">
        <v>11</v>
      </c>
      <c r="I34" s="2" t="s">
        <v>1</v>
      </c>
      <c r="J34" s="6">
        <v>0.05</v>
      </c>
      <c r="K34" s="6">
        <v>0.1</v>
      </c>
      <c r="L34" s="6">
        <v>0.2</v>
      </c>
      <c r="M34" s="6">
        <v>0.4</v>
      </c>
      <c r="N34" s="6">
        <v>0.45</v>
      </c>
      <c r="O34" s="9">
        <f t="shared" ref="O34:U34" si="16">N34</f>
        <v>0.45</v>
      </c>
      <c r="P34" s="9">
        <f t="shared" si="16"/>
        <v>0.45</v>
      </c>
      <c r="Q34" s="9">
        <f t="shared" si="16"/>
        <v>0.45</v>
      </c>
      <c r="R34" s="9">
        <f t="shared" si="16"/>
        <v>0.45</v>
      </c>
      <c r="S34" s="9">
        <f t="shared" si="16"/>
        <v>0.45</v>
      </c>
      <c r="T34" s="9">
        <f t="shared" si="16"/>
        <v>0.45</v>
      </c>
      <c r="U34" s="9">
        <f t="shared" si="16"/>
        <v>0.45</v>
      </c>
    </row>
    <row r="35" spans="2:22" hidden="1" outlineLevel="1" x14ac:dyDescent="0.35">
      <c r="D35" s="2" t="s">
        <v>12</v>
      </c>
      <c r="I35" s="2" t="s">
        <v>1</v>
      </c>
      <c r="J35" s="6">
        <v>0.02</v>
      </c>
      <c r="K35" s="6">
        <v>0.1</v>
      </c>
      <c r="L35" s="6">
        <v>0.25</v>
      </c>
      <c r="M35" s="6">
        <v>0.3</v>
      </c>
      <c r="N35" s="6">
        <v>0.25</v>
      </c>
      <c r="O35" s="9">
        <f t="shared" ref="O35:U41" si="17">N35</f>
        <v>0.25</v>
      </c>
      <c r="P35" s="9">
        <f t="shared" si="17"/>
        <v>0.25</v>
      </c>
      <c r="Q35" s="9">
        <f t="shared" si="17"/>
        <v>0.25</v>
      </c>
      <c r="R35" s="9">
        <f t="shared" si="17"/>
        <v>0.25</v>
      </c>
      <c r="S35" s="9">
        <f t="shared" si="17"/>
        <v>0.25</v>
      </c>
      <c r="T35" s="9">
        <f t="shared" si="17"/>
        <v>0.25</v>
      </c>
      <c r="U35" s="9">
        <f t="shared" si="17"/>
        <v>0.25</v>
      </c>
    </row>
    <row r="36" spans="2:22" hidden="1" outlineLevel="1" x14ac:dyDescent="0.35">
      <c r="D36" s="2" t="s">
        <v>13</v>
      </c>
      <c r="I36" s="2" t="s">
        <v>1</v>
      </c>
      <c r="J36" s="6">
        <v>0.01</v>
      </c>
      <c r="K36" s="6">
        <v>0.1</v>
      </c>
      <c r="L36" s="6">
        <v>0.25</v>
      </c>
      <c r="M36" s="6">
        <v>0.2</v>
      </c>
      <c r="N36" s="6">
        <v>0.25</v>
      </c>
      <c r="O36" s="9">
        <f t="shared" si="17"/>
        <v>0.25</v>
      </c>
      <c r="P36" s="9">
        <f t="shared" si="17"/>
        <v>0.25</v>
      </c>
      <c r="Q36" s="9">
        <f t="shared" si="17"/>
        <v>0.25</v>
      </c>
      <c r="R36" s="9">
        <f t="shared" si="17"/>
        <v>0.25</v>
      </c>
      <c r="S36" s="9">
        <f t="shared" si="17"/>
        <v>0.25</v>
      </c>
      <c r="T36" s="9">
        <f t="shared" si="17"/>
        <v>0.25</v>
      </c>
      <c r="U36" s="9">
        <f t="shared" si="17"/>
        <v>0.25</v>
      </c>
    </row>
    <row r="37" spans="2:22" hidden="1" outlineLevel="1" x14ac:dyDescent="0.35">
      <c r="D37" s="2" t="s">
        <v>2</v>
      </c>
      <c r="I37" s="2" t="s">
        <v>1</v>
      </c>
      <c r="J37" s="6">
        <v>0.4</v>
      </c>
      <c r="K37" s="6">
        <v>0.2</v>
      </c>
      <c r="L37" s="6">
        <v>0.1</v>
      </c>
      <c r="M37" s="6">
        <v>0.02</v>
      </c>
      <c r="N37" s="6">
        <v>0.01</v>
      </c>
      <c r="O37" s="9">
        <f t="shared" si="17"/>
        <v>0.01</v>
      </c>
      <c r="P37" s="9">
        <f t="shared" si="17"/>
        <v>0.01</v>
      </c>
      <c r="Q37" s="9">
        <f t="shared" si="17"/>
        <v>0.01</v>
      </c>
      <c r="R37" s="9">
        <f t="shared" si="17"/>
        <v>0.01</v>
      </c>
      <c r="S37" s="9">
        <f t="shared" si="17"/>
        <v>0.01</v>
      </c>
      <c r="T37" s="9">
        <f t="shared" si="17"/>
        <v>0.01</v>
      </c>
      <c r="U37" s="9">
        <f t="shared" si="17"/>
        <v>0.01</v>
      </c>
    </row>
    <row r="38" spans="2:22" hidden="1" outlineLevel="1" x14ac:dyDescent="0.35">
      <c r="D38" s="2" t="s">
        <v>14</v>
      </c>
      <c r="I38" s="2" t="s">
        <v>1</v>
      </c>
      <c r="J38" s="6">
        <v>0.2</v>
      </c>
      <c r="K38" s="6">
        <v>0.1</v>
      </c>
      <c r="L38" s="6">
        <v>0.1</v>
      </c>
      <c r="M38" s="6">
        <v>0.02</v>
      </c>
      <c r="N38" s="6">
        <v>0.01</v>
      </c>
      <c r="O38" s="9">
        <f t="shared" si="17"/>
        <v>0.01</v>
      </c>
      <c r="P38" s="9">
        <f t="shared" si="17"/>
        <v>0.01</v>
      </c>
      <c r="Q38" s="9">
        <f t="shared" si="17"/>
        <v>0.01</v>
      </c>
      <c r="R38" s="9">
        <f t="shared" si="17"/>
        <v>0.01</v>
      </c>
      <c r="S38" s="9">
        <f t="shared" si="17"/>
        <v>0.01</v>
      </c>
      <c r="T38" s="9">
        <f t="shared" si="17"/>
        <v>0.01</v>
      </c>
      <c r="U38" s="9">
        <f t="shared" si="17"/>
        <v>0.01</v>
      </c>
    </row>
    <row r="39" spans="2:22" hidden="1" outlineLevel="1" x14ac:dyDescent="0.35">
      <c r="D39" s="2" t="s">
        <v>15</v>
      </c>
      <c r="I39" s="2" t="s">
        <v>1</v>
      </c>
      <c r="J39" s="6">
        <v>0.1</v>
      </c>
      <c r="K39" s="6">
        <v>0.1</v>
      </c>
      <c r="L39" s="6">
        <v>0.05</v>
      </c>
      <c r="M39" s="6">
        <v>0.02</v>
      </c>
      <c r="N39" s="6">
        <v>0.01</v>
      </c>
      <c r="O39" s="9">
        <f t="shared" si="17"/>
        <v>0.01</v>
      </c>
      <c r="P39" s="9">
        <f t="shared" si="17"/>
        <v>0.01</v>
      </c>
      <c r="Q39" s="9">
        <f t="shared" si="17"/>
        <v>0.01</v>
      </c>
      <c r="R39" s="9">
        <f t="shared" si="17"/>
        <v>0.01</v>
      </c>
      <c r="S39" s="9">
        <f t="shared" si="17"/>
        <v>0.01</v>
      </c>
      <c r="T39" s="9">
        <f t="shared" si="17"/>
        <v>0.01</v>
      </c>
      <c r="U39" s="9">
        <f t="shared" si="17"/>
        <v>0.01</v>
      </c>
    </row>
    <row r="40" spans="2:22" hidden="1" outlineLevel="1" x14ac:dyDescent="0.35">
      <c r="D40" s="2" t="s">
        <v>16</v>
      </c>
      <c r="I40" s="2" t="s">
        <v>1</v>
      </c>
      <c r="J40" s="6">
        <v>0.2</v>
      </c>
      <c r="K40" s="6">
        <v>0.2</v>
      </c>
      <c r="L40" s="6">
        <v>0.05</v>
      </c>
      <c r="M40" s="6">
        <v>0.02</v>
      </c>
      <c r="N40" s="6">
        <v>0.01</v>
      </c>
      <c r="O40" s="9">
        <f t="shared" si="17"/>
        <v>0.01</v>
      </c>
      <c r="P40" s="9">
        <f t="shared" si="17"/>
        <v>0.01</v>
      </c>
      <c r="Q40" s="9">
        <f t="shared" si="17"/>
        <v>0.01</v>
      </c>
      <c r="R40" s="9">
        <f t="shared" si="17"/>
        <v>0.01</v>
      </c>
      <c r="S40" s="9">
        <f t="shared" si="17"/>
        <v>0.01</v>
      </c>
      <c r="T40" s="9">
        <f t="shared" si="17"/>
        <v>0.01</v>
      </c>
      <c r="U40" s="9">
        <f t="shared" si="17"/>
        <v>0.01</v>
      </c>
    </row>
    <row r="41" spans="2:22" hidden="1" outlineLevel="1" x14ac:dyDescent="0.35">
      <c r="D41" s="2" t="s">
        <v>34</v>
      </c>
      <c r="I41" s="2" t="s">
        <v>1</v>
      </c>
      <c r="J41" s="9">
        <f>1-SUM(J34:J40)</f>
        <v>2.0000000000000018E-2</v>
      </c>
      <c r="K41" s="9">
        <f>1-SUM(K34:K40)</f>
        <v>0.10000000000000009</v>
      </c>
      <c r="L41" s="9">
        <f>1-SUM(L34:L40)</f>
        <v>0</v>
      </c>
      <c r="M41" s="9">
        <f>1-SUM(M34:M40)</f>
        <v>2.0000000000000018E-2</v>
      </c>
      <c r="N41" s="9">
        <f>1-SUM(N34:N40)</f>
        <v>1.0000000000000009E-2</v>
      </c>
      <c r="O41" s="9">
        <f t="shared" si="17"/>
        <v>1.0000000000000009E-2</v>
      </c>
      <c r="P41" s="9">
        <f t="shared" si="17"/>
        <v>1.0000000000000009E-2</v>
      </c>
      <c r="Q41" s="9">
        <f t="shared" si="17"/>
        <v>1.0000000000000009E-2</v>
      </c>
      <c r="R41" s="9">
        <f t="shared" si="17"/>
        <v>1.0000000000000009E-2</v>
      </c>
      <c r="S41" s="9">
        <f t="shared" si="17"/>
        <v>1.0000000000000009E-2</v>
      </c>
      <c r="T41" s="9">
        <f t="shared" si="17"/>
        <v>1.0000000000000009E-2</v>
      </c>
      <c r="U41" s="9">
        <f t="shared" si="17"/>
        <v>1.0000000000000009E-2</v>
      </c>
    </row>
    <row r="42" spans="2:22" s="30" customFormat="1" collapsed="1" x14ac:dyDescent="0.35">
      <c r="E42" s="4"/>
    </row>
    <row r="43" spans="2:22" s="30" customFormat="1" x14ac:dyDescent="0.35">
      <c r="E43" s="4"/>
    </row>
    <row r="44" spans="2:22" x14ac:dyDescent="0.35">
      <c r="B44" s="1" t="s">
        <v>9</v>
      </c>
      <c r="I44" s="30" t="s">
        <v>137</v>
      </c>
      <c r="J44" s="51">
        <f>J45*J46</f>
        <v>2.6801200000000005</v>
      </c>
      <c r="K44" s="51">
        <f t="shared" ref="K44:U44" si="18">K45*K46</f>
        <v>4.2424000000000008</v>
      </c>
      <c r="L44" s="51">
        <f t="shared" si="18"/>
        <v>2.8120000000000003</v>
      </c>
      <c r="M44" s="51">
        <f t="shared" si="18"/>
        <v>2.1312000000000006</v>
      </c>
      <c r="N44" s="51">
        <f t="shared" si="18"/>
        <v>2.1600000000000006</v>
      </c>
      <c r="O44" s="51">
        <f t="shared" si="18"/>
        <v>4.3200000000000012</v>
      </c>
      <c r="P44" s="51">
        <f t="shared" si="18"/>
        <v>5.6160000000000014</v>
      </c>
      <c r="Q44" s="51">
        <f t="shared" si="18"/>
        <v>7.3008000000000024</v>
      </c>
      <c r="R44" s="51">
        <f t="shared" si="18"/>
        <v>9.4910400000000053</v>
      </c>
      <c r="S44" s="51">
        <f t="shared" si="18"/>
        <v>12.338352000000008</v>
      </c>
      <c r="T44" s="51">
        <f t="shared" si="18"/>
        <v>16.039857600000012</v>
      </c>
      <c r="U44" s="51">
        <f t="shared" si="18"/>
        <v>20.851814880000013</v>
      </c>
      <c r="V44" s="51">
        <f>SUM(J44:U44)</f>
        <v>89.983584480000047</v>
      </c>
    </row>
    <row r="45" spans="2:22" s="30" customFormat="1" x14ac:dyDescent="0.35">
      <c r="B45" s="31"/>
      <c r="C45" s="44" t="s">
        <v>120</v>
      </c>
      <c r="E45" s="4"/>
      <c r="I45" s="30" t="s">
        <v>94</v>
      </c>
      <c r="J45" s="43">
        <f>J23</f>
        <v>0.67003000000000013</v>
      </c>
      <c r="K45" s="43">
        <f t="shared" ref="K45:U45" si="19">K23</f>
        <v>0.5303000000000001</v>
      </c>
      <c r="L45" s="43">
        <f t="shared" si="19"/>
        <v>0.17575000000000002</v>
      </c>
      <c r="M45" s="43">
        <f t="shared" si="19"/>
        <v>6.660000000000002E-2</v>
      </c>
      <c r="N45" s="43">
        <f t="shared" si="19"/>
        <v>3.3750000000000009E-2</v>
      </c>
      <c r="O45" s="43">
        <f t="shared" si="19"/>
        <v>3.3750000000000009E-2</v>
      </c>
      <c r="P45" s="43">
        <f t="shared" si="19"/>
        <v>3.3750000000000009E-2</v>
      </c>
      <c r="Q45" s="43">
        <f t="shared" si="19"/>
        <v>3.3750000000000009E-2</v>
      </c>
      <c r="R45" s="43">
        <f t="shared" si="19"/>
        <v>3.3750000000000009E-2</v>
      </c>
      <c r="S45" s="43">
        <f t="shared" si="19"/>
        <v>3.3750000000000009E-2</v>
      </c>
      <c r="T45" s="43">
        <f t="shared" si="19"/>
        <v>3.3750000000000009E-2</v>
      </c>
      <c r="U45" s="43">
        <f t="shared" si="19"/>
        <v>3.3750000000000009E-2</v>
      </c>
    </row>
    <row r="46" spans="2:22" x14ac:dyDescent="0.35">
      <c r="C46" s="2" t="s">
        <v>4</v>
      </c>
      <c r="I46" s="30" t="s">
        <v>136</v>
      </c>
      <c r="J46" s="5">
        <f t="shared" ref="J46:U46" si="20">J11</f>
        <v>4</v>
      </c>
      <c r="K46" s="5">
        <f t="shared" si="20"/>
        <v>8</v>
      </c>
      <c r="L46" s="5">
        <f t="shared" si="20"/>
        <v>16</v>
      </c>
      <c r="M46" s="5">
        <f t="shared" si="20"/>
        <v>32</v>
      </c>
      <c r="N46" s="5">
        <f t="shared" si="20"/>
        <v>64</v>
      </c>
      <c r="O46" s="5">
        <f t="shared" si="20"/>
        <v>128</v>
      </c>
      <c r="P46" s="5">
        <f t="shared" si="20"/>
        <v>166.4</v>
      </c>
      <c r="Q46" s="5">
        <f t="shared" si="20"/>
        <v>216.32000000000002</v>
      </c>
      <c r="R46" s="5">
        <f t="shared" si="20"/>
        <v>281.21600000000007</v>
      </c>
      <c r="S46" s="5">
        <f t="shared" si="20"/>
        <v>365.58080000000012</v>
      </c>
      <c r="T46" s="5">
        <f t="shared" si="20"/>
        <v>475.25504000000018</v>
      </c>
      <c r="U46" s="5">
        <f t="shared" si="20"/>
        <v>617.83155200000022</v>
      </c>
    </row>
    <row r="48" spans="2:22" x14ac:dyDescent="0.35">
      <c r="B48" s="1" t="s">
        <v>18</v>
      </c>
      <c r="I48" s="30" t="s">
        <v>137</v>
      </c>
      <c r="J48" s="57">
        <f>J49*J50</f>
        <v>0</v>
      </c>
      <c r="K48" s="57">
        <f t="shared" ref="K48:U48" si="21">K49*K50</f>
        <v>0</v>
      </c>
      <c r="L48" s="57">
        <f t="shared" si="21"/>
        <v>0</v>
      </c>
      <c r="M48" s="57">
        <f t="shared" si="21"/>
        <v>0</v>
      </c>
      <c r="N48" s="57">
        <f t="shared" si="21"/>
        <v>0</v>
      </c>
      <c r="O48" s="57">
        <f t="shared" si="21"/>
        <v>0</v>
      </c>
      <c r="P48" s="57">
        <f t="shared" si="21"/>
        <v>0</v>
      </c>
      <c r="Q48" s="57">
        <f t="shared" si="21"/>
        <v>0</v>
      </c>
      <c r="R48" s="57">
        <f t="shared" si="21"/>
        <v>0</v>
      </c>
      <c r="S48" s="57">
        <f t="shared" si="21"/>
        <v>0</v>
      </c>
      <c r="T48" s="57">
        <f t="shared" si="21"/>
        <v>0</v>
      </c>
      <c r="U48" s="57">
        <f t="shared" si="21"/>
        <v>0</v>
      </c>
      <c r="V48" s="57">
        <f>SUM(J48:U48)</f>
        <v>0</v>
      </c>
    </row>
    <row r="49" spans="2:22" hidden="1" outlineLevel="1" x14ac:dyDescent="0.35">
      <c r="C49" s="2" t="s">
        <v>6</v>
      </c>
      <c r="I49" s="2" t="s">
        <v>135</v>
      </c>
      <c r="J49" s="29">
        <f t="shared" ref="J49:U49" si="22">J10</f>
        <v>0.24</v>
      </c>
      <c r="K49" s="29">
        <f t="shared" si="22"/>
        <v>0.56000000000000005</v>
      </c>
      <c r="L49" s="29">
        <f t="shared" si="22"/>
        <v>1.28</v>
      </c>
      <c r="M49" s="29">
        <f t="shared" si="22"/>
        <v>2.56</v>
      </c>
      <c r="N49" s="29">
        <f t="shared" si="22"/>
        <v>5.12</v>
      </c>
      <c r="O49" s="29">
        <f t="shared" si="22"/>
        <v>10.24</v>
      </c>
      <c r="P49" s="29">
        <f t="shared" si="22"/>
        <v>13.312000000000001</v>
      </c>
      <c r="Q49" s="29">
        <f t="shared" si="22"/>
        <v>17.305600000000002</v>
      </c>
      <c r="R49" s="29">
        <f t="shared" si="22"/>
        <v>22.497280000000007</v>
      </c>
      <c r="S49" s="29">
        <f t="shared" si="22"/>
        <v>29.24646400000001</v>
      </c>
      <c r="T49" s="29">
        <f t="shared" si="22"/>
        <v>38.020403200000018</v>
      </c>
      <c r="U49" s="29">
        <f t="shared" si="22"/>
        <v>49.426524160000021</v>
      </c>
    </row>
    <row r="50" spans="2:22" hidden="1" outlineLevel="1" x14ac:dyDescent="0.35">
      <c r="C50" s="2" t="s">
        <v>20</v>
      </c>
      <c r="I50" s="2" t="s">
        <v>93</v>
      </c>
      <c r="J50" s="3">
        <v>0</v>
      </c>
      <c r="K50" s="2">
        <f>J50</f>
        <v>0</v>
      </c>
      <c r="L50" s="2">
        <f t="shared" ref="L50:U50" si="23">K50</f>
        <v>0</v>
      </c>
      <c r="M50" s="2">
        <f t="shared" si="23"/>
        <v>0</v>
      </c>
      <c r="N50" s="2">
        <f t="shared" si="23"/>
        <v>0</v>
      </c>
      <c r="O50" s="2">
        <f t="shared" si="23"/>
        <v>0</v>
      </c>
      <c r="P50" s="2">
        <f t="shared" si="23"/>
        <v>0</v>
      </c>
      <c r="Q50" s="2">
        <f t="shared" si="23"/>
        <v>0</v>
      </c>
      <c r="R50" s="2">
        <f t="shared" si="23"/>
        <v>0</v>
      </c>
      <c r="S50" s="2">
        <f t="shared" si="23"/>
        <v>0</v>
      </c>
      <c r="T50" s="2">
        <f t="shared" si="23"/>
        <v>0</v>
      </c>
      <c r="U50" s="2">
        <f t="shared" si="23"/>
        <v>0</v>
      </c>
    </row>
    <row r="51" spans="2:22" collapsed="1" x14ac:dyDescent="0.35"/>
    <row r="52" spans="2:22" x14ac:dyDescent="0.35">
      <c r="B52" s="1" t="s">
        <v>21</v>
      </c>
      <c r="I52" s="30" t="s">
        <v>137</v>
      </c>
      <c r="J52" s="51">
        <f>J53*J54</f>
        <v>0</v>
      </c>
      <c r="K52" s="51">
        <f>K53*K54</f>
        <v>0</v>
      </c>
      <c r="L52" s="51">
        <f t="shared" ref="L52:U52" si="24">L53*L54</f>
        <v>0</v>
      </c>
      <c r="M52" s="51">
        <f t="shared" si="24"/>
        <v>0</v>
      </c>
      <c r="N52" s="51">
        <f t="shared" si="24"/>
        <v>0</v>
      </c>
      <c r="O52" s="51">
        <f t="shared" si="24"/>
        <v>0</v>
      </c>
      <c r="P52" s="51">
        <f t="shared" si="24"/>
        <v>0</v>
      </c>
      <c r="Q52" s="51">
        <f t="shared" si="24"/>
        <v>0</v>
      </c>
      <c r="R52" s="51">
        <f t="shared" si="24"/>
        <v>0</v>
      </c>
      <c r="S52" s="51">
        <f t="shared" si="24"/>
        <v>0</v>
      </c>
      <c r="T52" s="51">
        <f t="shared" si="24"/>
        <v>0</v>
      </c>
      <c r="U52" s="51">
        <f t="shared" si="24"/>
        <v>0</v>
      </c>
      <c r="V52" s="51">
        <f>SUM(J52:U52)</f>
        <v>0</v>
      </c>
    </row>
    <row r="53" spans="2:22" hidden="1" outlineLevel="1" x14ac:dyDescent="0.35">
      <c r="C53" s="12" t="s">
        <v>23</v>
      </c>
      <c r="E53" s="1"/>
      <c r="I53" s="30" t="s">
        <v>137</v>
      </c>
      <c r="J53" s="5">
        <f t="shared" ref="J53:U53" si="25">J9</f>
        <v>9.6</v>
      </c>
      <c r="K53" s="5">
        <f t="shared" si="25"/>
        <v>23.520000000000003</v>
      </c>
      <c r="L53" s="5">
        <f t="shared" si="25"/>
        <v>57.6</v>
      </c>
      <c r="M53" s="5">
        <f t="shared" si="25"/>
        <v>115.2</v>
      </c>
      <c r="N53" s="5">
        <f t="shared" si="25"/>
        <v>230.4</v>
      </c>
      <c r="O53" s="5">
        <f t="shared" si="25"/>
        <v>460.8</v>
      </c>
      <c r="P53" s="5">
        <f t="shared" si="25"/>
        <v>599.04000000000008</v>
      </c>
      <c r="Q53" s="5">
        <f t="shared" si="25"/>
        <v>778.75200000000007</v>
      </c>
      <c r="R53" s="5">
        <f t="shared" si="25"/>
        <v>1012.3776000000004</v>
      </c>
      <c r="S53" s="5">
        <f t="shared" si="25"/>
        <v>1316.0908800000004</v>
      </c>
      <c r="T53" s="5">
        <f t="shared" si="25"/>
        <v>1710.9181440000009</v>
      </c>
      <c r="U53" s="5">
        <f t="shared" si="25"/>
        <v>2224.1935872000008</v>
      </c>
    </row>
    <row r="54" spans="2:22" hidden="1" outlineLevel="1" x14ac:dyDescent="0.35">
      <c r="C54" s="2" t="s">
        <v>22</v>
      </c>
      <c r="I54" s="2" t="s">
        <v>1</v>
      </c>
      <c r="J54" s="53">
        <v>0</v>
      </c>
      <c r="K54" s="54">
        <f>J54</f>
        <v>0</v>
      </c>
      <c r="L54" s="54">
        <f t="shared" ref="L54:U54" si="26">K54</f>
        <v>0</v>
      </c>
      <c r="M54" s="54">
        <f t="shared" si="26"/>
        <v>0</v>
      </c>
      <c r="N54" s="54">
        <f t="shared" si="26"/>
        <v>0</v>
      </c>
      <c r="O54" s="54">
        <f t="shared" si="26"/>
        <v>0</v>
      </c>
      <c r="P54" s="54">
        <f t="shared" si="26"/>
        <v>0</v>
      </c>
      <c r="Q54" s="54">
        <f t="shared" si="26"/>
        <v>0</v>
      </c>
      <c r="R54" s="54">
        <f t="shared" si="26"/>
        <v>0</v>
      </c>
      <c r="S54" s="54">
        <f t="shared" si="26"/>
        <v>0</v>
      </c>
      <c r="T54" s="54">
        <f t="shared" si="26"/>
        <v>0</v>
      </c>
      <c r="U54" s="54">
        <f t="shared" si="26"/>
        <v>0</v>
      </c>
    </row>
    <row r="55" spans="2:22" collapsed="1" x14ac:dyDescent="0.35"/>
    <row r="56" spans="2:22" x14ac:dyDescent="0.35">
      <c r="B56" s="1" t="s">
        <v>108</v>
      </c>
      <c r="I56" s="30" t="s">
        <v>137</v>
      </c>
      <c r="J56" s="51">
        <f>J57-J58-J59-J60-J61</f>
        <v>-2.2001200000000005</v>
      </c>
      <c r="K56" s="51">
        <f t="shared" ref="K56:U56" si="27">K57-K58-K59-K60-K61</f>
        <v>-1.9391200000000008</v>
      </c>
      <c r="L56" s="51">
        <f t="shared" si="27"/>
        <v>4.82</v>
      </c>
      <c r="M56" s="51">
        <f t="shared" si="27"/>
        <v>13.5168</v>
      </c>
      <c r="N56" s="51">
        <f t="shared" si="27"/>
        <v>29.712</v>
      </c>
      <c r="O56" s="51">
        <f t="shared" si="27"/>
        <v>60.064</v>
      </c>
      <c r="P56" s="51">
        <f t="shared" si="27"/>
        <v>78.083200000000005</v>
      </c>
      <c r="Q56" s="51">
        <f t="shared" si="27"/>
        <v>101.50815999999999</v>
      </c>
      <c r="R56" s="51">
        <f t="shared" si="27"/>
        <v>131.96060800000004</v>
      </c>
      <c r="S56" s="51">
        <f t="shared" si="27"/>
        <v>171.54879040000003</v>
      </c>
      <c r="T56" s="51">
        <f t="shared" si="27"/>
        <v>223.01342752000011</v>
      </c>
      <c r="U56" s="51">
        <f t="shared" si="27"/>
        <v>289.91745577600005</v>
      </c>
      <c r="V56" s="51">
        <f t="shared" ref="V56:V61" si="28">SUM(J56:U56)</f>
        <v>1100.0052016960001</v>
      </c>
    </row>
    <row r="57" spans="2:22" outlineLevel="1" x14ac:dyDescent="0.35">
      <c r="C57" s="12" t="s">
        <v>7</v>
      </c>
      <c r="E57" s="1"/>
      <c r="I57" s="30" t="s">
        <v>137</v>
      </c>
      <c r="J57" s="29">
        <f t="shared" ref="J57" si="29">J19</f>
        <v>0.91199999999999992</v>
      </c>
      <c r="K57" s="29">
        <f t="shared" ref="K57:U57" si="30">K19</f>
        <v>2.6812800000000001</v>
      </c>
      <c r="L57" s="29">
        <f t="shared" si="30"/>
        <v>8.2080000000000002</v>
      </c>
      <c r="M57" s="29">
        <f t="shared" si="30"/>
        <v>16.416</v>
      </c>
      <c r="N57" s="29">
        <f t="shared" si="30"/>
        <v>32.832000000000001</v>
      </c>
      <c r="O57" s="29">
        <f t="shared" si="30"/>
        <v>65.664000000000001</v>
      </c>
      <c r="P57" s="29">
        <f t="shared" si="30"/>
        <v>85.363200000000006</v>
      </c>
      <c r="Q57" s="29">
        <f t="shared" si="30"/>
        <v>110.97216</v>
      </c>
      <c r="R57" s="29">
        <f t="shared" si="30"/>
        <v>144.26380800000004</v>
      </c>
      <c r="S57" s="29">
        <f t="shared" si="30"/>
        <v>187.54295040000005</v>
      </c>
      <c r="T57" s="29">
        <f t="shared" si="30"/>
        <v>243.8058355200001</v>
      </c>
      <c r="U57" s="29">
        <f t="shared" si="30"/>
        <v>316.94758617600007</v>
      </c>
      <c r="V57" s="56">
        <f t="shared" si="28"/>
        <v>1215.6088200960003</v>
      </c>
    </row>
    <row r="58" spans="2:22" outlineLevel="1" x14ac:dyDescent="0.35">
      <c r="C58" s="12" t="s">
        <v>9</v>
      </c>
      <c r="E58" s="1"/>
      <c r="I58" s="30" t="s">
        <v>137</v>
      </c>
      <c r="J58" s="29">
        <f t="shared" ref="J58" si="31">J44</f>
        <v>2.6801200000000005</v>
      </c>
      <c r="K58" s="29">
        <f t="shared" ref="K58:U58" si="32">K44</f>
        <v>4.2424000000000008</v>
      </c>
      <c r="L58" s="29">
        <f t="shared" si="32"/>
        <v>2.8120000000000003</v>
      </c>
      <c r="M58" s="29">
        <f t="shared" si="32"/>
        <v>2.1312000000000006</v>
      </c>
      <c r="N58" s="29">
        <f t="shared" si="32"/>
        <v>2.1600000000000006</v>
      </c>
      <c r="O58" s="29">
        <f t="shared" si="32"/>
        <v>4.3200000000000012</v>
      </c>
      <c r="P58" s="29">
        <f t="shared" si="32"/>
        <v>5.6160000000000014</v>
      </c>
      <c r="Q58" s="29">
        <f t="shared" si="32"/>
        <v>7.3008000000000024</v>
      </c>
      <c r="R58" s="29">
        <f t="shared" si="32"/>
        <v>9.4910400000000053</v>
      </c>
      <c r="S58" s="29">
        <f t="shared" si="32"/>
        <v>12.338352000000008</v>
      </c>
      <c r="T58" s="29">
        <f t="shared" si="32"/>
        <v>16.039857600000012</v>
      </c>
      <c r="U58" s="29">
        <f t="shared" si="32"/>
        <v>20.851814880000013</v>
      </c>
      <c r="V58" s="56">
        <f t="shared" si="28"/>
        <v>89.983584480000047</v>
      </c>
    </row>
    <row r="59" spans="2:22" outlineLevel="1" x14ac:dyDescent="0.35">
      <c r="C59" s="12" t="s">
        <v>18</v>
      </c>
      <c r="E59" s="1"/>
      <c r="I59" s="30" t="s">
        <v>137</v>
      </c>
      <c r="J59" s="29">
        <f>J48</f>
        <v>0</v>
      </c>
      <c r="K59" s="29">
        <f t="shared" ref="K59:U59" si="33">K48</f>
        <v>0</v>
      </c>
      <c r="L59" s="29">
        <f t="shared" si="33"/>
        <v>0</v>
      </c>
      <c r="M59" s="29">
        <f t="shared" si="33"/>
        <v>0</v>
      </c>
      <c r="N59" s="29">
        <f t="shared" si="33"/>
        <v>0</v>
      </c>
      <c r="O59" s="29">
        <f t="shared" si="33"/>
        <v>0</v>
      </c>
      <c r="P59" s="29">
        <f t="shared" si="33"/>
        <v>0</v>
      </c>
      <c r="Q59" s="29">
        <f t="shared" si="33"/>
        <v>0</v>
      </c>
      <c r="R59" s="29">
        <f t="shared" si="33"/>
        <v>0</v>
      </c>
      <c r="S59" s="29">
        <f t="shared" si="33"/>
        <v>0</v>
      </c>
      <c r="T59" s="29">
        <f t="shared" si="33"/>
        <v>0</v>
      </c>
      <c r="U59" s="29">
        <f t="shared" si="33"/>
        <v>0</v>
      </c>
      <c r="V59" s="56">
        <f t="shared" si="28"/>
        <v>0</v>
      </c>
    </row>
    <row r="60" spans="2:22" outlineLevel="1" x14ac:dyDescent="0.35">
      <c r="C60" s="12" t="s">
        <v>21</v>
      </c>
      <c r="I60" s="30" t="s">
        <v>137</v>
      </c>
      <c r="J60" s="29">
        <f>J52</f>
        <v>0</v>
      </c>
      <c r="K60" s="29">
        <f t="shared" ref="K60:U60" si="34">K52</f>
        <v>0</v>
      </c>
      <c r="L60" s="29">
        <f t="shared" si="34"/>
        <v>0</v>
      </c>
      <c r="M60" s="29">
        <f t="shared" si="34"/>
        <v>0</v>
      </c>
      <c r="N60" s="29">
        <f t="shared" si="34"/>
        <v>0</v>
      </c>
      <c r="O60" s="29">
        <f t="shared" si="34"/>
        <v>0</v>
      </c>
      <c r="P60" s="29">
        <f t="shared" si="34"/>
        <v>0</v>
      </c>
      <c r="Q60" s="29">
        <f t="shared" si="34"/>
        <v>0</v>
      </c>
      <c r="R60" s="29">
        <f t="shared" si="34"/>
        <v>0</v>
      </c>
      <c r="S60" s="29">
        <f t="shared" si="34"/>
        <v>0</v>
      </c>
      <c r="T60" s="29">
        <f t="shared" si="34"/>
        <v>0</v>
      </c>
      <c r="U60" s="29">
        <f t="shared" si="34"/>
        <v>0</v>
      </c>
      <c r="V60" s="56">
        <f t="shared" si="28"/>
        <v>0</v>
      </c>
    </row>
    <row r="61" spans="2:22" x14ac:dyDescent="0.35">
      <c r="C61" s="64" t="s">
        <v>169</v>
      </c>
      <c r="E61" s="1"/>
      <c r="I61" s="30" t="s">
        <v>137</v>
      </c>
      <c r="J61" s="29">
        <f>'Buyers &amp; Sellers'!J$27</f>
        <v>0.43199999999999994</v>
      </c>
      <c r="K61" s="29">
        <f>'Buyers &amp; Sellers'!K$27</f>
        <v>0.37800000000000011</v>
      </c>
      <c r="L61" s="29">
        <f>'Buyers &amp; Sellers'!L$27</f>
        <v>0.57599999999999985</v>
      </c>
      <c r="M61" s="29">
        <f>'Buyers &amp; Sellers'!M$27</f>
        <v>0.76800000000000024</v>
      </c>
      <c r="N61" s="29">
        <f>'Buyers &amp; Sellers'!N$27</f>
        <v>0.95999999999999974</v>
      </c>
      <c r="O61" s="29">
        <f>'Buyers &amp; Sellers'!O$27</f>
        <v>1.2799999999999998</v>
      </c>
      <c r="P61" s="29">
        <f>'Buyers &amp; Sellers'!P$27</f>
        <v>1.6639999999999999</v>
      </c>
      <c r="Q61" s="29">
        <f>'Buyers &amp; Sellers'!Q$27</f>
        <v>2.1631999999999993</v>
      </c>
      <c r="R61" s="29">
        <f>'Buyers &amp; Sellers'!R$27</f>
        <v>2.81216</v>
      </c>
      <c r="S61" s="29">
        <f>'Buyers &amp; Sellers'!S$27</f>
        <v>3.6558080000000017</v>
      </c>
      <c r="T61" s="29">
        <f>'Buyers &amp; Sellers'!T$27</f>
        <v>4.7525504000000014</v>
      </c>
      <c r="U61" s="29">
        <f>'Buyers &amp; Sellers'!U$27</f>
        <v>6.1783155200000008</v>
      </c>
      <c r="V61" s="56">
        <f t="shared" si="28"/>
        <v>25.620033920000004</v>
      </c>
    </row>
  </sheetData>
  <hyperlinks>
    <hyperlink ref="R2" location="Master!A1" display="back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V29"/>
  <sheetViews>
    <sheetView zoomScale="70" zoomScaleNormal="70" workbookViewId="0">
      <pane xSplit="9" ySplit="4" topLeftCell="J5" activePane="bottomRight" state="frozen"/>
      <selection activeCell="I10" sqref="I10"/>
      <selection pane="topRight" activeCell="I10" sqref="I10"/>
      <selection pane="bottomLeft" activeCell="I10" sqref="I10"/>
      <selection pane="bottomRight" activeCell="A27" sqref="A27:XFD27"/>
    </sheetView>
  </sheetViews>
  <sheetFormatPr defaultColWidth="9.1796875" defaultRowHeight="14.5" x14ac:dyDescent="0.35"/>
  <cols>
    <col min="1" max="1" width="12.90625" style="30" customWidth="1"/>
    <col min="2" max="2" width="3.7265625" style="30" customWidth="1"/>
    <col min="3" max="3" width="3" style="30" customWidth="1"/>
    <col min="4" max="4" width="2.1796875" style="30" customWidth="1"/>
    <col min="5" max="5" width="3.453125" style="4" customWidth="1"/>
    <col min="6" max="7" width="9.1796875" style="30"/>
    <col min="8" max="8" width="7.81640625" style="30" customWidth="1"/>
    <col min="9" max="9" width="16.26953125" style="30" bestFit="1" customWidth="1"/>
    <col min="10" max="16384" width="9.1796875" style="30"/>
  </cols>
  <sheetData>
    <row r="1" spans="1:22" x14ac:dyDescent="0.35">
      <c r="A1" s="31" t="s">
        <v>174</v>
      </c>
    </row>
    <row r="2" spans="1:22" x14ac:dyDescent="0.35">
      <c r="R2" s="24" t="s">
        <v>37</v>
      </c>
    </row>
    <row r="4" spans="1:22" x14ac:dyDescent="0.35">
      <c r="J4" s="31">
        <v>1</v>
      </c>
      <c r="K4" s="31">
        <v>2</v>
      </c>
      <c r="L4" s="31">
        <v>3</v>
      </c>
      <c r="M4" s="31">
        <v>4</v>
      </c>
      <c r="N4" s="31">
        <v>5</v>
      </c>
      <c r="O4" s="31">
        <v>6</v>
      </c>
      <c r="P4" s="31">
        <v>7</v>
      </c>
      <c r="Q4" s="31">
        <v>8</v>
      </c>
      <c r="R4" s="31">
        <v>9</v>
      </c>
      <c r="S4" s="31">
        <v>10</v>
      </c>
      <c r="T4" s="31">
        <v>11</v>
      </c>
      <c r="U4" s="31">
        <v>12</v>
      </c>
      <c r="V4" s="31" t="s">
        <v>105</v>
      </c>
    </row>
    <row r="6" spans="1:22" x14ac:dyDescent="0.35">
      <c r="B6" s="31" t="s">
        <v>155</v>
      </c>
      <c r="I6" s="30" t="s">
        <v>158</v>
      </c>
      <c r="J6" s="4">
        <f>J7/J8*1000</f>
        <v>48</v>
      </c>
      <c r="K6" s="4">
        <f t="shared" ref="K6:U6" si="0">K7/K8*1000</f>
        <v>112.00000000000001</v>
      </c>
      <c r="L6" s="4">
        <f t="shared" si="0"/>
        <v>256</v>
      </c>
      <c r="M6" s="4">
        <f t="shared" si="0"/>
        <v>512</v>
      </c>
      <c r="N6" s="4">
        <f t="shared" si="0"/>
        <v>1024</v>
      </c>
      <c r="O6" s="4">
        <f t="shared" si="0"/>
        <v>2048</v>
      </c>
      <c r="P6" s="4">
        <f t="shared" si="0"/>
        <v>2662.4000000000005</v>
      </c>
      <c r="Q6" s="4">
        <f t="shared" si="0"/>
        <v>3461.1200000000003</v>
      </c>
      <c r="R6" s="4">
        <f t="shared" si="0"/>
        <v>4499.456000000001</v>
      </c>
      <c r="S6" s="4">
        <f t="shared" si="0"/>
        <v>5849.292800000002</v>
      </c>
      <c r="T6" s="4">
        <f t="shared" si="0"/>
        <v>7604.0806400000038</v>
      </c>
      <c r="U6" s="4">
        <f t="shared" si="0"/>
        <v>9885.3048320000053</v>
      </c>
    </row>
    <row r="7" spans="1:22" x14ac:dyDescent="0.35">
      <c r="C7" s="64" t="s">
        <v>6</v>
      </c>
      <c r="I7" s="30" t="s">
        <v>135</v>
      </c>
      <c r="J7" s="65">
        <f>'Sales &amp; Margin'!J$10</f>
        <v>0.24</v>
      </c>
      <c r="K7" s="65">
        <f>'Sales &amp; Margin'!K$10</f>
        <v>0.56000000000000005</v>
      </c>
      <c r="L7" s="65">
        <f>'Sales &amp; Margin'!L$10</f>
        <v>1.28</v>
      </c>
      <c r="M7" s="65">
        <f>'Sales &amp; Margin'!M$10</f>
        <v>2.56</v>
      </c>
      <c r="N7" s="65">
        <f>'Sales &amp; Margin'!N$10</f>
        <v>5.12</v>
      </c>
      <c r="O7" s="65">
        <f>'Sales &amp; Margin'!O$10</f>
        <v>10.24</v>
      </c>
      <c r="P7" s="65">
        <f>'Sales &amp; Margin'!P$10</f>
        <v>13.312000000000001</v>
      </c>
      <c r="Q7" s="65">
        <f>'Sales &amp; Margin'!Q$10</f>
        <v>17.305600000000002</v>
      </c>
      <c r="R7" s="65">
        <f>'Sales &amp; Margin'!R$10</f>
        <v>22.497280000000007</v>
      </c>
      <c r="S7" s="65">
        <f>'Sales &amp; Margin'!S$10</f>
        <v>29.24646400000001</v>
      </c>
      <c r="T7" s="65">
        <f>'Sales &amp; Margin'!T$10</f>
        <v>38.020403200000018</v>
      </c>
      <c r="U7" s="65">
        <f>'Sales &amp; Margin'!U$10</f>
        <v>49.426524160000021</v>
      </c>
    </row>
    <row r="8" spans="1:22" x14ac:dyDescent="0.35">
      <c r="C8" s="30" t="s">
        <v>156</v>
      </c>
      <c r="I8" s="30" t="s">
        <v>157</v>
      </c>
      <c r="J8" s="3">
        <v>5</v>
      </c>
      <c r="K8" s="30">
        <f>J8</f>
        <v>5</v>
      </c>
      <c r="L8" s="30">
        <f t="shared" ref="L8:U8" si="1">K8</f>
        <v>5</v>
      </c>
      <c r="M8" s="30">
        <f t="shared" si="1"/>
        <v>5</v>
      </c>
      <c r="N8" s="30">
        <f t="shared" si="1"/>
        <v>5</v>
      </c>
      <c r="O8" s="30">
        <f t="shared" si="1"/>
        <v>5</v>
      </c>
      <c r="P8" s="30">
        <f t="shared" si="1"/>
        <v>5</v>
      </c>
      <c r="Q8" s="30">
        <f t="shared" si="1"/>
        <v>5</v>
      </c>
      <c r="R8" s="30">
        <f t="shared" si="1"/>
        <v>5</v>
      </c>
      <c r="S8" s="30">
        <f t="shared" si="1"/>
        <v>5</v>
      </c>
      <c r="T8" s="30">
        <f t="shared" si="1"/>
        <v>5</v>
      </c>
      <c r="U8" s="30">
        <f t="shared" si="1"/>
        <v>5</v>
      </c>
    </row>
    <row r="10" spans="1:22" x14ac:dyDescent="0.35">
      <c r="B10" s="31" t="s">
        <v>163</v>
      </c>
      <c r="I10" s="30" t="s">
        <v>165</v>
      </c>
      <c r="J10" s="4">
        <f>J11/J12*1000</f>
        <v>24</v>
      </c>
      <c r="K10" s="4">
        <f t="shared" ref="K10" si="2">K11/K12*1000</f>
        <v>28.000000000000004</v>
      </c>
      <c r="L10" s="4">
        <f t="shared" ref="L10" si="3">L11/L12*1000</f>
        <v>42.666666666666664</v>
      </c>
      <c r="M10" s="4">
        <f t="shared" ref="M10" si="4">M11/M12*1000</f>
        <v>73.142857142857153</v>
      </c>
      <c r="N10" s="4">
        <f t="shared" ref="N10" si="5">N11/N12*1000</f>
        <v>128</v>
      </c>
      <c r="O10" s="4">
        <f t="shared" ref="O10" si="6">O11/O12*1000</f>
        <v>256</v>
      </c>
      <c r="P10" s="4">
        <f t="shared" ref="P10" si="7">P11/P12*1000</f>
        <v>332.80000000000007</v>
      </c>
      <c r="Q10" s="4">
        <f t="shared" ref="Q10" si="8">Q11/Q12*1000</f>
        <v>432.64000000000004</v>
      </c>
      <c r="R10" s="4">
        <f t="shared" ref="R10" si="9">R11/R12*1000</f>
        <v>562.43200000000013</v>
      </c>
      <c r="S10" s="4">
        <f t="shared" ref="S10" si="10">S11/S12*1000</f>
        <v>731.16160000000025</v>
      </c>
      <c r="T10" s="4">
        <f t="shared" ref="T10" si="11">T11/T12*1000</f>
        <v>950.51008000000047</v>
      </c>
      <c r="U10" s="4">
        <f t="shared" ref="U10" si="12">U11/U12*1000</f>
        <v>1235.6631040000007</v>
      </c>
    </row>
    <row r="11" spans="1:22" x14ac:dyDescent="0.35">
      <c r="C11" s="64" t="s">
        <v>6</v>
      </c>
      <c r="I11" s="30" t="s">
        <v>135</v>
      </c>
      <c r="J11" s="65">
        <f>'Sales &amp; Margin'!J$10</f>
        <v>0.24</v>
      </c>
      <c r="K11" s="65">
        <f>'Sales &amp; Margin'!K$10</f>
        <v>0.56000000000000005</v>
      </c>
      <c r="L11" s="65">
        <f>'Sales &amp; Margin'!L$10</f>
        <v>1.28</v>
      </c>
      <c r="M11" s="65">
        <f>'Sales &amp; Margin'!M$10</f>
        <v>2.56</v>
      </c>
      <c r="N11" s="65">
        <f>'Sales &amp; Margin'!N$10</f>
        <v>5.12</v>
      </c>
      <c r="O11" s="65">
        <f>'Sales &amp; Margin'!O$10</f>
        <v>10.24</v>
      </c>
      <c r="P11" s="65">
        <f>'Sales &amp; Margin'!P$10</f>
        <v>13.312000000000001</v>
      </c>
      <c r="Q11" s="65">
        <f>'Sales &amp; Margin'!Q$10</f>
        <v>17.305600000000002</v>
      </c>
      <c r="R11" s="65">
        <f>'Sales &amp; Margin'!R$10</f>
        <v>22.497280000000007</v>
      </c>
      <c r="S11" s="65">
        <f>'Sales &amp; Margin'!S$10</f>
        <v>29.24646400000001</v>
      </c>
      <c r="T11" s="65">
        <f>'Sales &amp; Margin'!T$10</f>
        <v>38.020403200000018</v>
      </c>
      <c r="U11" s="65">
        <f>'Sales &amp; Margin'!U$10</f>
        <v>49.426524160000021</v>
      </c>
    </row>
    <row r="12" spans="1:22" x14ac:dyDescent="0.35">
      <c r="C12" s="30" t="s">
        <v>159</v>
      </c>
      <c r="I12" s="30" t="s">
        <v>166</v>
      </c>
      <c r="J12" s="3">
        <v>10</v>
      </c>
      <c r="K12" s="3">
        <v>20</v>
      </c>
      <c r="L12" s="3">
        <v>30</v>
      </c>
      <c r="M12" s="3">
        <v>35</v>
      </c>
      <c r="N12" s="3">
        <v>40</v>
      </c>
      <c r="O12" s="30">
        <f t="shared" ref="O12:U12" si="13">N12</f>
        <v>40</v>
      </c>
      <c r="P12" s="30">
        <f t="shared" si="13"/>
        <v>40</v>
      </c>
      <c r="Q12" s="30">
        <f t="shared" si="13"/>
        <v>40</v>
      </c>
      <c r="R12" s="30">
        <f t="shared" si="13"/>
        <v>40</v>
      </c>
      <c r="S12" s="30">
        <f t="shared" si="13"/>
        <v>40</v>
      </c>
      <c r="T12" s="30">
        <f t="shared" si="13"/>
        <v>40</v>
      </c>
      <c r="U12" s="30">
        <f t="shared" si="13"/>
        <v>40</v>
      </c>
    </row>
    <row r="14" spans="1:22" s="31" customFormat="1" x14ac:dyDescent="0.35">
      <c r="B14" s="31" t="s">
        <v>160</v>
      </c>
      <c r="E14" s="4"/>
      <c r="I14" s="31" t="s">
        <v>165</v>
      </c>
      <c r="J14" s="4">
        <f>J15*J16</f>
        <v>9.6000000000000014</v>
      </c>
      <c r="K14" s="4">
        <f t="shared" ref="K14:U14" si="14">K15*K16</f>
        <v>16.8</v>
      </c>
      <c r="L14" s="4">
        <f t="shared" si="14"/>
        <v>25.6</v>
      </c>
      <c r="M14" s="4">
        <f t="shared" si="14"/>
        <v>51.2</v>
      </c>
      <c r="N14" s="4">
        <f t="shared" si="14"/>
        <v>102.4</v>
      </c>
      <c r="O14" s="4">
        <f t="shared" si="14"/>
        <v>204.8</v>
      </c>
      <c r="P14" s="4">
        <f t="shared" si="14"/>
        <v>266.24000000000007</v>
      </c>
      <c r="Q14" s="4">
        <f t="shared" si="14"/>
        <v>346.11200000000008</v>
      </c>
      <c r="R14" s="4">
        <f t="shared" si="14"/>
        <v>449.94560000000013</v>
      </c>
      <c r="S14" s="4">
        <f t="shared" si="14"/>
        <v>584.92928000000018</v>
      </c>
      <c r="T14" s="4">
        <f t="shared" si="14"/>
        <v>760.40806400000042</v>
      </c>
      <c r="U14" s="4">
        <f t="shared" si="14"/>
        <v>988.53048320000062</v>
      </c>
    </row>
    <row r="15" spans="1:22" x14ac:dyDescent="0.35">
      <c r="C15" s="64" t="s">
        <v>155</v>
      </c>
      <c r="I15" s="30" t="s">
        <v>158</v>
      </c>
      <c r="J15" s="66">
        <f t="shared" ref="J15:U15" si="15">J6</f>
        <v>48</v>
      </c>
      <c r="K15" s="66">
        <f t="shared" si="15"/>
        <v>112.00000000000001</v>
      </c>
      <c r="L15" s="66">
        <f t="shared" si="15"/>
        <v>256</v>
      </c>
      <c r="M15" s="66">
        <f t="shared" si="15"/>
        <v>512</v>
      </c>
      <c r="N15" s="66">
        <f t="shared" si="15"/>
        <v>1024</v>
      </c>
      <c r="O15" s="66">
        <f t="shared" si="15"/>
        <v>2048</v>
      </c>
      <c r="P15" s="66">
        <f t="shared" si="15"/>
        <v>2662.4000000000005</v>
      </c>
      <c r="Q15" s="66">
        <f t="shared" si="15"/>
        <v>3461.1200000000003</v>
      </c>
      <c r="R15" s="66">
        <f t="shared" si="15"/>
        <v>4499.456000000001</v>
      </c>
      <c r="S15" s="66">
        <f t="shared" si="15"/>
        <v>5849.292800000002</v>
      </c>
      <c r="T15" s="66">
        <f t="shared" si="15"/>
        <v>7604.0806400000038</v>
      </c>
      <c r="U15" s="66">
        <f t="shared" si="15"/>
        <v>9885.3048320000053</v>
      </c>
    </row>
    <row r="16" spans="1:22" x14ac:dyDescent="0.35">
      <c r="C16" s="30" t="s">
        <v>161</v>
      </c>
      <c r="I16" s="30" t="s">
        <v>1</v>
      </c>
      <c r="J16" s="6">
        <v>0.2</v>
      </c>
      <c r="K16" s="6">
        <v>0.15</v>
      </c>
      <c r="L16" s="6">
        <v>0.1</v>
      </c>
      <c r="M16" s="9">
        <f t="shared" ref="M16:U16" si="16">L16</f>
        <v>0.1</v>
      </c>
      <c r="N16" s="9">
        <f t="shared" si="16"/>
        <v>0.1</v>
      </c>
      <c r="O16" s="9">
        <f t="shared" si="16"/>
        <v>0.1</v>
      </c>
      <c r="P16" s="9">
        <f t="shared" si="16"/>
        <v>0.1</v>
      </c>
      <c r="Q16" s="9">
        <f t="shared" si="16"/>
        <v>0.1</v>
      </c>
      <c r="R16" s="9">
        <f t="shared" si="16"/>
        <v>0.1</v>
      </c>
      <c r="S16" s="9">
        <f t="shared" si="16"/>
        <v>0.1</v>
      </c>
      <c r="T16" s="9">
        <f t="shared" si="16"/>
        <v>0.1</v>
      </c>
      <c r="U16" s="9">
        <f t="shared" si="16"/>
        <v>0.1</v>
      </c>
    </row>
    <row r="18" spans="2:21" x14ac:dyDescent="0.35">
      <c r="B18" s="31" t="s">
        <v>162</v>
      </c>
      <c r="I18" s="31" t="s">
        <v>165</v>
      </c>
      <c r="J18" s="4">
        <f>J19*J20</f>
        <v>0</v>
      </c>
      <c r="K18" s="4">
        <f t="shared" ref="K18:U18" si="17">K19*K20</f>
        <v>1.4000000000000004</v>
      </c>
      <c r="L18" s="4">
        <f t="shared" si="17"/>
        <v>2.1333333333333333</v>
      </c>
      <c r="M18" s="4">
        <f t="shared" si="17"/>
        <v>3.6571428571428579</v>
      </c>
      <c r="N18" s="4">
        <f t="shared" si="17"/>
        <v>6.4</v>
      </c>
      <c r="O18" s="4">
        <f t="shared" si="17"/>
        <v>12.8</v>
      </c>
      <c r="P18" s="4">
        <f t="shared" si="17"/>
        <v>16.640000000000004</v>
      </c>
      <c r="Q18" s="4">
        <f t="shared" si="17"/>
        <v>21.632000000000005</v>
      </c>
      <c r="R18" s="4">
        <f t="shared" si="17"/>
        <v>28.121600000000008</v>
      </c>
      <c r="S18" s="4">
        <f t="shared" si="17"/>
        <v>36.558080000000011</v>
      </c>
      <c r="T18" s="4">
        <f t="shared" si="17"/>
        <v>47.525504000000026</v>
      </c>
      <c r="U18" s="4">
        <f t="shared" si="17"/>
        <v>61.783155200000039</v>
      </c>
    </row>
    <row r="19" spans="2:21" x14ac:dyDescent="0.35">
      <c r="C19" s="64" t="s">
        <v>163</v>
      </c>
      <c r="I19" s="64" t="s">
        <v>165</v>
      </c>
      <c r="J19" s="5">
        <f t="shared" ref="J19:U19" si="18">J10</f>
        <v>24</v>
      </c>
      <c r="K19" s="5">
        <f t="shared" si="18"/>
        <v>28.000000000000004</v>
      </c>
      <c r="L19" s="5">
        <f t="shared" si="18"/>
        <v>42.666666666666664</v>
      </c>
      <c r="M19" s="5">
        <f t="shared" si="18"/>
        <v>73.142857142857153</v>
      </c>
      <c r="N19" s="5">
        <f t="shared" si="18"/>
        <v>128</v>
      </c>
      <c r="O19" s="5">
        <f t="shared" si="18"/>
        <v>256</v>
      </c>
      <c r="P19" s="5">
        <f t="shared" si="18"/>
        <v>332.80000000000007</v>
      </c>
      <c r="Q19" s="5">
        <f t="shared" si="18"/>
        <v>432.64000000000004</v>
      </c>
      <c r="R19" s="5">
        <f t="shared" si="18"/>
        <v>562.43200000000013</v>
      </c>
      <c r="S19" s="5">
        <f t="shared" si="18"/>
        <v>731.16160000000025</v>
      </c>
      <c r="T19" s="5">
        <f t="shared" si="18"/>
        <v>950.51008000000047</v>
      </c>
      <c r="U19" s="5">
        <f t="shared" si="18"/>
        <v>1235.6631040000007</v>
      </c>
    </row>
    <row r="20" spans="2:21" x14ac:dyDescent="0.35">
      <c r="C20" s="30" t="s">
        <v>164</v>
      </c>
      <c r="I20" s="30" t="s">
        <v>1</v>
      </c>
      <c r="J20" s="6"/>
      <c r="K20" s="6">
        <v>0.05</v>
      </c>
      <c r="L20" s="9">
        <f t="shared" ref="L20:U20" si="19">K20</f>
        <v>0.05</v>
      </c>
      <c r="M20" s="9">
        <f t="shared" si="19"/>
        <v>0.05</v>
      </c>
      <c r="N20" s="9">
        <f t="shared" si="19"/>
        <v>0.05</v>
      </c>
      <c r="O20" s="9">
        <f t="shared" si="19"/>
        <v>0.05</v>
      </c>
      <c r="P20" s="9">
        <f t="shared" si="19"/>
        <v>0.05</v>
      </c>
      <c r="Q20" s="9">
        <f t="shared" si="19"/>
        <v>0.05</v>
      </c>
      <c r="R20" s="9">
        <f t="shared" si="19"/>
        <v>0.05</v>
      </c>
      <c r="S20" s="9">
        <f t="shared" si="19"/>
        <v>0.05</v>
      </c>
      <c r="T20" s="9">
        <f t="shared" si="19"/>
        <v>0.05</v>
      </c>
      <c r="U20" s="9">
        <f t="shared" si="19"/>
        <v>0.05</v>
      </c>
    </row>
    <row r="22" spans="2:21" x14ac:dyDescent="0.35">
      <c r="B22" s="31" t="s">
        <v>167</v>
      </c>
      <c r="I22" s="64" t="s">
        <v>165</v>
      </c>
      <c r="J22" s="4">
        <f>J23-J24+J25</f>
        <v>14.399999999999999</v>
      </c>
      <c r="K22" s="4">
        <f t="shared" ref="K22:U22" si="20">K23-K24+K25</f>
        <v>12.600000000000003</v>
      </c>
      <c r="L22" s="4">
        <f t="shared" si="20"/>
        <v>19.199999999999996</v>
      </c>
      <c r="M22" s="4">
        <f t="shared" si="20"/>
        <v>25.600000000000009</v>
      </c>
      <c r="N22" s="4">
        <f t="shared" si="20"/>
        <v>31.999999999999993</v>
      </c>
      <c r="O22" s="4">
        <f t="shared" si="20"/>
        <v>63.999999999999986</v>
      </c>
      <c r="P22" s="4">
        <f t="shared" si="20"/>
        <v>83.2</v>
      </c>
      <c r="Q22" s="4">
        <f t="shared" si="20"/>
        <v>108.15999999999997</v>
      </c>
      <c r="R22" s="4">
        <f t="shared" si="20"/>
        <v>140.608</v>
      </c>
      <c r="S22" s="4">
        <f t="shared" si="20"/>
        <v>182.79040000000009</v>
      </c>
      <c r="T22" s="4">
        <f t="shared" si="20"/>
        <v>237.62752000000006</v>
      </c>
      <c r="U22" s="4">
        <f t="shared" si="20"/>
        <v>308.91577600000005</v>
      </c>
    </row>
    <row r="23" spans="2:21" x14ac:dyDescent="0.35">
      <c r="C23" s="64" t="s">
        <v>168</v>
      </c>
      <c r="I23" s="64" t="s">
        <v>165</v>
      </c>
      <c r="J23" s="5">
        <f>J10</f>
        <v>24</v>
      </c>
      <c r="K23" s="5">
        <f t="shared" ref="K23:U23" si="21">K10</f>
        <v>28.000000000000004</v>
      </c>
      <c r="L23" s="5">
        <f t="shared" si="21"/>
        <v>42.666666666666664</v>
      </c>
      <c r="M23" s="5">
        <f t="shared" si="21"/>
        <v>73.142857142857153</v>
      </c>
      <c r="N23" s="5">
        <f t="shared" si="21"/>
        <v>128</v>
      </c>
      <c r="O23" s="5">
        <f t="shared" si="21"/>
        <v>256</v>
      </c>
      <c r="P23" s="5">
        <f t="shared" si="21"/>
        <v>332.80000000000007</v>
      </c>
      <c r="Q23" s="5">
        <f t="shared" si="21"/>
        <v>432.64000000000004</v>
      </c>
      <c r="R23" s="5">
        <f t="shared" si="21"/>
        <v>562.43200000000013</v>
      </c>
      <c r="S23" s="5">
        <f t="shared" si="21"/>
        <v>731.16160000000025</v>
      </c>
      <c r="T23" s="5">
        <f t="shared" si="21"/>
        <v>950.51008000000047</v>
      </c>
      <c r="U23" s="5">
        <f t="shared" si="21"/>
        <v>1235.6631040000007</v>
      </c>
    </row>
    <row r="24" spans="2:21" x14ac:dyDescent="0.35">
      <c r="C24" s="64" t="s">
        <v>160</v>
      </c>
      <c r="I24" s="64" t="s">
        <v>165</v>
      </c>
      <c r="J24" s="5">
        <f>J14</f>
        <v>9.6000000000000014</v>
      </c>
      <c r="K24" s="5">
        <f t="shared" ref="K24" si="22">K14</f>
        <v>16.8</v>
      </c>
      <c r="L24" s="5">
        <f t="shared" ref="L24:U24" si="23">L14</f>
        <v>25.6</v>
      </c>
      <c r="M24" s="5">
        <f t="shared" si="23"/>
        <v>51.2</v>
      </c>
      <c r="N24" s="5">
        <f t="shared" si="23"/>
        <v>102.4</v>
      </c>
      <c r="O24" s="5">
        <f t="shared" si="23"/>
        <v>204.8</v>
      </c>
      <c r="P24" s="5">
        <f t="shared" si="23"/>
        <v>266.24000000000007</v>
      </c>
      <c r="Q24" s="5">
        <f t="shared" si="23"/>
        <v>346.11200000000008</v>
      </c>
      <c r="R24" s="5">
        <f t="shared" si="23"/>
        <v>449.94560000000013</v>
      </c>
      <c r="S24" s="5">
        <f t="shared" si="23"/>
        <v>584.92928000000018</v>
      </c>
      <c r="T24" s="5">
        <f t="shared" si="23"/>
        <v>760.40806400000042</v>
      </c>
      <c r="U24" s="5">
        <f t="shared" si="23"/>
        <v>988.53048320000062</v>
      </c>
    </row>
    <row r="25" spans="2:21" x14ac:dyDescent="0.35">
      <c r="C25" s="64" t="s">
        <v>162</v>
      </c>
      <c r="I25" s="64" t="s">
        <v>165</v>
      </c>
      <c r="J25" s="5">
        <f>J18</f>
        <v>0</v>
      </c>
      <c r="K25" s="5">
        <f t="shared" ref="K25:U25" si="24">K18</f>
        <v>1.4000000000000004</v>
      </c>
      <c r="L25" s="5">
        <f t="shared" si="24"/>
        <v>2.1333333333333333</v>
      </c>
      <c r="M25" s="5">
        <f t="shared" si="24"/>
        <v>3.6571428571428579</v>
      </c>
      <c r="N25" s="5">
        <f t="shared" si="24"/>
        <v>6.4</v>
      </c>
      <c r="O25" s="5">
        <f t="shared" si="24"/>
        <v>12.8</v>
      </c>
      <c r="P25" s="5">
        <f t="shared" si="24"/>
        <v>16.640000000000004</v>
      </c>
      <c r="Q25" s="5">
        <f t="shared" si="24"/>
        <v>21.632000000000005</v>
      </c>
      <c r="R25" s="5">
        <f t="shared" si="24"/>
        <v>28.121600000000008</v>
      </c>
      <c r="S25" s="5">
        <f t="shared" si="24"/>
        <v>36.558080000000011</v>
      </c>
      <c r="T25" s="5">
        <f t="shared" si="24"/>
        <v>47.525504000000026</v>
      </c>
      <c r="U25" s="5">
        <f t="shared" si="24"/>
        <v>61.783155200000039</v>
      </c>
    </row>
    <row r="27" spans="2:21" s="31" customFormat="1" x14ac:dyDescent="0.35">
      <c r="B27" s="31" t="s">
        <v>169</v>
      </c>
      <c r="E27" s="4"/>
      <c r="I27" s="31" t="s">
        <v>137</v>
      </c>
      <c r="J27" s="51">
        <f>J28*J29/1000</f>
        <v>0.43199999999999994</v>
      </c>
      <c r="K27" s="51">
        <f t="shared" ref="K27:U27" si="25">K28*K29/1000</f>
        <v>0.37800000000000011</v>
      </c>
      <c r="L27" s="51">
        <f t="shared" si="25"/>
        <v>0.57599999999999985</v>
      </c>
      <c r="M27" s="51">
        <f t="shared" si="25"/>
        <v>0.76800000000000024</v>
      </c>
      <c r="N27" s="51">
        <f t="shared" si="25"/>
        <v>0.95999999999999974</v>
      </c>
      <c r="O27" s="51">
        <f t="shared" si="25"/>
        <v>1.2799999999999998</v>
      </c>
      <c r="P27" s="51">
        <f t="shared" si="25"/>
        <v>1.6639999999999999</v>
      </c>
      <c r="Q27" s="51">
        <f t="shared" si="25"/>
        <v>2.1631999999999993</v>
      </c>
      <c r="R27" s="51">
        <f t="shared" si="25"/>
        <v>2.81216</v>
      </c>
      <c r="S27" s="51">
        <f t="shared" si="25"/>
        <v>3.6558080000000017</v>
      </c>
      <c r="T27" s="51">
        <f t="shared" si="25"/>
        <v>4.7525504000000014</v>
      </c>
      <c r="U27" s="51">
        <f t="shared" si="25"/>
        <v>6.1783155200000008</v>
      </c>
    </row>
    <row r="28" spans="2:21" x14ac:dyDescent="0.35">
      <c r="C28" s="64" t="s">
        <v>167</v>
      </c>
      <c r="I28" s="64" t="s">
        <v>165</v>
      </c>
      <c r="J28" s="5">
        <f>J22</f>
        <v>14.399999999999999</v>
      </c>
      <c r="K28" s="5">
        <f t="shared" ref="K28:U28" si="26">K22</f>
        <v>12.600000000000003</v>
      </c>
      <c r="L28" s="5">
        <f t="shared" si="26"/>
        <v>19.199999999999996</v>
      </c>
      <c r="M28" s="5">
        <f t="shared" si="26"/>
        <v>25.600000000000009</v>
      </c>
      <c r="N28" s="5">
        <f t="shared" si="26"/>
        <v>31.999999999999993</v>
      </c>
      <c r="O28" s="5">
        <f t="shared" si="26"/>
        <v>63.999999999999986</v>
      </c>
      <c r="P28" s="5">
        <f t="shared" si="26"/>
        <v>83.2</v>
      </c>
      <c r="Q28" s="5">
        <f t="shared" si="26"/>
        <v>108.15999999999997</v>
      </c>
      <c r="R28" s="5">
        <f t="shared" si="26"/>
        <v>140.608</v>
      </c>
      <c r="S28" s="5">
        <f t="shared" si="26"/>
        <v>182.79040000000009</v>
      </c>
      <c r="T28" s="5">
        <f t="shared" si="26"/>
        <v>237.62752000000006</v>
      </c>
      <c r="U28" s="5">
        <f t="shared" si="26"/>
        <v>308.91577600000005</v>
      </c>
    </row>
    <row r="29" spans="2:21" x14ac:dyDescent="0.35">
      <c r="C29" s="30" t="s">
        <v>170</v>
      </c>
      <c r="I29" s="30" t="s">
        <v>171</v>
      </c>
      <c r="J29" s="3">
        <v>30</v>
      </c>
      <c r="K29" s="30">
        <f>J29</f>
        <v>30</v>
      </c>
      <c r="L29" s="30">
        <f t="shared" ref="L29:U29" si="27">K29</f>
        <v>30</v>
      </c>
      <c r="M29" s="30">
        <f t="shared" si="27"/>
        <v>30</v>
      </c>
      <c r="N29" s="30">
        <f t="shared" si="27"/>
        <v>30</v>
      </c>
      <c r="O29" s="3">
        <v>20</v>
      </c>
      <c r="P29" s="30">
        <f t="shared" si="27"/>
        <v>20</v>
      </c>
      <c r="Q29" s="30">
        <f t="shared" si="27"/>
        <v>20</v>
      </c>
      <c r="R29" s="30">
        <f t="shared" si="27"/>
        <v>20</v>
      </c>
      <c r="S29" s="30">
        <f t="shared" si="27"/>
        <v>20</v>
      </c>
      <c r="T29" s="30">
        <f t="shared" si="27"/>
        <v>20</v>
      </c>
      <c r="U29" s="30">
        <f t="shared" si="27"/>
        <v>20</v>
      </c>
    </row>
  </sheetData>
  <hyperlinks>
    <hyperlink ref="R2" location="Master!A1" display="back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U30"/>
  <sheetViews>
    <sheetView zoomScale="70" zoomScaleNormal="70" workbookViewId="0">
      <pane xSplit="9" ySplit="4" topLeftCell="J5" activePane="bottomRight" state="frozen"/>
      <selection activeCell="I10" sqref="I10"/>
      <selection pane="topRight" activeCell="I10" sqref="I10"/>
      <selection pane="bottomLeft" activeCell="I10" sqref="I10"/>
      <selection pane="bottomRight" activeCell="N32" sqref="N32"/>
    </sheetView>
  </sheetViews>
  <sheetFormatPr defaultColWidth="9.1796875" defaultRowHeight="14.5" outlineLevelRow="1" x14ac:dyDescent="0.35"/>
  <cols>
    <col min="1" max="1" width="3.7265625" style="30" customWidth="1"/>
    <col min="2" max="2" width="4.7265625" style="30" customWidth="1"/>
    <col min="3" max="3" width="3.7265625" style="30" customWidth="1"/>
    <col min="4" max="4" width="2" style="30" customWidth="1"/>
    <col min="5" max="6" width="1.1796875" style="30" customWidth="1"/>
    <col min="7" max="7" width="9.1796875" style="30"/>
    <col min="8" max="8" width="24.1796875" style="30" customWidth="1"/>
    <col min="9" max="9" width="13.26953125" style="30" bestFit="1" customWidth="1"/>
    <col min="10" max="21" width="9.54296875" style="30" customWidth="1"/>
    <col min="22" max="16384" width="9.1796875" style="30"/>
  </cols>
  <sheetData>
    <row r="1" spans="1:21" x14ac:dyDescent="0.35">
      <c r="A1" s="31" t="s">
        <v>138</v>
      </c>
    </row>
    <row r="2" spans="1:21" x14ac:dyDescent="0.35">
      <c r="S2" s="24" t="s">
        <v>37</v>
      </c>
    </row>
    <row r="4" spans="1:21" x14ac:dyDescent="0.35">
      <c r="J4" s="31">
        <v>1</v>
      </c>
      <c r="K4" s="31">
        <v>2</v>
      </c>
      <c r="L4" s="31">
        <v>3</v>
      </c>
      <c r="M4" s="31">
        <v>4</v>
      </c>
      <c r="N4" s="31">
        <v>5</v>
      </c>
      <c r="O4" s="31">
        <v>6</v>
      </c>
      <c r="P4" s="31">
        <v>7</v>
      </c>
      <c r="Q4" s="31">
        <v>8</v>
      </c>
      <c r="R4" s="31">
        <v>9</v>
      </c>
      <c r="S4" s="31">
        <v>10</v>
      </c>
      <c r="T4" s="31">
        <v>11</v>
      </c>
      <c r="U4" s="31">
        <v>12</v>
      </c>
    </row>
    <row r="5" spans="1:21" x14ac:dyDescent="0.35"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x14ac:dyDescent="0.35">
      <c r="D6" s="31" t="s">
        <v>139</v>
      </c>
      <c r="I6" s="30" t="s">
        <v>86</v>
      </c>
      <c r="J6" s="31">
        <f>VLOOKUP(J7,Rules!$H$7:$J$14,3,1)</f>
        <v>50</v>
      </c>
      <c r="K6" s="31">
        <f>VLOOKUP(K7,Rules!$H$7:$J$14,3,1)</f>
        <v>90</v>
      </c>
      <c r="L6" s="31">
        <f>VLOOKUP(L7,Rules!$H$7:$J$14,3,1)</f>
        <v>200</v>
      </c>
      <c r="M6" s="31">
        <f>VLOOKUP(M7,Rules!$H$7:$J$14,3,1)</f>
        <v>350</v>
      </c>
      <c r="N6" s="31">
        <f>VLOOKUP(N7,Rules!$H$7:$J$14,3,1)</f>
        <v>350</v>
      </c>
      <c r="O6" s="31">
        <f>VLOOKUP(O7,Rules!$H$7:$J$14,3,1)</f>
        <v>450</v>
      </c>
      <c r="P6" s="31">
        <f>VLOOKUP(P7,Rules!$H$7:$J$14,3,1)</f>
        <v>500</v>
      </c>
      <c r="Q6" s="31">
        <f>VLOOKUP(Q7,Rules!$H$7:$J$14,3,1)</f>
        <v>650</v>
      </c>
      <c r="R6" s="31">
        <f>VLOOKUP(R7,Rules!$H$7:$J$14,3,1)</f>
        <v>650</v>
      </c>
      <c r="S6" s="31">
        <f>VLOOKUP(S7,Rules!$H$7:$J$14,3,1)</f>
        <v>650</v>
      </c>
      <c r="T6" s="31">
        <f>VLOOKUP(T7,Rules!$H$7:$J$14,3,1)</f>
        <v>650</v>
      </c>
      <c r="U6" s="31">
        <f>VLOOKUP(U7,Rules!$H$7:$J$14,3,1)</f>
        <v>650</v>
      </c>
    </row>
    <row r="7" spans="1:21" x14ac:dyDescent="0.35">
      <c r="E7" s="50" t="s">
        <v>131</v>
      </c>
      <c r="I7" s="50" t="s">
        <v>137</v>
      </c>
      <c r="J7" s="59">
        <f>'Sales &amp; Margin'!J$9</f>
        <v>9.6</v>
      </c>
      <c r="K7" s="59">
        <f>'Sales &amp; Margin'!K$9</f>
        <v>23.520000000000003</v>
      </c>
      <c r="L7" s="59">
        <f>'Sales &amp; Margin'!L$9</f>
        <v>57.6</v>
      </c>
      <c r="M7" s="59">
        <f>'Sales &amp; Margin'!M$9</f>
        <v>115.2</v>
      </c>
      <c r="N7" s="59">
        <f>'Sales &amp; Margin'!N$9</f>
        <v>230.4</v>
      </c>
      <c r="O7" s="59">
        <f>'Sales &amp; Margin'!O$9</f>
        <v>460.8</v>
      </c>
      <c r="P7" s="59">
        <f>'Sales &amp; Margin'!P$9</f>
        <v>599.04000000000008</v>
      </c>
      <c r="Q7" s="59">
        <f>'Sales &amp; Margin'!Q$9</f>
        <v>778.75200000000007</v>
      </c>
      <c r="R7" s="59">
        <f>'Sales &amp; Margin'!R$9</f>
        <v>1012.3776000000004</v>
      </c>
      <c r="S7" s="59">
        <f>'Sales &amp; Margin'!S$9</f>
        <v>1316.0908800000004</v>
      </c>
      <c r="T7" s="59">
        <f>'Sales &amp; Margin'!T$9</f>
        <v>1710.9181440000009</v>
      </c>
      <c r="U7" s="59">
        <f>'Sales &amp; Margin'!U$9</f>
        <v>2224.1935872000008</v>
      </c>
    </row>
    <row r="8" spans="1:21" x14ac:dyDescent="0.35"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x14ac:dyDescent="0.35">
      <c r="D9" s="31" t="s">
        <v>140</v>
      </c>
      <c r="I9" s="30" t="s">
        <v>141</v>
      </c>
      <c r="J9" s="4">
        <f>J10*J11</f>
        <v>1000</v>
      </c>
      <c r="K9" s="4">
        <f>K10*K11</f>
        <v>1800</v>
      </c>
      <c r="L9" s="4">
        <f t="shared" ref="L9:U9" si="0">L10*L11</f>
        <v>4000</v>
      </c>
      <c r="M9" s="4">
        <f t="shared" si="0"/>
        <v>7000</v>
      </c>
      <c r="N9" s="4">
        <f t="shared" si="0"/>
        <v>7000</v>
      </c>
      <c r="O9" s="4">
        <f t="shared" si="0"/>
        <v>9000</v>
      </c>
      <c r="P9" s="4">
        <f t="shared" si="0"/>
        <v>10000</v>
      </c>
      <c r="Q9" s="4">
        <f t="shared" si="0"/>
        <v>13000</v>
      </c>
      <c r="R9" s="4">
        <f t="shared" si="0"/>
        <v>13000</v>
      </c>
      <c r="S9" s="4">
        <f t="shared" si="0"/>
        <v>13000</v>
      </c>
      <c r="T9" s="4">
        <f t="shared" si="0"/>
        <v>13000</v>
      </c>
      <c r="U9" s="4">
        <f t="shared" si="0"/>
        <v>13000</v>
      </c>
    </row>
    <row r="10" spans="1:21" x14ac:dyDescent="0.35">
      <c r="G10" s="30" t="s">
        <v>142</v>
      </c>
      <c r="I10" s="30" t="s">
        <v>143</v>
      </c>
      <c r="J10" s="60">
        <v>20</v>
      </c>
      <c r="K10" s="50">
        <f>J10</f>
        <v>20</v>
      </c>
      <c r="L10" s="50">
        <f t="shared" ref="L10:U10" si="1">K10</f>
        <v>20</v>
      </c>
      <c r="M10" s="50">
        <f t="shared" si="1"/>
        <v>20</v>
      </c>
      <c r="N10" s="50">
        <f t="shared" si="1"/>
        <v>20</v>
      </c>
      <c r="O10" s="50">
        <f t="shared" si="1"/>
        <v>20</v>
      </c>
      <c r="P10" s="50">
        <f t="shared" si="1"/>
        <v>20</v>
      </c>
      <c r="Q10" s="50">
        <f t="shared" si="1"/>
        <v>20</v>
      </c>
      <c r="R10" s="50">
        <f t="shared" si="1"/>
        <v>20</v>
      </c>
      <c r="S10" s="50">
        <f t="shared" si="1"/>
        <v>20</v>
      </c>
      <c r="T10" s="50">
        <f t="shared" si="1"/>
        <v>20</v>
      </c>
      <c r="U10" s="50">
        <f t="shared" si="1"/>
        <v>20</v>
      </c>
    </row>
    <row r="11" spans="1:21" x14ac:dyDescent="0.35">
      <c r="G11" s="50" t="s">
        <v>139</v>
      </c>
      <c r="I11" s="30" t="s">
        <v>86</v>
      </c>
      <c r="J11" s="50">
        <f>J6</f>
        <v>50</v>
      </c>
      <c r="K11" s="50">
        <f>K6</f>
        <v>90</v>
      </c>
      <c r="L11" s="50">
        <f t="shared" ref="L11:U11" si="2">L6</f>
        <v>200</v>
      </c>
      <c r="M11" s="50">
        <f t="shared" si="2"/>
        <v>350</v>
      </c>
      <c r="N11" s="50">
        <f t="shared" si="2"/>
        <v>350</v>
      </c>
      <c r="O11" s="50">
        <f t="shared" si="2"/>
        <v>450</v>
      </c>
      <c r="P11" s="50">
        <f t="shared" si="2"/>
        <v>500</v>
      </c>
      <c r="Q11" s="50">
        <f t="shared" si="2"/>
        <v>650</v>
      </c>
      <c r="R11" s="50">
        <f t="shared" si="2"/>
        <v>650</v>
      </c>
      <c r="S11" s="50">
        <f t="shared" si="2"/>
        <v>650</v>
      </c>
      <c r="T11" s="50">
        <f t="shared" si="2"/>
        <v>650</v>
      </c>
      <c r="U11" s="50">
        <f t="shared" si="2"/>
        <v>650</v>
      </c>
    </row>
    <row r="12" spans="1:21" x14ac:dyDescent="0.35"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x14ac:dyDescent="0.35">
      <c r="D13" s="31" t="s">
        <v>29</v>
      </c>
      <c r="I13" s="30" t="s">
        <v>137</v>
      </c>
      <c r="J13" s="4">
        <f>J14+J18+J24+J21+J27</f>
        <v>2.1760000000000002</v>
      </c>
      <c r="K13" s="4">
        <f t="shared" ref="K13:U13" si="3">K14+K18+K24+K21+K27</f>
        <v>3.9168000000000003</v>
      </c>
      <c r="L13" s="4">
        <f t="shared" si="3"/>
        <v>8.7040000000000006</v>
      </c>
      <c r="M13" s="4">
        <f t="shared" si="3"/>
        <v>15.231999999999999</v>
      </c>
      <c r="N13" s="4">
        <f t="shared" si="3"/>
        <v>15.231999999999999</v>
      </c>
      <c r="O13" s="4">
        <f t="shared" si="3"/>
        <v>19.584</v>
      </c>
      <c r="P13" s="4">
        <f t="shared" si="3"/>
        <v>21.76</v>
      </c>
      <c r="Q13" s="4">
        <f t="shared" si="3"/>
        <v>28.288000000000004</v>
      </c>
      <c r="R13" s="4">
        <f t="shared" si="3"/>
        <v>28.288000000000004</v>
      </c>
      <c r="S13" s="4">
        <f t="shared" si="3"/>
        <v>28.288000000000004</v>
      </c>
      <c r="T13" s="4">
        <f t="shared" si="3"/>
        <v>28.288000000000004</v>
      </c>
      <c r="U13" s="4">
        <f t="shared" si="3"/>
        <v>28.288000000000004</v>
      </c>
    </row>
    <row r="14" spans="1:21" x14ac:dyDescent="0.35">
      <c r="E14" s="50" t="s">
        <v>24</v>
      </c>
      <c r="F14" s="50"/>
      <c r="I14" s="30" t="s">
        <v>137</v>
      </c>
      <c r="J14" s="59">
        <f>J15*J16*(1+J17)/1000</f>
        <v>1.23</v>
      </c>
      <c r="K14" s="59">
        <f t="shared" ref="K14:U14" si="4">K15*K16*(1+K17)/1000</f>
        <v>2.214</v>
      </c>
      <c r="L14" s="59">
        <f t="shared" si="4"/>
        <v>4.92</v>
      </c>
      <c r="M14" s="59">
        <f t="shared" si="4"/>
        <v>8.61</v>
      </c>
      <c r="N14" s="59">
        <f t="shared" si="4"/>
        <v>8.61</v>
      </c>
      <c r="O14" s="59">
        <f t="shared" si="4"/>
        <v>11.07</v>
      </c>
      <c r="P14" s="59">
        <f t="shared" si="4"/>
        <v>12.3</v>
      </c>
      <c r="Q14" s="59">
        <f t="shared" si="4"/>
        <v>15.99</v>
      </c>
      <c r="R14" s="59">
        <f t="shared" si="4"/>
        <v>15.99</v>
      </c>
      <c r="S14" s="59">
        <f t="shared" si="4"/>
        <v>15.99</v>
      </c>
      <c r="T14" s="59">
        <f t="shared" si="4"/>
        <v>15.99</v>
      </c>
      <c r="U14" s="59">
        <f t="shared" si="4"/>
        <v>15.99</v>
      </c>
    </row>
    <row r="15" spans="1:21" hidden="1" outlineLevel="1" x14ac:dyDescent="0.35">
      <c r="E15" s="50"/>
      <c r="F15" s="50"/>
      <c r="G15" s="30" t="s">
        <v>25</v>
      </c>
      <c r="I15" s="30" t="s">
        <v>86</v>
      </c>
      <c r="J15" s="50">
        <f>J$6</f>
        <v>50</v>
      </c>
      <c r="K15" s="50">
        <f t="shared" ref="K15:U15" si="5">K$6</f>
        <v>90</v>
      </c>
      <c r="L15" s="50">
        <f t="shared" si="5"/>
        <v>200</v>
      </c>
      <c r="M15" s="50">
        <f t="shared" si="5"/>
        <v>350</v>
      </c>
      <c r="N15" s="50">
        <f t="shared" si="5"/>
        <v>350</v>
      </c>
      <c r="O15" s="50">
        <f t="shared" si="5"/>
        <v>450</v>
      </c>
      <c r="P15" s="50">
        <f t="shared" si="5"/>
        <v>500</v>
      </c>
      <c r="Q15" s="50">
        <f t="shared" si="5"/>
        <v>650</v>
      </c>
      <c r="R15" s="50">
        <f t="shared" si="5"/>
        <v>650</v>
      </c>
      <c r="S15" s="50">
        <f t="shared" si="5"/>
        <v>650</v>
      </c>
      <c r="T15" s="50">
        <f t="shared" si="5"/>
        <v>650</v>
      </c>
      <c r="U15" s="50">
        <f t="shared" si="5"/>
        <v>650</v>
      </c>
    </row>
    <row r="16" spans="1:21" hidden="1" outlineLevel="1" x14ac:dyDescent="0.35">
      <c r="E16" s="50"/>
      <c r="F16" s="50"/>
      <c r="G16" s="30" t="s">
        <v>26</v>
      </c>
      <c r="I16" s="30" t="s">
        <v>87</v>
      </c>
      <c r="J16" s="60">
        <v>20</v>
      </c>
      <c r="K16" s="50">
        <f t="shared" ref="K16:U17" si="6">J16</f>
        <v>20</v>
      </c>
      <c r="L16" s="50">
        <f t="shared" si="6"/>
        <v>20</v>
      </c>
      <c r="M16" s="50">
        <f t="shared" si="6"/>
        <v>20</v>
      </c>
      <c r="N16" s="50">
        <f t="shared" si="6"/>
        <v>20</v>
      </c>
      <c r="O16" s="50">
        <f t="shared" si="6"/>
        <v>20</v>
      </c>
      <c r="P16" s="50">
        <f t="shared" si="6"/>
        <v>20</v>
      </c>
      <c r="Q16" s="50">
        <f t="shared" si="6"/>
        <v>20</v>
      </c>
      <c r="R16" s="50">
        <f t="shared" si="6"/>
        <v>20</v>
      </c>
      <c r="S16" s="50">
        <f t="shared" si="6"/>
        <v>20</v>
      </c>
      <c r="T16" s="50">
        <f t="shared" si="6"/>
        <v>20</v>
      </c>
      <c r="U16" s="50">
        <f t="shared" si="6"/>
        <v>20</v>
      </c>
    </row>
    <row r="17" spans="5:21" hidden="1" outlineLevel="1" x14ac:dyDescent="0.35">
      <c r="E17" s="50"/>
      <c r="F17" s="50"/>
      <c r="G17" s="30" t="s">
        <v>27</v>
      </c>
      <c r="I17" s="30" t="s">
        <v>1</v>
      </c>
      <c r="J17" s="61">
        <v>0.23</v>
      </c>
      <c r="K17" s="62">
        <f t="shared" si="6"/>
        <v>0.23</v>
      </c>
      <c r="L17" s="62">
        <f t="shared" si="6"/>
        <v>0.23</v>
      </c>
      <c r="M17" s="62">
        <f t="shared" si="6"/>
        <v>0.23</v>
      </c>
      <c r="N17" s="62">
        <f t="shared" si="6"/>
        <v>0.23</v>
      </c>
      <c r="O17" s="62">
        <f t="shared" si="6"/>
        <v>0.23</v>
      </c>
      <c r="P17" s="62">
        <f t="shared" si="6"/>
        <v>0.23</v>
      </c>
      <c r="Q17" s="62">
        <f t="shared" si="6"/>
        <v>0.23</v>
      </c>
      <c r="R17" s="62">
        <f t="shared" si="6"/>
        <v>0.23</v>
      </c>
      <c r="S17" s="62">
        <f t="shared" si="6"/>
        <v>0.23</v>
      </c>
      <c r="T17" s="62">
        <f t="shared" si="6"/>
        <v>0.23</v>
      </c>
      <c r="U17" s="62">
        <f t="shared" si="6"/>
        <v>0.23</v>
      </c>
    </row>
    <row r="18" spans="5:21" collapsed="1" x14ac:dyDescent="0.35">
      <c r="E18" s="50" t="s">
        <v>32</v>
      </c>
      <c r="F18" s="50"/>
      <c r="I18" s="30" t="s">
        <v>137</v>
      </c>
      <c r="J18" s="63">
        <f>J19*J20/1000</f>
        <v>0.25</v>
      </c>
      <c r="K18" s="63">
        <f t="shared" ref="K18:U18" si="7">K19*K20/1000</f>
        <v>0.45</v>
      </c>
      <c r="L18" s="63">
        <f t="shared" si="7"/>
        <v>1</v>
      </c>
      <c r="M18" s="63">
        <f t="shared" si="7"/>
        <v>1.75</v>
      </c>
      <c r="N18" s="63">
        <f t="shared" si="7"/>
        <v>1.75</v>
      </c>
      <c r="O18" s="63">
        <f t="shared" si="7"/>
        <v>2.25</v>
      </c>
      <c r="P18" s="63">
        <f t="shared" si="7"/>
        <v>2.5</v>
      </c>
      <c r="Q18" s="63">
        <f t="shared" si="7"/>
        <v>3.25</v>
      </c>
      <c r="R18" s="63">
        <f t="shared" si="7"/>
        <v>3.25</v>
      </c>
      <c r="S18" s="63">
        <f t="shared" si="7"/>
        <v>3.25</v>
      </c>
      <c r="T18" s="63">
        <f t="shared" si="7"/>
        <v>3.25</v>
      </c>
      <c r="U18" s="63">
        <f t="shared" si="7"/>
        <v>3.25</v>
      </c>
    </row>
    <row r="19" spans="5:21" hidden="1" outlineLevel="1" x14ac:dyDescent="0.35">
      <c r="E19" s="50"/>
      <c r="F19" s="50"/>
      <c r="G19" s="50" t="s">
        <v>144</v>
      </c>
      <c r="I19" s="30" t="s">
        <v>145</v>
      </c>
      <c r="J19" s="60">
        <v>5</v>
      </c>
      <c r="K19" s="50">
        <f>J19</f>
        <v>5</v>
      </c>
      <c r="L19" s="50">
        <f t="shared" ref="L19:U19" si="8">K19</f>
        <v>5</v>
      </c>
      <c r="M19" s="50">
        <f t="shared" si="8"/>
        <v>5</v>
      </c>
      <c r="N19" s="50">
        <f t="shared" si="8"/>
        <v>5</v>
      </c>
      <c r="O19" s="50">
        <f t="shared" si="8"/>
        <v>5</v>
      </c>
      <c r="P19" s="50">
        <f t="shared" si="8"/>
        <v>5</v>
      </c>
      <c r="Q19" s="50">
        <f t="shared" si="8"/>
        <v>5</v>
      </c>
      <c r="R19" s="50">
        <f t="shared" si="8"/>
        <v>5</v>
      </c>
      <c r="S19" s="50">
        <f t="shared" si="8"/>
        <v>5</v>
      </c>
      <c r="T19" s="50">
        <f t="shared" si="8"/>
        <v>5</v>
      </c>
      <c r="U19" s="50">
        <f t="shared" si="8"/>
        <v>5</v>
      </c>
    </row>
    <row r="20" spans="5:21" hidden="1" outlineLevel="1" x14ac:dyDescent="0.35">
      <c r="E20" s="50"/>
      <c r="F20" s="50"/>
      <c r="G20" s="30" t="s">
        <v>25</v>
      </c>
      <c r="I20" s="30" t="s">
        <v>86</v>
      </c>
      <c r="J20" s="50">
        <f>J$6</f>
        <v>50</v>
      </c>
      <c r="K20" s="50">
        <f t="shared" ref="K20:U20" si="9">K$6</f>
        <v>90</v>
      </c>
      <c r="L20" s="50">
        <f t="shared" si="9"/>
        <v>200</v>
      </c>
      <c r="M20" s="50">
        <f t="shared" si="9"/>
        <v>350</v>
      </c>
      <c r="N20" s="50">
        <f t="shared" si="9"/>
        <v>350</v>
      </c>
      <c r="O20" s="50">
        <f t="shared" si="9"/>
        <v>450</v>
      </c>
      <c r="P20" s="50">
        <f t="shared" si="9"/>
        <v>500</v>
      </c>
      <c r="Q20" s="50">
        <f t="shared" si="9"/>
        <v>650</v>
      </c>
      <c r="R20" s="50">
        <f t="shared" si="9"/>
        <v>650</v>
      </c>
      <c r="S20" s="50">
        <f t="shared" si="9"/>
        <v>650</v>
      </c>
      <c r="T20" s="50">
        <f t="shared" si="9"/>
        <v>650</v>
      </c>
      <c r="U20" s="50">
        <f t="shared" si="9"/>
        <v>650</v>
      </c>
    </row>
    <row r="21" spans="5:21" collapsed="1" x14ac:dyDescent="0.35">
      <c r="E21" s="50" t="s">
        <v>146</v>
      </c>
      <c r="F21" s="50"/>
      <c r="I21" s="30" t="s">
        <v>137</v>
      </c>
      <c r="J21" s="59">
        <f>J22*J23/1000000</f>
        <v>0.36</v>
      </c>
      <c r="K21" s="59">
        <f t="shared" ref="K21:U21" si="10">K22*K23/1000000</f>
        <v>0.64800000000000002</v>
      </c>
      <c r="L21" s="59">
        <f t="shared" si="10"/>
        <v>1.44</v>
      </c>
      <c r="M21" s="59">
        <f t="shared" si="10"/>
        <v>2.52</v>
      </c>
      <c r="N21" s="59">
        <f t="shared" si="10"/>
        <v>2.52</v>
      </c>
      <c r="O21" s="59">
        <f t="shared" si="10"/>
        <v>3.24</v>
      </c>
      <c r="P21" s="59">
        <f t="shared" si="10"/>
        <v>3.6</v>
      </c>
      <c r="Q21" s="59">
        <f t="shared" si="10"/>
        <v>4.68</v>
      </c>
      <c r="R21" s="59">
        <f t="shared" si="10"/>
        <v>4.68</v>
      </c>
      <c r="S21" s="59">
        <f t="shared" si="10"/>
        <v>4.68</v>
      </c>
      <c r="T21" s="59">
        <f t="shared" si="10"/>
        <v>4.68</v>
      </c>
      <c r="U21" s="59">
        <f t="shared" si="10"/>
        <v>4.68</v>
      </c>
    </row>
    <row r="22" spans="5:21" hidden="1" outlineLevel="1" x14ac:dyDescent="0.35">
      <c r="G22" s="30" t="s">
        <v>30</v>
      </c>
      <c r="I22" s="30" t="s">
        <v>141</v>
      </c>
      <c r="J22" s="5">
        <f>J$9</f>
        <v>1000</v>
      </c>
      <c r="K22" s="5">
        <f t="shared" ref="K22:U22" si="11">K$9</f>
        <v>1800</v>
      </c>
      <c r="L22" s="5">
        <f t="shared" si="11"/>
        <v>4000</v>
      </c>
      <c r="M22" s="5">
        <f t="shared" si="11"/>
        <v>7000</v>
      </c>
      <c r="N22" s="5">
        <f t="shared" si="11"/>
        <v>7000</v>
      </c>
      <c r="O22" s="5">
        <f t="shared" si="11"/>
        <v>9000</v>
      </c>
      <c r="P22" s="5">
        <f t="shared" si="11"/>
        <v>10000</v>
      </c>
      <c r="Q22" s="5">
        <f t="shared" si="11"/>
        <v>13000</v>
      </c>
      <c r="R22" s="5">
        <f t="shared" si="11"/>
        <v>13000</v>
      </c>
      <c r="S22" s="5">
        <f t="shared" si="11"/>
        <v>13000</v>
      </c>
      <c r="T22" s="5">
        <f t="shared" si="11"/>
        <v>13000</v>
      </c>
      <c r="U22" s="5">
        <f t="shared" si="11"/>
        <v>13000</v>
      </c>
    </row>
    <row r="23" spans="5:21" hidden="1" outlineLevel="1" x14ac:dyDescent="0.35">
      <c r="G23" s="30" t="s">
        <v>31</v>
      </c>
      <c r="I23" s="30" t="s">
        <v>147</v>
      </c>
      <c r="J23" s="7">
        <f>30*12</f>
        <v>360</v>
      </c>
      <c r="K23" s="5">
        <f>J23</f>
        <v>360</v>
      </c>
      <c r="L23" s="5">
        <f t="shared" ref="L23:U23" si="12">K23</f>
        <v>360</v>
      </c>
      <c r="M23" s="5">
        <f t="shared" si="12"/>
        <v>360</v>
      </c>
      <c r="N23" s="5">
        <f t="shared" si="12"/>
        <v>360</v>
      </c>
      <c r="O23" s="5">
        <f t="shared" si="12"/>
        <v>360</v>
      </c>
      <c r="P23" s="5">
        <f t="shared" si="12"/>
        <v>360</v>
      </c>
      <c r="Q23" s="5">
        <f t="shared" si="12"/>
        <v>360</v>
      </c>
      <c r="R23" s="5">
        <f t="shared" si="12"/>
        <v>360</v>
      </c>
      <c r="S23" s="5">
        <f t="shared" si="12"/>
        <v>360</v>
      </c>
      <c r="T23" s="5">
        <f t="shared" si="12"/>
        <v>360</v>
      </c>
      <c r="U23" s="5">
        <f t="shared" si="12"/>
        <v>360</v>
      </c>
    </row>
    <row r="24" spans="5:21" collapsed="1" x14ac:dyDescent="0.35">
      <c r="E24" s="50" t="s">
        <v>33</v>
      </c>
      <c r="F24" s="50"/>
      <c r="I24" s="30" t="s">
        <v>137</v>
      </c>
      <c r="J24" s="59">
        <f>J25*J26/1000000</f>
        <v>0.09</v>
      </c>
      <c r="K24" s="59">
        <f t="shared" ref="K24:U24" si="13">K25*K26/1000000</f>
        <v>0.16200000000000001</v>
      </c>
      <c r="L24" s="59">
        <f t="shared" si="13"/>
        <v>0.36</v>
      </c>
      <c r="M24" s="59">
        <f t="shared" si="13"/>
        <v>0.63</v>
      </c>
      <c r="N24" s="59">
        <f t="shared" si="13"/>
        <v>0.63</v>
      </c>
      <c r="O24" s="59">
        <f t="shared" si="13"/>
        <v>0.81</v>
      </c>
      <c r="P24" s="59">
        <f t="shared" si="13"/>
        <v>0.9</v>
      </c>
      <c r="Q24" s="59">
        <f t="shared" si="13"/>
        <v>1.17</v>
      </c>
      <c r="R24" s="59">
        <f t="shared" si="13"/>
        <v>1.17</v>
      </c>
      <c r="S24" s="59">
        <f t="shared" si="13"/>
        <v>1.17</v>
      </c>
      <c r="T24" s="59">
        <f t="shared" si="13"/>
        <v>1.17</v>
      </c>
      <c r="U24" s="59">
        <f t="shared" si="13"/>
        <v>1.17</v>
      </c>
    </row>
    <row r="25" spans="5:21" hidden="1" outlineLevel="1" x14ac:dyDescent="0.35">
      <c r="E25" s="50"/>
      <c r="F25" s="50"/>
      <c r="G25" s="30" t="s">
        <v>30</v>
      </c>
      <c r="I25" s="30" t="s">
        <v>141</v>
      </c>
      <c r="J25" s="5">
        <f>J$9</f>
        <v>1000</v>
      </c>
      <c r="K25" s="5">
        <f t="shared" ref="K25:U25" si="14">K$9</f>
        <v>1800</v>
      </c>
      <c r="L25" s="5">
        <f t="shared" si="14"/>
        <v>4000</v>
      </c>
      <c r="M25" s="5">
        <f t="shared" si="14"/>
        <v>7000</v>
      </c>
      <c r="N25" s="5">
        <f t="shared" si="14"/>
        <v>7000</v>
      </c>
      <c r="O25" s="5">
        <f t="shared" si="14"/>
        <v>9000</v>
      </c>
      <c r="P25" s="5">
        <f t="shared" si="14"/>
        <v>10000</v>
      </c>
      <c r="Q25" s="5">
        <f t="shared" si="14"/>
        <v>13000</v>
      </c>
      <c r="R25" s="5">
        <f t="shared" si="14"/>
        <v>13000</v>
      </c>
      <c r="S25" s="5">
        <f t="shared" si="14"/>
        <v>13000</v>
      </c>
      <c r="T25" s="5">
        <f t="shared" si="14"/>
        <v>13000</v>
      </c>
      <c r="U25" s="5">
        <f t="shared" si="14"/>
        <v>13000</v>
      </c>
    </row>
    <row r="26" spans="5:21" hidden="1" outlineLevel="1" x14ac:dyDescent="0.35">
      <c r="E26" s="50"/>
      <c r="F26" s="50"/>
      <c r="G26" s="30" t="s">
        <v>31</v>
      </c>
      <c r="I26" s="30" t="s">
        <v>147</v>
      </c>
      <c r="J26" s="7">
        <v>90</v>
      </c>
      <c r="K26" s="5">
        <f>J26</f>
        <v>90</v>
      </c>
      <c r="L26" s="5">
        <f t="shared" ref="L26:U26" si="15">K26</f>
        <v>90</v>
      </c>
      <c r="M26" s="5">
        <f t="shared" si="15"/>
        <v>90</v>
      </c>
      <c r="N26" s="5">
        <f t="shared" si="15"/>
        <v>90</v>
      </c>
      <c r="O26" s="5">
        <f t="shared" si="15"/>
        <v>90</v>
      </c>
      <c r="P26" s="5">
        <f t="shared" si="15"/>
        <v>90</v>
      </c>
      <c r="Q26" s="5">
        <f t="shared" si="15"/>
        <v>90</v>
      </c>
      <c r="R26" s="5">
        <f t="shared" si="15"/>
        <v>90</v>
      </c>
      <c r="S26" s="5">
        <f t="shared" si="15"/>
        <v>90</v>
      </c>
      <c r="T26" s="5">
        <f t="shared" si="15"/>
        <v>90</v>
      </c>
      <c r="U26" s="5">
        <f t="shared" si="15"/>
        <v>90</v>
      </c>
    </row>
    <row r="27" spans="5:21" collapsed="1" x14ac:dyDescent="0.35">
      <c r="E27" s="30" t="s">
        <v>28</v>
      </c>
      <c r="I27" s="30" t="s">
        <v>137</v>
      </c>
      <c r="J27" s="59">
        <f>J28*J29</f>
        <v>0.246</v>
      </c>
      <c r="K27" s="59">
        <f t="shared" ref="K27:U27" si="16">K28*K29</f>
        <v>0.44280000000000003</v>
      </c>
      <c r="L27" s="59">
        <f t="shared" si="16"/>
        <v>0.98399999999999999</v>
      </c>
      <c r="M27" s="59">
        <f t="shared" si="16"/>
        <v>1.722</v>
      </c>
      <c r="N27" s="59">
        <f t="shared" si="16"/>
        <v>1.722</v>
      </c>
      <c r="O27" s="59">
        <f t="shared" si="16"/>
        <v>2.214</v>
      </c>
      <c r="P27" s="59">
        <f t="shared" si="16"/>
        <v>2.4600000000000004</v>
      </c>
      <c r="Q27" s="59">
        <f t="shared" si="16"/>
        <v>3.1980000000000004</v>
      </c>
      <c r="R27" s="59">
        <f t="shared" si="16"/>
        <v>3.1980000000000004</v>
      </c>
      <c r="S27" s="59">
        <f t="shared" si="16"/>
        <v>3.1980000000000004</v>
      </c>
      <c r="T27" s="59">
        <f t="shared" si="16"/>
        <v>3.1980000000000004</v>
      </c>
      <c r="U27" s="59">
        <f t="shared" si="16"/>
        <v>3.1980000000000004</v>
      </c>
    </row>
    <row r="28" spans="5:21" hidden="1" outlineLevel="1" x14ac:dyDescent="0.35">
      <c r="G28" s="30" t="s">
        <v>148</v>
      </c>
      <c r="I28" s="30" t="s">
        <v>1</v>
      </c>
      <c r="J28" s="6">
        <v>0.2</v>
      </c>
      <c r="K28" s="9">
        <f>J28</f>
        <v>0.2</v>
      </c>
      <c r="L28" s="9">
        <f t="shared" ref="L28:U28" si="17">K28</f>
        <v>0.2</v>
      </c>
      <c r="M28" s="9">
        <f t="shared" si="17"/>
        <v>0.2</v>
      </c>
      <c r="N28" s="9">
        <f t="shared" si="17"/>
        <v>0.2</v>
      </c>
      <c r="O28" s="9">
        <f t="shared" si="17"/>
        <v>0.2</v>
      </c>
      <c r="P28" s="9">
        <f t="shared" si="17"/>
        <v>0.2</v>
      </c>
      <c r="Q28" s="9">
        <f t="shared" si="17"/>
        <v>0.2</v>
      </c>
      <c r="R28" s="9">
        <f t="shared" si="17"/>
        <v>0.2</v>
      </c>
      <c r="S28" s="9">
        <f t="shared" si="17"/>
        <v>0.2</v>
      </c>
      <c r="T28" s="9">
        <f t="shared" si="17"/>
        <v>0.2</v>
      </c>
      <c r="U28" s="9">
        <f t="shared" si="17"/>
        <v>0.2</v>
      </c>
    </row>
    <row r="29" spans="5:21" hidden="1" outlineLevel="1" x14ac:dyDescent="0.35">
      <c r="G29" s="30" t="s">
        <v>24</v>
      </c>
      <c r="I29" s="30" t="s">
        <v>137</v>
      </c>
      <c r="J29" s="5">
        <f>J14</f>
        <v>1.23</v>
      </c>
      <c r="K29" s="5">
        <f>K14</f>
        <v>2.214</v>
      </c>
      <c r="L29" s="5">
        <f t="shared" ref="L29:U29" si="18">L14</f>
        <v>4.92</v>
      </c>
      <c r="M29" s="5">
        <f t="shared" si="18"/>
        <v>8.61</v>
      </c>
      <c r="N29" s="5">
        <f t="shared" si="18"/>
        <v>8.61</v>
      </c>
      <c r="O29" s="5">
        <f t="shared" si="18"/>
        <v>11.07</v>
      </c>
      <c r="P29" s="5">
        <f t="shared" si="18"/>
        <v>12.3</v>
      </c>
      <c r="Q29" s="5">
        <f t="shared" si="18"/>
        <v>15.99</v>
      </c>
      <c r="R29" s="5">
        <f t="shared" si="18"/>
        <v>15.99</v>
      </c>
      <c r="S29" s="5">
        <f t="shared" si="18"/>
        <v>15.99</v>
      </c>
      <c r="T29" s="5">
        <f t="shared" si="18"/>
        <v>15.99</v>
      </c>
      <c r="U29" s="5">
        <f t="shared" si="18"/>
        <v>15.99</v>
      </c>
    </row>
    <row r="30" spans="5:21" collapsed="1" x14ac:dyDescent="0.35"/>
  </sheetData>
  <hyperlinks>
    <hyperlink ref="S2" location="Master!A1" display="back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K28"/>
  <sheetViews>
    <sheetView zoomScale="70" zoomScaleNormal="70" workbookViewId="0">
      <pane xSplit="9" ySplit="4" topLeftCell="J5" activePane="bottomRight" state="frozen"/>
      <selection activeCell="E6" sqref="E6"/>
      <selection pane="topRight" activeCell="E6" sqref="E6"/>
      <selection pane="bottomLeft" activeCell="E6" sqref="E6"/>
      <selection pane="bottomRight" activeCell="I12" sqref="I12"/>
    </sheetView>
  </sheetViews>
  <sheetFormatPr defaultColWidth="8.7265625" defaultRowHeight="14.5" x14ac:dyDescent="0.35"/>
  <cols>
    <col min="1" max="1" width="8.7265625" style="30"/>
    <col min="2" max="2" width="1.6328125" style="30" customWidth="1"/>
    <col min="3" max="3" width="1.6328125" style="17" customWidth="1"/>
    <col min="4" max="7" width="1.6328125" style="30" customWidth="1"/>
    <col min="8" max="8" width="15.08984375" style="30" customWidth="1"/>
    <col min="9" max="9" width="26.1796875" style="30" customWidth="1"/>
    <col min="10" max="10" width="23.26953125" style="20" customWidth="1"/>
    <col min="11" max="11" width="22.7265625" style="30" customWidth="1"/>
    <col min="12" max="16384" width="8.7265625" style="30"/>
  </cols>
  <sheetData>
    <row r="1" spans="1:11" x14ac:dyDescent="0.35">
      <c r="A1" s="31" t="s">
        <v>152</v>
      </c>
      <c r="J1" s="18" t="s">
        <v>37</v>
      </c>
    </row>
    <row r="4" spans="1:11" x14ac:dyDescent="0.35">
      <c r="J4" s="19"/>
      <c r="K4" s="19"/>
    </row>
    <row r="6" spans="1:11" x14ac:dyDescent="0.35">
      <c r="G6" s="31" t="s">
        <v>149</v>
      </c>
    </row>
    <row r="7" spans="1:11" x14ac:dyDescent="0.35">
      <c r="F7" s="31"/>
      <c r="H7" s="5">
        <v>0</v>
      </c>
      <c r="I7" s="7">
        <v>5</v>
      </c>
      <c r="J7" s="7">
        <v>20</v>
      </c>
    </row>
    <row r="8" spans="1:11" x14ac:dyDescent="0.35">
      <c r="H8" s="5">
        <f>I7+0.00001</f>
        <v>5.0000099999999996</v>
      </c>
      <c r="I8" s="7">
        <v>10</v>
      </c>
      <c r="J8" s="7">
        <v>50</v>
      </c>
    </row>
    <row r="9" spans="1:11" x14ac:dyDescent="0.35">
      <c r="H9" s="5">
        <f t="shared" ref="H9:H14" si="0">I8+0.00001</f>
        <v>10.00001</v>
      </c>
      <c r="I9" s="7">
        <v>30</v>
      </c>
      <c r="J9" s="7">
        <v>90</v>
      </c>
    </row>
    <row r="10" spans="1:11" x14ac:dyDescent="0.35">
      <c r="H10" s="5">
        <f t="shared" si="0"/>
        <v>30.00001</v>
      </c>
      <c r="I10" s="7">
        <v>100</v>
      </c>
      <c r="J10" s="7">
        <v>200</v>
      </c>
    </row>
    <row r="11" spans="1:11" x14ac:dyDescent="0.35">
      <c r="H11" s="5">
        <f t="shared" si="0"/>
        <v>100.00001</v>
      </c>
      <c r="I11" s="7">
        <v>300</v>
      </c>
      <c r="J11" s="7">
        <v>350</v>
      </c>
    </row>
    <row r="12" spans="1:11" x14ac:dyDescent="0.35">
      <c r="H12" s="5">
        <f t="shared" si="0"/>
        <v>300.00000999999997</v>
      </c>
      <c r="I12" s="7">
        <v>500</v>
      </c>
      <c r="J12" s="7">
        <v>450</v>
      </c>
    </row>
    <row r="13" spans="1:11" x14ac:dyDescent="0.35">
      <c r="H13" s="5">
        <f t="shared" si="0"/>
        <v>500.00000999999997</v>
      </c>
      <c r="I13" s="7">
        <v>700</v>
      </c>
      <c r="J13" s="7">
        <v>500</v>
      </c>
    </row>
    <row r="14" spans="1:11" x14ac:dyDescent="0.35">
      <c r="H14" s="5">
        <f t="shared" si="0"/>
        <v>700.00000999999997</v>
      </c>
      <c r="I14" s="5"/>
      <c r="J14" s="7">
        <v>650</v>
      </c>
    </row>
    <row r="15" spans="1:11" x14ac:dyDescent="0.35">
      <c r="H15" s="5"/>
      <c r="I15" s="5"/>
    </row>
    <row r="16" spans="1:11" x14ac:dyDescent="0.35">
      <c r="H16" s="5"/>
      <c r="I16" s="5"/>
    </row>
    <row r="17" spans="1:11" s="20" customFormat="1" x14ac:dyDescent="0.35">
      <c r="A17" s="30"/>
      <c r="B17" s="30"/>
      <c r="C17" s="17"/>
      <c r="D17" s="30"/>
      <c r="E17" s="30"/>
      <c r="F17" s="30"/>
      <c r="G17" s="30"/>
      <c r="H17" s="5"/>
      <c r="I17" s="5"/>
      <c r="K17" s="30"/>
    </row>
    <row r="18" spans="1:11" s="20" customFormat="1" x14ac:dyDescent="0.35">
      <c r="A18" s="30"/>
      <c r="B18" s="30"/>
      <c r="C18" s="17"/>
      <c r="D18" s="30"/>
      <c r="E18" s="30"/>
      <c r="F18" s="30"/>
      <c r="G18" s="30"/>
      <c r="H18" s="5"/>
      <c r="I18" s="5"/>
      <c r="K18" s="30"/>
    </row>
    <row r="19" spans="1:11" s="20" customFormat="1" x14ac:dyDescent="0.35">
      <c r="A19" s="30"/>
      <c r="B19" s="30"/>
      <c r="C19" s="17"/>
      <c r="D19" s="30"/>
      <c r="E19" s="30"/>
      <c r="F19" s="30"/>
      <c r="G19" s="30"/>
      <c r="H19" s="5"/>
      <c r="I19" s="5"/>
      <c r="K19" s="30"/>
    </row>
    <row r="20" spans="1:11" s="20" customFormat="1" x14ac:dyDescent="0.35">
      <c r="A20" s="30"/>
      <c r="B20" s="30"/>
      <c r="C20" s="17"/>
      <c r="D20" s="30"/>
      <c r="E20" s="30"/>
      <c r="F20" s="30"/>
      <c r="G20" s="31" t="s">
        <v>153</v>
      </c>
      <c r="H20" s="5"/>
      <c r="I20" s="5"/>
      <c r="K20" s="30"/>
    </row>
    <row r="21" spans="1:11" x14ac:dyDescent="0.35">
      <c r="H21" s="5">
        <v>0</v>
      </c>
      <c r="I21" s="7">
        <v>5</v>
      </c>
      <c r="J21" s="7">
        <v>3</v>
      </c>
    </row>
    <row r="22" spans="1:11" x14ac:dyDescent="0.35">
      <c r="H22" s="5">
        <f>I21+0.00001</f>
        <v>5.0000099999999996</v>
      </c>
      <c r="I22" s="7">
        <v>10</v>
      </c>
      <c r="J22" s="7">
        <v>5</v>
      </c>
    </row>
    <row r="23" spans="1:11" x14ac:dyDescent="0.35">
      <c r="H23" s="5">
        <f t="shared" ref="H23:H28" si="1">I22+0.00001</f>
        <v>10.00001</v>
      </c>
      <c r="I23" s="7">
        <v>30</v>
      </c>
      <c r="J23" s="7">
        <v>7</v>
      </c>
    </row>
    <row r="24" spans="1:11" x14ac:dyDescent="0.35">
      <c r="H24" s="5">
        <f t="shared" si="1"/>
        <v>30.00001</v>
      </c>
      <c r="I24" s="7">
        <v>100</v>
      </c>
      <c r="J24" s="7">
        <v>10</v>
      </c>
    </row>
    <row r="25" spans="1:11" x14ac:dyDescent="0.35">
      <c r="H25" s="5">
        <f t="shared" si="1"/>
        <v>100.00001</v>
      </c>
      <c r="I25" s="7">
        <v>300</v>
      </c>
      <c r="J25" s="7">
        <v>12</v>
      </c>
    </row>
    <row r="26" spans="1:11" x14ac:dyDescent="0.35">
      <c r="H26" s="5">
        <f t="shared" si="1"/>
        <v>300.00000999999997</v>
      </c>
      <c r="I26" s="7">
        <v>500</v>
      </c>
      <c r="J26" s="7">
        <v>15</v>
      </c>
    </row>
    <row r="27" spans="1:11" x14ac:dyDescent="0.35">
      <c r="H27" s="5">
        <f t="shared" si="1"/>
        <v>500.00000999999997</v>
      </c>
      <c r="I27" s="7">
        <v>700</v>
      </c>
      <c r="J27" s="7">
        <v>20</v>
      </c>
    </row>
    <row r="28" spans="1:11" x14ac:dyDescent="0.35">
      <c r="H28" s="5">
        <f t="shared" si="1"/>
        <v>700.00000999999997</v>
      </c>
      <c r="I28" s="5"/>
      <c r="J28" s="7">
        <v>21</v>
      </c>
    </row>
  </sheetData>
  <hyperlinks>
    <hyperlink ref="J1" location="Master!A1" display="back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Y61"/>
  <sheetViews>
    <sheetView zoomScale="70" zoomScaleNormal="70" workbookViewId="0">
      <pane xSplit="9" ySplit="4" topLeftCell="J37" activePane="bottomRight" state="frozen"/>
      <selection activeCell="K13" sqref="K13"/>
      <selection pane="topRight" activeCell="K13" sqref="K13"/>
      <selection pane="bottomLeft" activeCell="K13" sqref="K13"/>
      <selection pane="bottomRight" activeCell="V4" sqref="V4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6.453125" style="23" customWidth="1"/>
    <col min="4" max="4" width="3.453125" style="4" customWidth="1"/>
    <col min="5" max="5" width="5.726562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36" bestFit="1" customWidth="1"/>
    <col min="10" max="16" width="9.6328125" style="5" customWidth="1"/>
    <col min="17" max="17" width="9.6328125" style="26" customWidth="1"/>
    <col min="18" max="22" width="9.6328125" style="5" customWidth="1"/>
    <col min="23" max="27" width="8.81640625" style="5" customWidth="1"/>
    <col min="28" max="16384" width="8.7265625" style="5"/>
  </cols>
  <sheetData>
    <row r="1" spans="1:25" x14ac:dyDescent="0.35">
      <c r="A1" s="4" t="s">
        <v>83</v>
      </c>
      <c r="J1" s="24" t="s">
        <v>37</v>
      </c>
      <c r="Q1" s="25"/>
      <c r="V1" s="24" t="s">
        <v>37</v>
      </c>
    </row>
    <row r="4" spans="1:25" x14ac:dyDescent="0.35">
      <c r="J4" s="21">
        <v>1</v>
      </c>
      <c r="K4" s="21">
        <v>2</v>
      </c>
      <c r="L4" s="21">
        <v>3</v>
      </c>
      <c r="M4" s="21">
        <v>4</v>
      </c>
      <c r="N4" s="21">
        <v>5</v>
      </c>
      <c r="O4" s="21">
        <v>6</v>
      </c>
      <c r="P4" s="21">
        <v>7</v>
      </c>
      <c r="Q4" s="21">
        <v>8</v>
      </c>
      <c r="R4" s="21">
        <v>9</v>
      </c>
      <c r="S4" s="21">
        <v>10</v>
      </c>
      <c r="T4" s="21">
        <v>11</v>
      </c>
      <c r="U4" s="21">
        <v>12</v>
      </c>
      <c r="V4" s="4" t="s">
        <v>105</v>
      </c>
    </row>
    <row r="6" spans="1:25" x14ac:dyDescent="0.35">
      <c r="D6" s="4" t="s">
        <v>39</v>
      </c>
      <c r="I6" s="64" t="s">
        <v>137</v>
      </c>
      <c r="J6" s="4">
        <f>'Sales &amp; Margin'!J15</f>
        <v>0.96</v>
      </c>
      <c r="K6" s="4">
        <f>'Sales &amp; Margin'!K15</f>
        <v>2.8224000000000005</v>
      </c>
      <c r="L6" s="4">
        <f>'Sales &amp; Margin'!L15</f>
        <v>8.64</v>
      </c>
      <c r="M6" s="4">
        <f>'Sales &amp; Margin'!M15</f>
        <v>17.28</v>
      </c>
      <c r="N6" s="4">
        <f>'Sales &amp; Margin'!N15</f>
        <v>34.56</v>
      </c>
      <c r="O6" s="4">
        <f>'Sales &amp; Margin'!O15</f>
        <v>69.12</v>
      </c>
      <c r="P6" s="4">
        <f>'Sales &amp; Margin'!P15</f>
        <v>89.856000000000009</v>
      </c>
      <c r="Q6" s="4">
        <f>'Sales &amp; Margin'!Q15</f>
        <v>116.81280000000001</v>
      </c>
      <c r="R6" s="4">
        <f>'Sales &amp; Margin'!R15</f>
        <v>151.85664000000006</v>
      </c>
      <c r="S6" s="4">
        <f>'Sales &amp; Margin'!S15</f>
        <v>197.41363200000006</v>
      </c>
      <c r="T6" s="4">
        <f>'Sales &amp; Margin'!T15</f>
        <v>256.63772160000013</v>
      </c>
      <c r="U6" s="4">
        <f>'Sales &amp; Margin'!U15</f>
        <v>333.6290380800001</v>
      </c>
      <c r="V6" s="4">
        <f>SUM(J6:U6)</f>
        <v>1279.5882316800003</v>
      </c>
    </row>
    <row r="7" spans="1:25" x14ac:dyDescent="0.35">
      <c r="Y7" s="11"/>
    </row>
    <row r="8" spans="1:25" x14ac:dyDescent="0.35">
      <c r="D8" s="4" t="s">
        <v>7</v>
      </c>
      <c r="I8" s="64" t="s">
        <v>137</v>
      </c>
      <c r="J8" s="4">
        <f>'Sales &amp; Margin'!J19</f>
        <v>0.91199999999999992</v>
      </c>
      <c r="K8" s="4">
        <f>'Sales &amp; Margin'!K19</f>
        <v>2.6812800000000001</v>
      </c>
      <c r="L8" s="4">
        <f>'Sales &amp; Margin'!L19</f>
        <v>8.2080000000000002</v>
      </c>
      <c r="M8" s="4">
        <f>'Sales &amp; Margin'!M19</f>
        <v>16.416</v>
      </c>
      <c r="N8" s="4">
        <f>'Sales &amp; Margin'!N19</f>
        <v>32.832000000000001</v>
      </c>
      <c r="O8" s="4">
        <f>'Sales &amp; Margin'!O19</f>
        <v>65.664000000000001</v>
      </c>
      <c r="P8" s="4">
        <f>'Sales &amp; Margin'!P19</f>
        <v>85.363200000000006</v>
      </c>
      <c r="Q8" s="4">
        <f>'Sales &amp; Margin'!Q19</f>
        <v>110.97216</v>
      </c>
      <c r="R8" s="4">
        <f>'Sales &amp; Margin'!R19</f>
        <v>144.26380800000004</v>
      </c>
      <c r="S8" s="4">
        <f>'Sales &amp; Margin'!S19</f>
        <v>187.54295040000005</v>
      </c>
      <c r="T8" s="4">
        <f>'Sales &amp; Margin'!T19</f>
        <v>243.8058355200001</v>
      </c>
      <c r="U8" s="4">
        <f>'Sales &amp; Margin'!U19</f>
        <v>316.94758617600007</v>
      </c>
      <c r="V8" s="4">
        <f>SUM(J8:U8)</f>
        <v>1215.6088200960003</v>
      </c>
    </row>
    <row r="10" spans="1:25" s="4" customFormat="1" x14ac:dyDescent="0.35">
      <c r="A10" s="5"/>
      <c r="B10" s="5"/>
      <c r="C10" s="23"/>
      <c r="D10" s="4" t="s">
        <v>121</v>
      </c>
      <c r="E10" s="5"/>
      <c r="G10" s="5"/>
      <c r="H10" s="5"/>
      <c r="I10" s="64" t="s">
        <v>137</v>
      </c>
      <c r="J10" s="4">
        <f>'Sales &amp; Margin'!J44</f>
        <v>2.6801200000000005</v>
      </c>
      <c r="K10" s="4">
        <f>'Sales &amp; Margin'!K44</f>
        <v>4.2424000000000008</v>
      </c>
      <c r="L10" s="4">
        <f>'Sales &amp; Margin'!L44</f>
        <v>2.8120000000000003</v>
      </c>
      <c r="M10" s="4">
        <f>'Sales &amp; Margin'!M44</f>
        <v>2.1312000000000006</v>
      </c>
      <c r="N10" s="4">
        <f>'Sales &amp; Margin'!N44</f>
        <v>2.1600000000000006</v>
      </c>
      <c r="O10" s="4">
        <f>'Sales &amp; Margin'!O44</f>
        <v>4.3200000000000012</v>
      </c>
      <c r="P10" s="4">
        <f>'Sales &amp; Margin'!P44</f>
        <v>5.6160000000000014</v>
      </c>
      <c r="Q10" s="4">
        <f>'Sales &amp; Margin'!Q44</f>
        <v>7.3008000000000024</v>
      </c>
      <c r="R10" s="4">
        <f>'Sales &amp; Margin'!R44</f>
        <v>9.4910400000000053</v>
      </c>
      <c r="S10" s="4">
        <f>'Sales &amp; Margin'!S44</f>
        <v>12.338352000000008</v>
      </c>
      <c r="T10" s="4">
        <f>'Sales &amp; Margin'!T44</f>
        <v>16.039857600000012</v>
      </c>
      <c r="U10" s="4">
        <f>'Sales &amp; Margin'!U44</f>
        <v>20.851814880000013</v>
      </c>
      <c r="V10" s="4">
        <f>SUM(J10:U10)</f>
        <v>89.983584480000047</v>
      </c>
    </row>
    <row r="12" spans="1:25" s="4" customFormat="1" x14ac:dyDescent="0.35">
      <c r="A12" s="5"/>
      <c r="B12" s="5"/>
      <c r="C12" s="23"/>
      <c r="D12" s="4" t="s">
        <v>74</v>
      </c>
      <c r="E12" s="5"/>
      <c r="G12" s="5"/>
      <c r="H12" s="5"/>
      <c r="I12" s="64" t="s">
        <v>137</v>
      </c>
      <c r="J12" s="4">
        <f>'Sales &amp; Margin'!J48</f>
        <v>0</v>
      </c>
      <c r="K12" s="4">
        <f>'Sales &amp; Margin'!K48</f>
        <v>0</v>
      </c>
      <c r="L12" s="4">
        <f>'Sales &amp; Margin'!L48</f>
        <v>0</v>
      </c>
      <c r="M12" s="4">
        <f>'Sales &amp; Margin'!M48</f>
        <v>0</v>
      </c>
      <c r="N12" s="4">
        <f>'Sales &amp; Margin'!N48</f>
        <v>0</v>
      </c>
      <c r="O12" s="4">
        <f>'Sales &amp; Margin'!O48</f>
        <v>0</v>
      </c>
      <c r="P12" s="4">
        <f>'Sales &amp; Margin'!P48</f>
        <v>0</v>
      </c>
      <c r="Q12" s="4">
        <f>'Sales &amp; Margin'!Q48</f>
        <v>0</v>
      </c>
      <c r="R12" s="4">
        <f>'Sales &amp; Margin'!R48</f>
        <v>0</v>
      </c>
      <c r="S12" s="4">
        <f>'Sales &amp; Margin'!S48</f>
        <v>0</v>
      </c>
      <c r="T12" s="4">
        <f>'Sales &amp; Margin'!T48</f>
        <v>0</v>
      </c>
      <c r="U12" s="4">
        <f>'Sales &amp; Margin'!U48</f>
        <v>0</v>
      </c>
      <c r="V12" s="4">
        <f>SUM(J12:U12)</f>
        <v>0</v>
      </c>
    </row>
    <row r="14" spans="1:25" s="4" customFormat="1" x14ac:dyDescent="0.35">
      <c r="A14" s="5"/>
      <c r="B14" s="5"/>
      <c r="C14" s="23"/>
      <c r="D14" s="4" t="s">
        <v>75</v>
      </c>
      <c r="E14" s="5"/>
      <c r="G14" s="5"/>
      <c r="H14" s="5"/>
      <c r="I14" s="64" t="s">
        <v>137</v>
      </c>
      <c r="J14" s="4">
        <f>'Sales &amp; Margin'!J52</f>
        <v>0</v>
      </c>
      <c r="K14" s="4">
        <f>'Sales &amp; Margin'!K52</f>
        <v>0</v>
      </c>
      <c r="L14" s="4">
        <f>'Sales &amp; Margin'!L52</f>
        <v>0</v>
      </c>
      <c r="M14" s="4">
        <f>'Sales &amp; Margin'!M52</f>
        <v>0</v>
      </c>
      <c r="N14" s="4">
        <f>'Sales &amp; Margin'!N52</f>
        <v>0</v>
      </c>
      <c r="O14" s="4">
        <f>'Sales &amp; Margin'!O52</f>
        <v>0</v>
      </c>
      <c r="P14" s="4">
        <f>'Sales &amp; Margin'!P52</f>
        <v>0</v>
      </c>
      <c r="Q14" s="4">
        <f>'Sales &amp; Margin'!Q52</f>
        <v>0</v>
      </c>
      <c r="R14" s="4">
        <f>'Sales &amp; Margin'!R52</f>
        <v>0</v>
      </c>
      <c r="S14" s="4">
        <f>'Sales &amp; Margin'!S52</f>
        <v>0</v>
      </c>
      <c r="T14" s="4">
        <f>'Sales &amp; Margin'!T52</f>
        <v>0</v>
      </c>
      <c r="U14" s="4">
        <f>'Sales &amp; Margin'!U52</f>
        <v>0</v>
      </c>
      <c r="V14" s="4">
        <f>SUM(J14:U14)</f>
        <v>0</v>
      </c>
    </row>
    <row r="16" spans="1:25" s="30" customFormat="1" x14ac:dyDescent="0.35">
      <c r="D16" s="31" t="s">
        <v>169</v>
      </c>
      <c r="E16" s="31"/>
      <c r="I16" s="30" t="s">
        <v>137</v>
      </c>
      <c r="J16" s="4">
        <f>'Buyers &amp; Sellers'!J$27</f>
        <v>0.43199999999999994</v>
      </c>
      <c r="K16" s="4">
        <f>'Buyers &amp; Sellers'!K$27</f>
        <v>0.37800000000000011</v>
      </c>
      <c r="L16" s="4">
        <f>'Buyers &amp; Sellers'!L$27</f>
        <v>0.57599999999999985</v>
      </c>
      <c r="M16" s="4">
        <f>'Buyers &amp; Sellers'!M$27</f>
        <v>0.76800000000000024</v>
      </c>
      <c r="N16" s="4">
        <f>'Buyers &amp; Sellers'!N$27</f>
        <v>0.95999999999999974</v>
      </c>
      <c r="O16" s="4">
        <f>'Buyers &amp; Sellers'!O$27</f>
        <v>1.2799999999999998</v>
      </c>
      <c r="P16" s="4">
        <f>'Buyers &amp; Sellers'!P$27</f>
        <v>1.6639999999999999</v>
      </c>
      <c r="Q16" s="4">
        <f>'Buyers &amp; Sellers'!Q$27</f>
        <v>2.1631999999999993</v>
      </c>
      <c r="R16" s="4">
        <f>'Buyers &amp; Sellers'!R$27</f>
        <v>2.81216</v>
      </c>
      <c r="S16" s="4">
        <f>'Buyers &amp; Sellers'!S$27</f>
        <v>3.6558080000000017</v>
      </c>
      <c r="T16" s="4">
        <f>'Buyers &amp; Sellers'!T$27</f>
        <v>4.7525504000000014</v>
      </c>
      <c r="U16" s="4">
        <f>'Buyers &amp; Sellers'!U$27</f>
        <v>6.1783155200000008</v>
      </c>
      <c r="V16" s="4">
        <f>SUM(J16:U16)</f>
        <v>25.620033920000004</v>
      </c>
    </row>
    <row r="19" spans="4:22" x14ac:dyDescent="0.35">
      <c r="D19" s="4" t="s">
        <v>108</v>
      </c>
      <c r="I19" s="64" t="s">
        <v>137</v>
      </c>
      <c r="J19" s="4">
        <f>J20-SUM(J21:J24)</f>
        <v>-2.2001200000000005</v>
      </c>
      <c r="K19" s="4">
        <f t="shared" ref="K19:U19" si="0">K20-SUM(K21:K24)</f>
        <v>-1.9391200000000008</v>
      </c>
      <c r="L19" s="4">
        <f t="shared" si="0"/>
        <v>4.82</v>
      </c>
      <c r="M19" s="4">
        <f t="shared" si="0"/>
        <v>13.5168</v>
      </c>
      <c r="N19" s="4">
        <f t="shared" si="0"/>
        <v>29.712</v>
      </c>
      <c r="O19" s="4">
        <f t="shared" si="0"/>
        <v>60.064</v>
      </c>
      <c r="P19" s="4">
        <f t="shared" si="0"/>
        <v>78.083200000000005</v>
      </c>
      <c r="Q19" s="4">
        <f t="shared" si="0"/>
        <v>101.50816</v>
      </c>
      <c r="R19" s="4">
        <f t="shared" si="0"/>
        <v>131.96060800000004</v>
      </c>
      <c r="S19" s="4">
        <f t="shared" si="0"/>
        <v>171.54879040000003</v>
      </c>
      <c r="T19" s="4">
        <f t="shared" si="0"/>
        <v>223.01342752000008</v>
      </c>
      <c r="U19" s="4">
        <f t="shared" si="0"/>
        <v>289.91745577600005</v>
      </c>
      <c r="V19" s="4">
        <f>SUM(J19:U19)</f>
        <v>1100.0052016960001</v>
      </c>
    </row>
    <row r="20" spans="4:22" x14ac:dyDescent="0.35">
      <c r="E20" s="36" t="s">
        <v>7</v>
      </c>
      <c r="I20" s="64" t="s">
        <v>137</v>
      </c>
      <c r="J20" s="36">
        <f>J8</f>
        <v>0.91199999999999992</v>
      </c>
      <c r="K20" s="36">
        <f t="shared" ref="K20:U20" si="1">K8</f>
        <v>2.6812800000000001</v>
      </c>
      <c r="L20" s="36">
        <f t="shared" si="1"/>
        <v>8.2080000000000002</v>
      </c>
      <c r="M20" s="36">
        <f t="shared" si="1"/>
        <v>16.416</v>
      </c>
      <c r="N20" s="36">
        <f t="shared" si="1"/>
        <v>32.832000000000001</v>
      </c>
      <c r="O20" s="36">
        <f t="shared" si="1"/>
        <v>65.664000000000001</v>
      </c>
      <c r="P20" s="36">
        <f t="shared" si="1"/>
        <v>85.363200000000006</v>
      </c>
      <c r="Q20" s="36">
        <f t="shared" si="1"/>
        <v>110.97216</v>
      </c>
      <c r="R20" s="36">
        <f t="shared" si="1"/>
        <v>144.26380800000004</v>
      </c>
      <c r="S20" s="36">
        <f t="shared" si="1"/>
        <v>187.54295040000005</v>
      </c>
      <c r="T20" s="36">
        <f t="shared" si="1"/>
        <v>243.8058355200001</v>
      </c>
      <c r="U20" s="36">
        <f t="shared" si="1"/>
        <v>316.94758617600007</v>
      </c>
      <c r="V20" s="45">
        <f t="shared" ref="V20:V23" si="2">SUM(J20:U20)</f>
        <v>1215.6088200960003</v>
      </c>
    </row>
    <row r="21" spans="4:22" x14ac:dyDescent="0.35">
      <c r="E21" s="36" t="s">
        <v>73</v>
      </c>
      <c r="I21" s="64" t="s">
        <v>137</v>
      </c>
      <c r="J21" s="36">
        <f>J10</f>
        <v>2.6801200000000005</v>
      </c>
      <c r="K21" s="36">
        <f t="shared" ref="K21:U21" si="3">K10</f>
        <v>4.2424000000000008</v>
      </c>
      <c r="L21" s="36">
        <f t="shared" si="3"/>
        <v>2.8120000000000003</v>
      </c>
      <c r="M21" s="36">
        <f t="shared" si="3"/>
        <v>2.1312000000000006</v>
      </c>
      <c r="N21" s="36">
        <f t="shared" si="3"/>
        <v>2.1600000000000006</v>
      </c>
      <c r="O21" s="36">
        <f t="shared" si="3"/>
        <v>4.3200000000000012</v>
      </c>
      <c r="P21" s="36">
        <f t="shared" si="3"/>
        <v>5.6160000000000014</v>
      </c>
      <c r="Q21" s="36">
        <f t="shared" si="3"/>
        <v>7.3008000000000024</v>
      </c>
      <c r="R21" s="36">
        <f t="shared" si="3"/>
        <v>9.4910400000000053</v>
      </c>
      <c r="S21" s="36">
        <f t="shared" si="3"/>
        <v>12.338352000000008</v>
      </c>
      <c r="T21" s="36">
        <f t="shared" si="3"/>
        <v>16.039857600000012</v>
      </c>
      <c r="U21" s="36">
        <f t="shared" si="3"/>
        <v>20.851814880000013</v>
      </c>
      <c r="V21" s="45">
        <f t="shared" si="2"/>
        <v>89.983584480000047</v>
      </c>
    </row>
    <row r="22" spans="4:22" x14ac:dyDescent="0.35">
      <c r="E22" s="36" t="s">
        <v>74</v>
      </c>
      <c r="I22" s="64" t="s">
        <v>137</v>
      </c>
      <c r="J22" s="36">
        <f>J12</f>
        <v>0</v>
      </c>
      <c r="K22" s="36">
        <f t="shared" ref="K22:U22" si="4">K12</f>
        <v>0</v>
      </c>
      <c r="L22" s="36">
        <f t="shared" si="4"/>
        <v>0</v>
      </c>
      <c r="M22" s="36">
        <f t="shared" si="4"/>
        <v>0</v>
      </c>
      <c r="N22" s="36">
        <f t="shared" si="4"/>
        <v>0</v>
      </c>
      <c r="O22" s="36">
        <f t="shared" si="4"/>
        <v>0</v>
      </c>
      <c r="P22" s="36">
        <f t="shared" si="4"/>
        <v>0</v>
      </c>
      <c r="Q22" s="36">
        <f t="shared" si="4"/>
        <v>0</v>
      </c>
      <c r="R22" s="36">
        <f t="shared" si="4"/>
        <v>0</v>
      </c>
      <c r="S22" s="36">
        <f t="shared" si="4"/>
        <v>0</v>
      </c>
      <c r="T22" s="36">
        <f t="shared" si="4"/>
        <v>0</v>
      </c>
      <c r="U22" s="36">
        <f t="shared" si="4"/>
        <v>0</v>
      </c>
      <c r="V22" s="45">
        <f t="shared" si="2"/>
        <v>0</v>
      </c>
    </row>
    <row r="23" spans="4:22" x14ac:dyDescent="0.35">
      <c r="E23" s="36" t="s">
        <v>75</v>
      </c>
      <c r="I23" s="64" t="s">
        <v>137</v>
      </c>
      <c r="J23" s="36">
        <f>J14</f>
        <v>0</v>
      </c>
      <c r="K23" s="36">
        <f t="shared" ref="K23:U23" si="5">K14</f>
        <v>0</v>
      </c>
      <c r="L23" s="36">
        <f t="shared" si="5"/>
        <v>0</v>
      </c>
      <c r="M23" s="36">
        <f t="shared" si="5"/>
        <v>0</v>
      </c>
      <c r="N23" s="36">
        <f t="shared" si="5"/>
        <v>0</v>
      </c>
      <c r="O23" s="36">
        <f t="shared" si="5"/>
        <v>0</v>
      </c>
      <c r="P23" s="36">
        <f t="shared" si="5"/>
        <v>0</v>
      </c>
      <c r="Q23" s="36">
        <f t="shared" si="5"/>
        <v>0</v>
      </c>
      <c r="R23" s="36">
        <f t="shared" si="5"/>
        <v>0</v>
      </c>
      <c r="S23" s="36">
        <f t="shared" si="5"/>
        <v>0</v>
      </c>
      <c r="T23" s="36">
        <f t="shared" si="5"/>
        <v>0</v>
      </c>
      <c r="U23" s="36">
        <f t="shared" si="5"/>
        <v>0</v>
      </c>
      <c r="V23" s="45">
        <f t="shared" si="2"/>
        <v>0</v>
      </c>
    </row>
    <row r="24" spans="4:22" x14ac:dyDescent="0.35">
      <c r="E24" s="64" t="s">
        <v>169</v>
      </c>
      <c r="I24" s="64" t="s">
        <v>137</v>
      </c>
      <c r="J24" s="36">
        <f>J16</f>
        <v>0.43199999999999994</v>
      </c>
      <c r="K24" s="36">
        <f t="shared" ref="K24:V24" si="6">K16</f>
        <v>0.37800000000000011</v>
      </c>
      <c r="L24" s="36">
        <f t="shared" si="6"/>
        <v>0.57599999999999985</v>
      </c>
      <c r="M24" s="36">
        <f t="shared" si="6"/>
        <v>0.76800000000000024</v>
      </c>
      <c r="N24" s="36">
        <f t="shared" si="6"/>
        <v>0.95999999999999974</v>
      </c>
      <c r="O24" s="36">
        <f t="shared" si="6"/>
        <v>1.2799999999999998</v>
      </c>
      <c r="P24" s="36">
        <f t="shared" si="6"/>
        <v>1.6639999999999999</v>
      </c>
      <c r="Q24" s="36">
        <f t="shared" si="6"/>
        <v>2.1631999999999993</v>
      </c>
      <c r="R24" s="36">
        <f t="shared" si="6"/>
        <v>2.81216</v>
      </c>
      <c r="S24" s="36">
        <f t="shared" si="6"/>
        <v>3.6558080000000017</v>
      </c>
      <c r="T24" s="36">
        <f t="shared" si="6"/>
        <v>4.7525504000000014</v>
      </c>
      <c r="U24" s="36">
        <f t="shared" si="6"/>
        <v>6.1783155200000008</v>
      </c>
      <c r="V24" s="36">
        <f t="shared" si="6"/>
        <v>25.620033920000004</v>
      </c>
    </row>
    <row r="26" spans="4:22" x14ac:dyDescent="0.35">
      <c r="D26" s="4" t="s">
        <v>76</v>
      </c>
      <c r="I26" s="64" t="s">
        <v>137</v>
      </c>
      <c r="J26" s="4">
        <f>HQ!J13</f>
        <v>2.1760000000000002</v>
      </c>
      <c r="K26" s="4">
        <f>HQ!K13</f>
        <v>3.9168000000000003</v>
      </c>
      <c r="L26" s="4">
        <f>HQ!L13</f>
        <v>8.7040000000000006</v>
      </c>
      <c r="M26" s="4">
        <f>HQ!M13</f>
        <v>15.231999999999999</v>
      </c>
      <c r="N26" s="4">
        <f>HQ!N13</f>
        <v>15.231999999999999</v>
      </c>
      <c r="O26" s="4">
        <f>HQ!O13</f>
        <v>19.584</v>
      </c>
      <c r="P26" s="4">
        <f>HQ!P13</f>
        <v>21.76</v>
      </c>
      <c r="Q26" s="4">
        <f>HQ!Q13</f>
        <v>28.288000000000004</v>
      </c>
      <c r="R26" s="4">
        <f>HQ!R13</f>
        <v>28.288000000000004</v>
      </c>
      <c r="S26" s="4">
        <f>HQ!S13</f>
        <v>28.288000000000004</v>
      </c>
      <c r="T26" s="4">
        <f>HQ!T13</f>
        <v>28.288000000000004</v>
      </c>
      <c r="U26" s="4">
        <f>HQ!U13</f>
        <v>28.288000000000004</v>
      </c>
      <c r="V26" s="4">
        <f>SUM(J26:U26)</f>
        <v>228.04480000000007</v>
      </c>
    </row>
    <row r="28" spans="4:22" x14ac:dyDescent="0.35">
      <c r="D28" s="4" t="s">
        <v>77</v>
      </c>
      <c r="I28" s="64" t="s">
        <v>137</v>
      </c>
      <c r="J28" s="4">
        <f>J29-J30</f>
        <v>-4.3761200000000002</v>
      </c>
      <c r="K28" s="4">
        <f t="shared" ref="K28:U28" si="7">K29-K30</f>
        <v>-5.8559200000000011</v>
      </c>
      <c r="L28" s="4">
        <f t="shared" si="7"/>
        <v>-3.8840000000000003</v>
      </c>
      <c r="M28" s="4">
        <f t="shared" si="7"/>
        <v>-1.7151999999999994</v>
      </c>
      <c r="N28" s="4">
        <f t="shared" si="7"/>
        <v>14.48</v>
      </c>
      <c r="O28" s="4">
        <f t="shared" si="7"/>
        <v>40.480000000000004</v>
      </c>
      <c r="P28" s="4">
        <f t="shared" si="7"/>
        <v>56.3232</v>
      </c>
      <c r="Q28" s="4">
        <f t="shared" si="7"/>
        <v>73.220159999999993</v>
      </c>
      <c r="R28" s="4">
        <f t="shared" si="7"/>
        <v>103.67260800000003</v>
      </c>
      <c r="S28" s="4">
        <f t="shared" si="7"/>
        <v>143.26079040000002</v>
      </c>
      <c r="T28" s="4">
        <f t="shared" si="7"/>
        <v>194.72542752000007</v>
      </c>
      <c r="U28" s="4">
        <f t="shared" si="7"/>
        <v>261.62945577600004</v>
      </c>
      <c r="V28" s="4">
        <f t="shared" ref="V28:V30" si="8">SUM(J28:U28)</f>
        <v>871.96040169600019</v>
      </c>
    </row>
    <row r="29" spans="4:22" x14ac:dyDescent="0.35">
      <c r="E29" s="5" t="s">
        <v>3</v>
      </c>
      <c r="I29" s="64" t="s">
        <v>137</v>
      </c>
      <c r="J29" s="5">
        <f>J19</f>
        <v>-2.2001200000000005</v>
      </c>
      <c r="K29" s="5">
        <f t="shared" ref="K29:U29" si="9">K19</f>
        <v>-1.9391200000000008</v>
      </c>
      <c r="L29" s="5">
        <f t="shared" si="9"/>
        <v>4.82</v>
      </c>
      <c r="M29" s="5">
        <f t="shared" si="9"/>
        <v>13.5168</v>
      </c>
      <c r="N29" s="5">
        <f t="shared" si="9"/>
        <v>29.712</v>
      </c>
      <c r="O29" s="5">
        <f t="shared" si="9"/>
        <v>60.064</v>
      </c>
      <c r="P29" s="5">
        <f t="shared" si="9"/>
        <v>78.083200000000005</v>
      </c>
      <c r="Q29" s="5">
        <f t="shared" si="9"/>
        <v>101.50816</v>
      </c>
      <c r="R29" s="5">
        <f t="shared" si="9"/>
        <v>131.96060800000004</v>
      </c>
      <c r="S29" s="5">
        <f t="shared" si="9"/>
        <v>171.54879040000003</v>
      </c>
      <c r="T29" s="5">
        <f t="shared" si="9"/>
        <v>223.01342752000008</v>
      </c>
      <c r="U29" s="5">
        <f t="shared" si="9"/>
        <v>289.91745577600005</v>
      </c>
      <c r="V29" s="45">
        <f t="shared" si="8"/>
        <v>1100.0052016960001</v>
      </c>
    </row>
    <row r="30" spans="4:22" x14ac:dyDescent="0.35">
      <c r="E30" s="5" t="s">
        <v>76</v>
      </c>
      <c r="I30" s="64" t="s">
        <v>137</v>
      </c>
      <c r="J30" s="5">
        <f>J26</f>
        <v>2.1760000000000002</v>
      </c>
      <c r="K30" s="5">
        <f t="shared" ref="K30:U30" si="10">K26</f>
        <v>3.9168000000000003</v>
      </c>
      <c r="L30" s="5">
        <f t="shared" si="10"/>
        <v>8.7040000000000006</v>
      </c>
      <c r="M30" s="5">
        <f t="shared" si="10"/>
        <v>15.231999999999999</v>
      </c>
      <c r="N30" s="5">
        <f t="shared" si="10"/>
        <v>15.231999999999999</v>
      </c>
      <c r="O30" s="5">
        <f t="shared" si="10"/>
        <v>19.584</v>
      </c>
      <c r="P30" s="5">
        <f t="shared" si="10"/>
        <v>21.76</v>
      </c>
      <c r="Q30" s="5">
        <f t="shared" si="10"/>
        <v>28.288000000000004</v>
      </c>
      <c r="R30" s="5">
        <f t="shared" si="10"/>
        <v>28.288000000000004</v>
      </c>
      <c r="S30" s="5">
        <f t="shared" si="10"/>
        <v>28.288000000000004</v>
      </c>
      <c r="T30" s="5">
        <f t="shared" si="10"/>
        <v>28.288000000000004</v>
      </c>
      <c r="U30" s="5">
        <f t="shared" si="10"/>
        <v>28.288000000000004</v>
      </c>
      <c r="V30" s="45">
        <f t="shared" si="8"/>
        <v>228.04480000000007</v>
      </c>
    </row>
    <row r="32" spans="4:22" x14ac:dyDescent="0.35">
      <c r="D32" s="1" t="s">
        <v>54</v>
      </c>
      <c r="I32" s="64" t="s">
        <v>137</v>
      </c>
      <c r="J32" s="4">
        <f>J33-J34</f>
        <v>-1.2500000000000001E-2</v>
      </c>
      <c r="K32" s="4">
        <f t="shared" ref="K32:U32" si="11">K33-K34</f>
        <v>-5.4323850000000007E-2</v>
      </c>
      <c r="L32" s="4">
        <f t="shared" si="11"/>
        <v>-9.1968336998287673E-2</v>
      </c>
      <c r="M32" s="4">
        <f t="shared" si="11"/>
        <v>-0.10911495217695064</v>
      </c>
      <c r="N32" s="4">
        <f t="shared" si="11"/>
        <v>-0.13092314106709285</v>
      </c>
      <c r="O32" s="4">
        <f t="shared" si="11"/>
        <v>-0.1339969239582835</v>
      </c>
      <c r="P32" s="4">
        <f t="shared" si="11"/>
        <v>-9.586704827550277E-2</v>
      </c>
      <c r="Q32" s="4">
        <f t="shared" si="11"/>
        <v>-3.4802848677473019E-2</v>
      </c>
      <c r="R32" s="4">
        <f t="shared" si="11"/>
        <v>3.8412562022971511E-2</v>
      </c>
      <c r="S32" s="4">
        <f t="shared" si="11"/>
        <v>0.15069657486087668</v>
      </c>
      <c r="T32" s="4">
        <f t="shared" si="11"/>
        <v>0.32008889436599358</v>
      </c>
      <c r="U32" s="4">
        <f t="shared" si="11"/>
        <v>0.56353135074927119</v>
      </c>
      <c r="V32" s="4">
        <f t="shared" ref="V32:V34" si="12">SUM(J32:U32)</f>
        <v>0.40923228084552254</v>
      </c>
    </row>
    <row r="33" spans="4:22" x14ac:dyDescent="0.35">
      <c r="E33" s="2" t="s">
        <v>84</v>
      </c>
      <c r="F33" s="2"/>
      <c r="I33" s="64" t="s">
        <v>137</v>
      </c>
      <c r="K33" s="5">
        <f>Debt!J19</f>
        <v>-4.3238500000000006E-3</v>
      </c>
      <c r="L33" s="5">
        <f>Debt!K19</f>
        <v>-1.6968336998287672E-2</v>
      </c>
      <c r="M33" s="5">
        <f>Debt!L19</f>
        <v>-3.4114952176950632E-2</v>
      </c>
      <c r="N33" s="5">
        <f>Debt!M19</f>
        <v>-5.5923141067092869E-2</v>
      </c>
      <c r="O33" s="5">
        <f>Debt!N19</f>
        <v>-5.8996923958283487E-2</v>
      </c>
      <c r="P33" s="5">
        <f>Debt!O19</f>
        <v>-2.0867048275502766E-2</v>
      </c>
      <c r="Q33" s="5">
        <f>Debt!P19</f>
        <v>4.0197151322526978E-2</v>
      </c>
      <c r="R33" s="5">
        <f>Debt!Q19</f>
        <v>0.11341256202297151</v>
      </c>
      <c r="S33" s="5">
        <f>Debt!R19</f>
        <v>0.22569657486087666</v>
      </c>
      <c r="T33" s="5">
        <f>Debt!S19</f>
        <v>0.39508889436599359</v>
      </c>
      <c r="U33" s="5">
        <f>Debt!T19</f>
        <v>0.63853135074927114</v>
      </c>
      <c r="V33" s="45">
        <f t="shared" si="12"/>
        <v>1.2217322808455224</v>
      </c>
    </row>
    <row r="34" spans="4:22" x14ac:dyDescent="0.35">
      <c r="E34" s="2" t="s">
        <v>85</v>
      </c>
      <c r="F34" s="2"/>
      <c r="I34" s="64" t="s">
        <v>137</v>
      </c>
      <c r="J34" s="5">
        <f>Debt!J11</f>
        <v>1.2500000000000001E-2</v>
      </c>
      <c r="K34" s="5">
        <f>Debt!K11</f>
        <v>0.05</v>
      </c>
      <c r="L34" s="5">
        <f>Debt!L11</f>
        <v>7.4999999999999997E-2</v>
      </c>
      <c r="M34" s="5">
        <f>Debt!M11</f>
        <v>7.4999999999999997E-2</v>
      </c>
      <c r="N34" s="5">
        <f>Debt!N11</f>
        <v>7.4999999999999997E-2</v>
      </c>
      <c r="O34" s="5">
        <f>Debt!O11</f>
        <v>7.4999999999999997E-2</v>
      </c>
      <c r="P34" s="5">
        <f>Debt!P11</f>
        <v>7.4999999999999997E-2</v>
      </c>
      <c r="Q34" s="5">
        <f>Debt!Q11</f>
        <v>7.4999999999999997E-2</v>
      </c>
      <c r="R34" s="5">
        <f>Debt!R11</f>
        <v>7.4999999999999997E-2</v>
      </c>
      <c r="S34" s="5">
        <f>Debt!S11</f>
        <v>7.4999999999999997E-2</v>
      </c>
      <c r="T34" s="5">
        <f>Debt!T11</f>
        <v>7.4999999999999997E-2</v>
      </c>
      <c r="U34" s="5">
        <f>Debt!U11</f>
        <v>7.4999999999999997E-2</v>
      </c>
      <c r="V34" s="45">
        <f t="shared" si="12"/>
        <v>0.81249999999999989</v>
      </c>
    </row>
    <row r="36" spans="4:22" x14ac:dyDescent="0.35">
      <c r="D36" s="1" t="s">
        <v>78</v>
      </c>
      <c r="E36" s="2"/>
      <c r="F36" s="2"/>
      <c r="I36" s="64" t="s">
        <v>137</v>
      </c>
      <c r="J36" s="4">
        <f>J37+J38</f>
        <v>-4.3886200000000004</v>
      </c>
      <c r="K36" s="4">
        <f t="shared" ref="K36:U36" si="13">K37+K38</f>
        <v>-5.9102438500000014</v>
      </c>
      <c r="L36" s="4">
        <f t="shared" si="13"/>
        <v>-3.9759683369982879</v>
      </c>
      <c r="M36" s="4">
        <f t="shared" si="13"/>
        <v>-1.8243149521769499</v>
      </c>
      <c r="N36" s="4">
        <f t="shared" si="13"/>
        <v>14.349076858932907</v>
      </c>
      <c r="O36" s="4">
        <f t="shared" si="13"/>
        <v>40.346003076041718</v>
      </c>
      <c r="P36" s="4">
        <f t="shared" si="13"/>
        <v>56.227332951724499</v>
      </c>
      <c r="Q36" s="4">
        <f t="shared" si="13"/>
        <v>73.185357151322521</v>
      </c>
      <c r="R36" s="4">
        <f t="shared" si="13"/>
        <v>103.71102056202299</v>
      </c>
      <c r="S36" s="4">
        <f t="shared" si="13"/>
        <v>143.41148697486091</v>
      </c>
      <c r="T36" s="4">
        <f t="shared" si="13"/>
        <v>195.04551641436606</v>
      </c>
      <c r="U36" s="4">
        <f t="shared" si="13"/>
        <v>262.1929871267493</v>
      </c>
      <c r="V36" s="4">
        <f t="shared" ref="V36:V38" si="14">SUM(J36:U36)</f>
        <v>872.36963397684576</v>
      </c>
    </row>
    <row r="37" spans="4:22" x14ac:dyDescent="0.35">
      <c r="D37" s="1"/>
      <c r="E37" s="22" t="s">
        <v>81</v>
      </c>
      <c r="F37" s="2"/>
      <c r="I37" s="64" t="s">
        <v>137</v>
      </c>
      <c r="J37" s="5">
        <f>J28</f>
        <v>-4.3761200000000002</v>
      </c>
      <c r="K37" s="5">
        <f t="shared" ref="K37:U37" si="15">K28</f>
        <v>-5.8559200000000011</v>
      </c>
      <c r="L37" s="5">
        <f t="shared" si="15"/>
        <v>-3.8840000000000003</v>
      </c>
      <c r="M37" s="5">
        <f t="shared" si="15"/>
        <v>-1.7151999999999994</v>
      </c>
      <c r="N37" s="5">
        <f t="shared" si="15"/>
        <v>14.48</v>
      </c>
      <c r="O37" s="5">
        <f t="shared" si="15"/>
        <v>40.480000000000004</v>
      </c>
      <c r="P37" s="5">
        <f t="shared" si="15"/>
        <v>56.3232</v>
      </c>
      <c r="Q37" s="5">
        <f t="shared" si="15"/>
        <v>73.220159999999993</v>
      </c>
      <c r="R37" s="5">
        <f t="shared" si="15"/>
        <v>103.67260800000003</v>
      </c>
      <c r="S37" s="5">
        <f t="shared" si="15"/>
        <v>143.26079040000002</v>
      </c>
      <c r="T37" s="5">
        <f t="shared" si="15"/>
        <v>194.72542752000007</v>
      </c>
      <c r="U37" s="5">
        <f t="shared" si="15"/>
        <v>261.62945577600004</v>
      </c>
      <c r="V37" s="45">
        <f t="shared" si="14"/>
        <v>871.96040169600019</v>
      </c>
    </row>
    <row r="38" spans="4:22" x14ac:dyDescent="0.35">
      <c r="D38" s="1"/>
      <c r="E38" s="22" t="s">
        <v>54</v>
      </c>
      <c r="F38" s="2"/>
      <c r="I38" s="64" t="s">
        <v>137</v>
      </c>
      <c r="J38" s="5">
        <f>J32</f>
        <v>-1.2500000000000001E-2</v>
      </c>
      <c r="K38" s="5">
        <f t="shared" ref="K38:U38" si="16">K32</f>
        <v>-5.4323850000000007E-2</v>
      </c>
      <c r="L38" s="5">
        <f t="shared" si="16"/>
        <v>-9.1968336998287673E-2</v>
      </c>
      <c r="M38" s="5">
        <f t="shared" si="16"/>
        <v>-0.10911495217695064</v>
      </c>
      <c r="N38" s="5">
        <f t="shared" si="16"/>
        <v>-0.13092314106709285</v>
      </c>
      <c r="O38" s="5">
        <f t="shared" si="16"/>
        <v>-0.1339969239582835</v>
      </c>
      <c r="P38" s="5">
        <f t="shared" si="16"/>
        <v>-9.586704827550277E-2</v>
      </c>
      <c r="Q38" s="5">
        <f t="shared" si="16"/>
        <v>-3.4802848677473019E-2</v>
      </c>
      <c r="R38" s="5">
        <f t="shared" si="16"/>
        <v>3.8412562022971511E-2</v>
      </c>
      <c r="S38" s="5">
        <f t="shared" si="16"/>
        <v>0.15069657486087668</v>
      </c>
      <c r="T38" s="5">
        <f t="shared" si="16"/>
        <v>0.32008889436599358</v>
      </c>
      <c r="U38" s="5">
        <f t="shared" si="16"/>
        <v>0.56353135074927119</v>
      </c>
      <c r="V38" s="45">
        <f t="shared" si="14"/>
        <v>0.40923228084552254</v>
      </c>
    </row>
    <row r="39" spans="4:22" x14ac:dyDescent="0.35">
      <c r="D39" s="31"/>
      <c r="E39" s="22"/>
      <c r="F39" s="30"/>
      <c r="I39" s="3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4:22" x14ac:dyDescent="0.35">
      <c r="D40" s="31" t="s">
        <v>99</v>
      </c>
      <c r="E40" s="22"/>
      <c r="F40" s="30"/>
      <c r="I40" s="64" t="s">
        <v>137</v>
      </c>
      <c r="J40" s="4">
        <f>MAX(J41*J42,0)</f>
        <v>0</v>
      </c>
      <c r="K40" s="4">
        <f t="shared" ref="K40" si="17">MAX(K41*K42,0)</f>
        <v>0</v>
      </c>
      <c r="L40" s="4">
        <f t="shared" ref="L40" si="18">MAX(L41*L42,0)</f>
        <v>0</v>
      </c>
      <c r="M40" s="4">
        <f t="shared" ref="M40" si="19">MAX(M41*M42,0)</f>
        <v>0</v>
      </c>
      <c r="N40" s="4">
        <f t="shared" ref="N40" si="20">MAX(N41*N42,0)</f>
        <v>3.3002876775545689</v>
      </c>
      <c r="O40" s="4">
        <f t="shared" ref="O40" si="21">MAX(O41*O42,0)</f>
        <v>9.2795807074895951</v>
      </c>
      <c r="P40" s="4">
        <f t="shared" ref="P40" si="22">MAX(P41*P42,0)</f>
        <v>12.932286578896635</v>
      </c>
      <c r="Q40" s="4">
        <f t="shared" ref="Q40" si="23">MAX(Q41*Q42,0)</f>
        <v>16.83263214480418</v>
      </c>
      <c r="R40" s="4">
        <f t="shared" ref="R40" si="24">MAX(R41*R42,0)</f>
        <v>23.853534729265292</v>
      </c>
      <c r="S40" s="4">
        <f t="shared" ref="S40" si="25">MAX(S41*S42,0)</f>
        <v>32.98464200421801</v>
      </c>
      <c r="T40" s="4">
        <f t="shared" ref="T40" si="26">MAX(T41*T42,0)</f>
        <v>44.860468775304199</v>
      </c>
      <c r="U40" s="4">
        <f t="shared" ref="U40" si="27">MAX(U41*U42,0)</f>
        <v>60.304387039152338</v>
      </c>
      <c r="V40" s="4">
        <f>SUM(J40:U40)</f>
        <v>204.34781965668481</v>
      </c>
    </row>
    <row r="41" spans="4:22" x14ac:dyDescent="0.35">
      <c r="E41" s="30" t="s">
        <v>78</v>
      </c>
      <c r="F41" s="30"/>
      <c r="I41" s="64" t="s">
        <v>137</v>
      </c>
      <c r="J41" s="5">
        <f>J36</f>
        <v>-4.3886200000000004</v>
      </c>
      <c r="K41" s="5">
        <f t="shared" ref="K41:U41" si="28">K36</f>
        <v>-5.9102438500000014</v>
      </c>
      <c r="L41" s="5">
        <f t="shared" si="28"/>
        <v>-3.9759683369982879</v>
      </c>
      <c r="M41" s="5">
        <f t="shared" si="28"/>
        <v>-1.8243149521769499</v>
      </c>
      <c r="N41" s="5">
        <f t="shared" si="28"/>
        <v>14.349076858932907</v>
      </c>
      <c r="O41" s="5">
        <f t="shared" si="28"/>
        <v>40.346003076041718</v>
      </c>
      <c r="P41" s="5">
        <f t="shared" si="28"/>
        <v>56.227332951724499</v>
      </c>
      <c r="Q41" s="5">
        <f t="shared" si="28"/>
        <v>73.185357151322521</v>
      </c>
      <c r="R41" s="5">
        <f t="shared" si="28"/>
        <v>103.71102056202299</v>
      </c>
      <c r="S41" s="5">
        <f t="shared" si="28"/>
        <v>143.41148697486091</v>
      </c>
      <c r="T41" s="5">
        <f t="shared" si="28"/>
        <v>195.04551641436606</v>
      </c>
      <c r="U41" s="5">
        <f t="shared" si="28"/>
        <v>262.1929871267493</v>
      </c>
      <c r="V41" s="45">
        <f>SUM(J41:U41)</f>
        <v>872.36963397684576</v>
      </c>
    </row>
    <row r="42" spans="4:22" x14ac:dyDescent="0.35">
      <c r="E42" s="30" t="s">
        <v>100</v>
      </c>
      <c r="F42" s="30"/>
      <c r="I42" s="64" t="s">
        <v>137</v>
      </c>
      <c r="J42" s="28">
        <v>0.23</v>
      </c>
      <c r="K42" s="10">
        <f>J42</f>
        <v>0.23</v>
      </c>
      <c r="L42" s="10">
        <f t="shared" ref="L42" si="29">K42</f>
        <v>0.23</v>
      </c>
      <c r="M42" s="10">
        <f t="shared" ref="M42" si="30">L42</f>
        <v>0.23</v>
      </c>
      <c r="N42" s="10">
        <f t="shared" ref="N42" si="31">M42</f>
        <v>0.23</v>
      </c>
      <c r="O42" s="10">
        <f t="shared" ref="O42" si="32">N42</f>
        <v>0.23</v>
      </c>
      <c r="P42" s="10">
        <f t="shared" ref="P42" si="33">O42</f>
        <v>0.23</v>
      </c>
      <c r="Q42" s="10">
        <f t="shared" ref="Q42" si="34">P42</f>
        <v>0.23</v>
      </c>
      <c r="R42" s="10">
        <f t="shared" ref="R42" si="35">Q42</f>
        <v>0.23</v>
      </c>
      <c r="S42" s="10">
        <f t="shared" ref="S42" si="36">R42</f>
        <v>0.23</v>
      </c>
      <c r="T42" s="10">
        <f t="shared" ref="T42" si="37">S42</f>
        <v>0.23</v>
      </c>
      <c r="U42" s="10">
        <f t="shared" ref="U42" si="38">T42</f>
        <v>0.23</v>
      </c>
    </row>
    <row r="44" spans="4:22" x14ac:dyDescent="0.35">
      <c r="D44" s="1" t="s">
        <v>79</v>
      </c>
      <c r="E44" s="22"/>
      <c r="F44" s="2"/>
      <c r="I44" s="64" t="s">
        <v>137</v>
      </c>
      <c r="J44" s="4">
        <f>J45-J46</f>
        <v>-4.3886200000000004</v>
      </c>
      <c r="K44" s="4">
        <f t="shared" ref="K44:U44" si="39">K45-K46</f>
        <v>-5.9102438500000014</v>
      </c>
      <c r="L44" s="4">
        <f t="shared" si="39"/>
        <v>-3.9759683369982879</v>
      </c>
      <c r="M44" s="4">
        <f t="shared" si="39"/>
        <v>-1.8243149521769499</v>
      </c>
      <c r="N44" s="4">
        <f t="shared" si="39"/>
        <v>11.048789181378339</v>
      </c>
      <c r="O44" s="4">
        <f t="shared" si="39"/>
        <v>31.066422368552125</v>
      </c>
      <c r="P44" s="4">
        <f t="shared" si="39"/>
        <v>43.295046372827862</v>
      </c>
      <c r="Q44" s="4">
        <f t="shared" si="39"/>
        <v>56.352725006518341</v>
      </c>
      <c r="R44" s="4">
        <f t="shared" si="39"/>
        <v>79.857485832757703</v>
      </c>
      <c r="S44" s="4">
        <f t="shared" si="39"/>
        <v>110.42684497064289</v>
      </c>
      <c r="T44" s="4">
        <f t="shared" si="39"/>
        <v>150.18504763906185</v>
      </c>
      <c r="U44" s="4">
        <f t="shared" si="39"/>
        <v>201.88860008759696</v>
      </c>
      <c r="V44" s="4">
        <f>SUM(J44:U44)</f>
        <v>668.02181432016084</v>
      </c>
    </row>
    <row r="45" spans="4:22" x14ac:dyDescent="0.35">
      <c r="D45" s="1"/>
      <c r="E45" s="2" t="s">
        <v>78</v>
      </c>
      <c r="F45" s="2"/>
      <c r="I45" s="64" t="s">
        <v>137</v>
      </c>
      <c r="J45" s="5">
        <f t="shared" ref="J45:U45" si="40">J36</f>
        <v>-4.3886200000000004</v>
      </c>
      <c r="K45" s="5">
        <f t="shared" si="40"/>
        <v>-5.9102438500000014</v>
      </c>
      <c r="L45" s="5">
        <f t="shared" si="40"/>
        <v>-3.9759683369982879</v>
      </c>
      <c r="M45" s="5">
        <f t="shared" si="40"/>
        <v>-1.8243149521769499</v>
      </c>
      <c r="N45" s="5">
        <f t="shared" si="40"/>
        <v>14.349076858932907</v>
      </c>
      <c r="O45" s="5">
        <f t="shared" si="40"/>
        <v>40.346003076041718</v>
      </c>
      <c r="P45" s="5">
        <f t="shared" si="40"/>
        <v>56.227332951724499</v>
      </c>
      <c r="Q45" s="5">
        <f t="shared" si="40"/>
        <v>73.185357151322521</v>
      </c>
      <c r="R45" s="5">
        <f t="shared" si="40"/>
        <v>103.71102056202299</v>
      </c>
      <c r="S45" s="5">
        <f t="shared" si="40"/>
        <v>143.41148697486091</v>
      </c>
      <c r="T45" s="5">
        <f t="shared" si="40"/>
        <v>195.04551641436606</v>
      </c>
      <c r="U45" s="5">
        <f t="shared" si="40"/>
        <v>262.1929871267493</v>
      </c>
      <c r="V45" s="45">
        <f>SUM(J45:U45)</f>
        <v>872.36963397684576</v>
      </c>
    </row>
    <row r="46" spans="4:22" x14ac:dyDescent="0.35">
      <c r="D46" s="31"/>
      <c r="E46" s="37" t="s">
        <v>99</v>
      </c>
      <c r="F46" s="30"/>
      <c r="I46" s="64" t="s">
        <v>137</v>
      </c>
      <c r="J46" s="5">
        <f>J40</f>
        <v>0</v>
      </c>
      <c r="K46" s="5">
        <f t="shared" ref="K46:U46" si="41">K40</f>
        <v>0</v>
      </c>
      <c r="L46" s="5">
        <f t="shared" si="41"/>
        <v>0</v>
      </c>
      <c r="M46" s="5">
        <f t="shared" si="41"/>
        <v>0</v>
      </c>
      <c r="N46" s="5">
        <f t="shared" si="41"/>
        <v>3.3002876775545689</v>
      </c>
      <c r="O46" s="5">
        <f t="shared" si="41"/>
        <v>9.2795807074895951</v>
      </c>
      <c r="P46" s="5">
        <f t="shared" si="41"/>
        <v>12.932286578896635</v>
      </c>
      <c r="Q46" s="5">
        <f t="shared" si="41"/>
        <v>16.83263214480418</v>
      </c>
      <c r="R46" s="5">
        <f t="shared" si="41"/>
        <v>23.853534729265292</v>
      </c>
      <c r="S46" s="5">
        <f t="shared" si="41"/>
        <v>32.98464200421801</v>
      </c>
      <c r="T46" s="5">
        <f t="shared" si="41"/>
        <v>44.860468775304199</v>
      </c>
      <c r="U46" s="5">
        <f t="shared" si="41"/>
        <v>60.304387039152338</v>
      </c>
      <c r="V46" s="45">
        <f>SUM(J46:U46)</f>
        <v>204.34781965668481</v>
      </c>
    </row>
    <row r="48" spans="4:22" x14ac:dyDescent="0.35">
      <c r="D48" s="1" t="s">
        <v>80</v>
      </c>
      <c r="E48" s="2"/>
      <c r="F48" s="2"/>
      <c r="G48" s="2"/>
      <c r="H48" s="2"/>
      <c r="I48" s="37"/>
    </row>
    <row r="49" spans="4:22" x14ac:dyDescent="0.35">
      <c r="D49" s="1"/>
      <c r="E49" s="22" t="s">
        <v>23</v>
      </c>
      <c r="F49" s="2"/>
      <c r="G49" s="2"/>
      <c r="H49" s="2"/>
      <c r="I49" s="38" t="s">
        <v>1</v>
      </c>
      <c r="J49" s="40">
        <f>J6/J$6</f>
        <v>1</v>
      </c>
      <c r="K49" s="40">
        <f t="shared" ref="K49:U49" si="42">K6/K$6</f>
        <v>1</v>
      </c>
      <c r="L49" s="40">
        <f t="shared" si="42"/>
        <v>1</v>
      </c>
      <c r="M49" s="40">
        <f t="shared" si="42"/>
        <v>1</v>
      </c>
      <c r="N49" s="40">
        <f t="shared" si="42"/>
        <v>1</v>
      </c>
      <c r="O49" s="40">
        <f t="shared" si="42"/>
        <v>1</v>
      </c>
      <c r="P49" s="40">
        <f t="shared" si="42"/>
        <v>1</v>
      </c>
      <c r="Q49" s="40">
        <f t="shared" si="42"/>
        <v>1</v>
      </c>
      <c r="R49" s="40">
        <f t="shared" si="42"/>
        <v>1</v>
      </c>
      <c r="S49" s="40">
        <f t="shared" si="42"/>
        <v>1</v>
      </c>
      <c r="T49" s="40">
        <f t="shared" si="42"/>
        <v>1</v>
      </c>
      <c r="U49" s="40">
        <f t="shared" si="42"/>
        <v>1</v>
      </c>
      <c r="V49" s="40">
        <f t="shared" ref="V49" si="43">V6/V$6</f>
        <v>1</v>
      </c>
    </row>
    <row r="50" spans="4:22" x14ac:dyDescent="0.35">
      <c r="D50" s="1"/>
      <c r="E50" s="22" t="s">
        <v>7</v>
      </c>
      <c r="F50" s="2"/>
      <c r="G50" s="2"/>
      <c r="H50" s="2"/>
      <c r="I50" s="38" t="s">
        <v>1</v>
      </c>
      <c r="J50" s="10">
        <f>J8/J$6</f>
        <v>0.95</v>
      </c>
      <c r="K50" s="10">
        <f t="shared" ref="K50:U50" si="44">K8/K$6</f>
        <v>0.94999999999999984</v>
      </c>
      <c r="L50" s="10">
        <f t="shared" si="44"/>
        <v>0.95</v>
      </c>
      <c r="M50" s="10">
        <f t="shared" si="44"/>
        <v>0.95</v>
      </c>
      <c r="N50" s="10">
        <f t="shared" si="44"/>
        <v>0.95</v>
      </c>
      <c r="O50" s="10">
        <f t="shared" si="44"/>
        <v>0.95</v>
      </c>
      <c r="P50" s="10">
        <f t="shared" si="44"/>
        <v>0.95</v>
      </c>
      <c r="Q50" s="10">
        <f t="shared" si="44"/>
        <v>0.95</v>
      </c>
      <c r="R50" s="10">
        <f t="shared" si="44"/>
        <v>0.95</v>
      </c>
      <c r="S50" s="10">
        <f t="shared" si="44"/>
        <v>0.95</v>
      </c>
      <c r="T50" s="10">
        <f t="shared" si="44"/>
        <v>0.95</v>
      </c>
      <c r="U50" s="10">
        <f t="shared" si="44"/>
        <v>0.95</v>
      </c>
      <c r="V50" s="10">
        <f t="shared" ref="V50" si="45">V8/V$6</f>
        <v>0.95000000000000007</v>
      </c>
    </row>
    <row r="51" spans="4:22" x14ac:dyDescent="0.35">
      <c r="D51" s="1"/>
      <c r="E51" s="39" t="s">
        <v>108</v>
      </c>
      <c r="F51" s="2"/>
      <c r="G51" s="2"/>
      <c r="H51" s="2"/>
      <c r="I51" s="38" t="s">
        <v>1</v>
      </c>
      <c r="J51" s="10">
        <f>J19/J$6</f>
        <v>-2.2917916666666671</v>
      </c>
      <c r="K51" s="10">
        <f t="shared" ref="K51:U51" si="46">K19/K$6</f>
        <v>-0.68704648526077117</v>
      </c>
      <c r="L51" s="10">
        <f t="shared" si="46"/>
        <v>0.55787037037037035</v>
      </c>
      <c r="M51" s="10">
        <f t="shared" si="46"/>
        <v>0.78222222222222215</v>
      </c>
      <c r="N51" s="10">
        <f t="shared" si="46"/>
        <v>0.85972222222222217</v>
      </c>
      <c r="O51" s="10">
        <f t="shared" si="46"/>
        <v>0.86898148148148147</v>
      </c>
      <c r="P51" s="10">
        <f t="shared" si="46"/>
        <v>0.86898148148148147</v>
      </c>
      <c r="Q51" s="10">
        <f t="shared" si="46"/>
        <v>0.86898148148148147</v>
      </c>
      <c r="R51" s="10">
        <f t="shared" si="46"/>
        <v>0.86898148148148135</v>
      </c>
      <c r="S51" s="10">
        <f t="shared" si="46"/>
        <v>0.86898148148148135</v>
      </c>
      <c r="T51" s="10">
        <f t="shared" si="46"/>
        <v>0.86898148148148135</v>
      </c>
      <c r="U51" s="10">
        <f t="shared" si="46"/>
        <v>0.86898148148148135</v>
      </c>
      <c r="V51" s="10">
        <f t="shared" ref="V51" si="47">V19/V$6</f>
        <v>0.85965560987676359</v>
      </c>
    </row>
    <row r="52" spans="4:22" x14ac:dyDescent="0.35">
      <c r="E52" s="5" t="s">
        <v>82</v>
      </c>
      <c r="I52" s="38" t="s">
        <v>1</v>
      </c>
      <c r="J52" s="10">
        <f>J28/J$6</f>
        <v>-4.5584583333333342</v>
      </c>
      <c r="K52" s="10">
        <f t="shared" ref="K52:U52" si="48">K28/K$6</f>
        <v>-2.0748015873015873</v>
      </c>
      <c r="L52" s="10">
        <f t="shared" si="48"/>
        <v>-0.44953703703703707</v>
      </c>
      <c r="M52" s="10">
        <f t="shared" si="48"/>
        <v>-9.9259259259259214E-2</v>
      </c>
      <c r="N52" s="10">
        <f t="shared" si="48"/>
        <v>0.41898148148148145</v>
      </c>
      <c r="O52" s="10">
        <f t="shared" si="48"/>
        <v>0.58564814814814814</v>
      </c>
      <c r="P52" s="10">
        <f t="shared" si="48"/>
        <v>0.62681623931623931</v>
      </c>
      <c r="Q52" s="10">
        <f t="shared" si="48"/>
        <v>0.6268162393162392</v>
      </c>
      <c r="R52" s="10">
        <f t="shared" si="48"/>
        <v>0.68270052596975661</v>
      </c>
      <c r="S52" s="10">
        <f t="shared" si="48"/>
        <v>0.72568843878015465</v>
      </c>
      <c r="T52" s="10">
        <f t="shared" si="48"/>
        <v>0.75875606401892237</v>
      </c>
      <c r="U52" s="10">
        <f t="shared" si="48"/>
        <v>0.78419269881797449</v>
      </c>
      <c r="V52" s="10">
        <f t="shared" ref="V52" si="49">V28/V$6</f>
        <v>0.68143827843054139</v>
      </c>
    </row>
    <row r="53" spans="4:22" x14ac:dyDescent="0.35">
      <c r="E53" s="5" t="s">
        <v>79</v>
      </c>
      <c r="I53" s="38" t="s">
        <v>1</v>
      </c>
      <c r="J53" s="10">
        <f>J44/J$6</f>
        <v>-4.5714791666666672</v>
      </c>
      <c r="K53" s="10">
        <f t="shared" ref="K53:U53" si="50">K44/K$6</f>
        <v>-2.0940489831349209</v>
      </c>
      <c r="L53" s="10">
        <f t="shared" si="50"/>
        <v>-0.46018152048591293</v>
      </c>
      <c r="M53" s="10">
        <f t="shared" si="50"/>
        <v>-0.1055737819546846</v>
      </c>
      <c r="N53" s="10">
        <f t="shared" si="50"/>
        <v>0.31969876103525285</v>
      </c>
      <c r="O53" s="10">
        <f t="shared" si="50"/>
        <v>0.44945634213761754</v>
      </c>
      <c r="P53" s="10">
        <f t="shared" si="50"/>
        <v>0.48182699399959777</v>
      </c>
      <c r="Q53" s="10">
        <f t="shared" si="50"/>
        <v>0.48241909282645684</v>
      </c>
      <c r="R53" s="10">
        <f t="shared" si="50"/>
        <v>0.52587417865137587</v>
      </c>
      <c r="S53" s="10">
        <f t="shared" si="50"/>
        <v>0.55936788078871302</v>
      </c>
      <c r="T53" s="10">
        <f t="shared" si="50"/>
        <v>0.58520254428202412</v>
      </c>
      <c r="U53" s="10">
        <f t="shared" si="50"/>
        <v>0.60512898172606477</v>
      </c>
      <c r="V53" s="10">
        <f t="shared" ref="V53" si="51">V44/V$6</f>
        <v>0.52205998600276271</v>
      </c>
    </row>
    <row r="55" spans="4:22" x14ac:dyDescent="0.35">
      <c r="D55" s="4" t="s">
        <v>109</v>
      </c>
      <c r="J55" s="40">
        <f>SUM(J56:J61)</f>
        <v>5.5584583333333351</v>
      </c>
      <c r="K55" s="40">
        <f t="shared" ref="K55:V55" si="52">SUM(K56:K61)</f>
        <v>3.0748015873015873</v>
      </c>
      <c r="L55" s="40">
        <f t="shared" si="52"/>
        <v>1.4495370370370371</v>
      </c>
      <c r="M55" s="40">
        <f t="shared" si="52"/>
        <v>1.0992592592592594</v>
      </c>
      <c r="N55" s="40">
        <f t="shared" si="52"/>
        <v>0.5810185185185186</v>
      </c>
      <c r="O55" s="40">
        <f t="shared" si="52"/>
        <v>0.41435185185185186</v>
      </c>
      <c r="P55" s="40">
        <f t="shared" si="52"/>
        <v>0.37318376068376069</v>
      </c>
      <c r="Q55" s="40">
        <f t="shared" si="52"/>
        <v>0.37318376068376075</v>
      </c>
      <c r="R55" s="40">
        <f t="shared" si="52"/>
        <v>0.31729947403024328</v>
      </c>
      <c r="S55" s="40">
        <f t="shared" si="52"/>
        <v>0.27431156121984529</v>
      </c>
      <c r="T55" s="40">
        <f t="shared" si="52"/>
        <v>0.2412439359810776</v>
      </c>
      <c r="U55" s="40">
        <f t="shared" si="52"/>
        <v>0.21580730118202554</v>
      </c>
      <c r="V55" s="40">
        <f t="shared" si="52"/>
        <v>0.31856172156945861</v>
      </c>
    </row>
    <row r="56" spans="4:22" x14ac:dyDescent="0.35">
      <c r="E56" s="38" t="s">
        <v>50</v>
      </c>
      <c r="I56" s="38" t="s">
        <v>1</v>
      </c>
      <c r="J56" s="10">
        <f>(J6-J8)/J6</f>
        <v>5.0000000000000044E-2</v>
      </c>
      <c r="K56" s="10">
        <f t="shared" ref="K56:U56" si="53">(K6-K8)/K6</f>
        <v>5.0000000000000121E-2</v>
      </c>
      <c r="L56" s="10">
        <f t="shared" si="53"/>
        <v>5.0000000000000044E-2</v>
      </c>
      <c r="M56" s="10">
        <f t="shared" si="53"/>
        <v>5.0000000000000044E-2</v>
      </c>
      <c r="N56" s="10">
        <f t="shared" si="53"/>
        <v>5.0000000000000044E-2</v>
      </c>
      <c r="O56" s="10">
        <f t="shared" si="53"/>
        <v>5.0000000000000044E-2</v>
      </c>
      <c r="P56" s="10">
        <f t="shared" si="53"/>
        <v>5.0000000000000024E-2</v>
      </c>
      <c r="Q56" s="10">
        <f t="shared" si="53"/>
        <v>5.0000000000000058E-2</v>
      </c>
      <c r="R56" s="10">
        <f t="shared" si="53"/>
        <v>5.0000000000000086E-2</v>
      </c>
      <c r="S56" s="10">
        <f t="shared" si="53"/>
        <v>5.0000000000000044E-2</v>
      </c>
      <c r="T56" s="10">
        <f t="shared" si="53"/>
        <v>5.00000000000001E-2</v>
      </c>
      <c r="U56" s="10">
        <f t="shared" si="53"/>
        <v>5.0000000000000065E-2</v>
      </c>
      <c r="V56" s="10">
        <f t="shared" ref="V56" si="54">(V6-V8)/V6</f>
        <v>4.9999999999999982E-2</v>
      </c>
    </row>
    <row r="57" spans="4:22" x14ac:dyDescent="0.35">
      <c r="E57" s="38" t="s">
        <v>73</v>
      </c>
      <c r="I57" s="38" t="s">
        <v>1</v>
      </c>
      <c r="J57" s="10">
        <f>J10/J$6</f>
        <v>2.7917916666666671</v>
      </c>
      <c r="K57" s="10">
        <f t="shared" ref="K57:U57" si="55">K10/K$6</f>
        <v>1.5031179138321995</v>
      </c>
      <c r="L57" s="10">
        <f t="shared" si="55"/>
        <v>0.32546296296296295</v>
      </c>
      <c r="M57" s="10">
        <f t="shared" si="55"/>
        <v>0.12333333333333336</v>
      </c>
      <c r="N57" s="10">
        <f t="shared" si="55"/>
        <v>6.2500000000000014E-2</v>
      </c>
      <c r="O57" s="10">
        <f t="shared" si="55"/>
        <v>6.2500000000000014E-2</v>
      </c>
      <c r="P57" s="10">
        <f t="shared" si="55"/>
        <v>6.2500000000000014E-2</v>
      </c>
      <c r="Q57" s="10">
        <f t="shared" si="55"/>
        <v>6.2500000000000014E-2</v>
      </c>
      <c r="R57" s="10">
        <f t="shared" si="55"/>
        <v>6.2500000000000014E-2</v>
      </c>
      <c r="S57" s="10">
        <f t="shared" si="55"/>
        <v>6.2500000000000014E-2</v>
      </c>
      <c r="T57" s="10">
        <f t="shared" si="55"/>
        <v>6.2500000000000014E-2</v>
      </c>
      <c r="U57" s="10">
        <f t="shared" si="55"/>
        <v>6.2500000000000028E-2</v>
      </c>
      <c r="V57" s="10">
        <f t="shared" ref="V57" si="56">V10/V$6</f>
        <v>7.0322297636215808E-2</v>
      </c>
    </row>
    <row r="58" spans="4:22" x14ac:dyDescent="0.35">
      <c r="E58" s="38" t="s">
        <v>74</v>
      </c>
      <c r="I58" s="38" t="s">
        <v>1</v>
      </c>
      <c r="J58" s="10">
        <f>J12/J$6</f>
        <v>0</v>
      </c>
      <c r="K58" s="10">
        <f t="shared" ref="K58:U58" si="57">K12/K$6</f>
        <v>0</v>
      </c>
      <c r="L58" s="10">
        <f t="shared" si="57"/>
        <v>0</v>
      </c>
      <c r="M58" s="10">
        <f t="shared" si="57"/>
        <v>0</v>
      </c>
      <c r="N58" s="10">
        <f t="shared" si="57"/>
        <v>0</v>
      </c>
      <c r="O58" s="10">
        <f t="shared" si="57"/>
        <v>0</v>
      </c>
      <c r="P58" s="10">
        <f t="shared" si="57"/>
        <v>0</v>
      </c>
      <c r="Q58" s="10">
        <f t="shared" si="57"/>
        <v>0</v>
      </c>
      <c r="R58" s="10">
        <f t="shared" si="57"/>
        <v>0</v>
      </c>
      <c r="S58" s="10">
        <f t="shared" si="57"/>
        <v>0</v>
      </c>
      <c r="T58" s="10">
        <f t="shared" si="57"/>
        <v>0</v>
      </c>
      <c r="U58" s="10">
        <f t="shared" si="57"/>
        <v>0</v>
      </c>
      <c r="V58" s="10">
        <f t="shared" ref="V58" si="58">V12/V$6</f>
        <v>0</v>
      </c>
    </row>
    <row r="59" spans="4:22" x14ac:dyDescent="0.35">
      <c r="E59" s="38" t="s">
        <v>75</v>
      </c>
      <c r="I59" s="38" t="s">
        <v>1</v>
      </c>
      <c r="J59" s="10">
        <f>J14/J$6</f>
        <v>0</v>
      </c>
      <c r="K59" s="10">
        <f t="shared" ref="K59:U59" si="59">K14/K$6</f>
        <v>0</v>
      </c>
      <c r="L59" s="10">
        <f t="shared" si="59"/>
        <v>0</v>
      </c>
      <c r="M59" s="10">
        <f t="shared" si="59"/>
        <v>0</v>
      </c>
      <c r="N59" s="10">
        <f t="shared" si="59"/>
        <v>0</v>
      </c>
      <c r="O59" s="10">
        <f t="shared" si="59"/>
        <v>0</v>
      </c>
      <c r="P59" s="10">
        <f t="shared" si="59"/>
        <v>0</v>
      </c>
      <c r="Q59" s="10">
        <f t="shared" si="59"/>
        <v>0</v>
      </c>
      <c r="R59" s="10">
        <f t="shared" si="59"/>
        <v>0</v>
      </c>
      <c r="S59" s="10">
        <f t="shared" si="59"/>
        <v>0</v>
      </c>
      <c r="T59" s="10">
        <f t="shared" si="59"/>
        <v>0</v>
      </c>
      <c r="U59" s="10">
        <f t="shared" si="59"/>
        <v>0</v>
      </c>
      <c r="V59" s="10">
        <f t="shared" ref="V59" si="60">V14/V$6</f>
        <v>0</v>
      </c>
    </row>
    <row r="60" spans="4:22" x14ac:dyDescent="0.35">
      <c r="E60" s="38" t="s">
        <v>76</v>
      </c>
      <c r="I60" s="38" t="s">
        <v>1</v>
      </c>
      <c r="J60" s="10">
        <f>J26/J$6</f>
        <v>2.2666666666666671</v>
      </c>
      <c r="K60" s="10">
        <f t="shared" ref="K60:U60" si="61">K26/K$6</f>
        <v>1.3877551020408161</v>
      </c>
      <c r="L60" s="10">
        <f t="shared" si="61"/>
        <v>1.0074074074074073</v>
      </c>
      <c r="M60" s="10">
        <f t="shared" si="61"/>
        <v>0.88148148148148142</v>
      </c>
      <c r="N60" s="10">
        <f t="shared" si="61"/>
        <v>0.44074074074074071</v>
      </c>
      <c r="O60" s="10">
        <f t="shared" si="61"/>
        <v>0.28333333333333333</v>
      </c>
      <c r="P60" s="10">
        <f t="shared" si="61"/>
        <v>0.24216524216524216</v>
      </c>
      <c r="Q60" s="10">
        <f t="shared" si="61"/>
        <v>0.24216524216524218</v>
      </c>
      <c r="R60" s="10">
        <f t="shared" si="61"/>
        <v>0.18628095551172469</v>
      </c>
      <c r="S60" s="10">
        <f t="shared" si="61"/>
        <v>0.1432930427013267</v>
      </c>
      <c r="T60" s="10">
        <f t="shared" si="61"/>
        <v>0.11022541746255898</v>
      </c>
      <c r="U60" s="10">
        <f t="shared" si="61"/>
        <v>8.4788782663506923E-2</v>
      </c>
      <c r="V60" s="10">
        <f t="shared" ref="V60" si="62">V26/V$6</f>
        <v>0.17821733144622229</v>
      </c>
    </row>
    <row r="61" spans="4:22" x14ac:dyDescent="0.35">
      <c r="E61" s="64" t="s">
        <v>169</v>
      </c>
      <c r="I61" s="38" t="s">
        <v>1</v>
      </c>
      <c r="J61" s="10">
        <f>J16/J6</f>
        <v>0.44999999999999996</v>
      </c>
      <c r="K61" s="10">
        <f t="shared" ref="K61:V61" si="63">K16/K6</f>
        <v>0.13392857142857145</v>
      </c>
      <c r="L61" s="10">
        <f t="shared" si="63"/>
        <v>6.6666666666666638E-2</v>
      </c>
      <c r="M61" s="10">
        <f t="shared" si="63"/>
        <v>4.4444444444444453E-2</v>
      </c>
      <c r="N61" s="10">
        <f t="shared" si="63"/>
        <v>2.7777777777777769E-2</v>
      </c>
      <c r="O61" s="10">
        <f t="shared" si="63"/>
        <v>1.8518518518518514E-2</v>
      </c>
      <c r="P61" s="10">
        <f t="shared" si="63"/>
        <v>1.8518518518518517E-2</v>
      </c>
      <c r="Q61" s="10">
        <f t="shared" si="63"/>
        <v>1.8518518518518511E-2</v>
      </c>
      <c r="R61" s="10">
        <f t="shared" si="63"/>
        <v>1.8518518518518511E-2</v>
      </c>
      <c r="S61" s="10">
        <f t="shared" si="63"/>
        <v>1.8518518518518521E-2</v>
      </c>
      <c r="T61" s="10">
        <f t="shared" si="63"/>
        <v>1.8518518518518514E-2</v>
      </c>
      <c r="U61" s="10">
        <f t="shared" si="63"/>
        <v>1.8518518518518514E-2</v>
      </c>
      <c r="V61" s="10">
        <f t="shared" si="63"/>
        <v>2.0022092487020519E-2</v>
      </c>
    </row>
  </sheetData>
  <hyperlinks>
    <hyperlink ref="V1" location="Master!A1" display="back" xr:uid="{00000000-0004-0000-0500-000000000000}"/>
    <hyperlink ref="J1" location="Master!A1" display="back" xr:uid="{00000000-0004-0000-0500-000001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V35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U17" sqref="U17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6.453125" style="23" customWidth="1"/>
    <col min="4" max="4" width="3.453125" style="4" customWidth="1"/>
    <col min="5" max="5" width="2.179687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5" bestFit="1" customWidth="1"/>
    <col min="10" max="16" width="9.54296875" style="5" customWidth="1"/>
    <col min="17" max="17" width="9.54296875" style="26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42</v>
      </c>
      <c r="J1" s="24" t="s">
        <v>37</v>
      </c>
      <c r="Q1" s="25"/>
      <c r="V1" s="24" t="s">
        <v>37</v>
      </c>
    </row>
    <row r="4" spans="1:22" x14ac:dyDescent="0.35">
      <c r="J4" s="21">
        <v>1</v>
      </c>
      <c r="K4" s="21">
        <v>2</v>
      </c>
      <c r="L4" s="21">
        <v>3</v>
      </c>
      <c r="M4" s="21">
        <v>4</v>
      </c>
      <c r="N4" s="21">
        <v>5</v>
      </c>
      <c r="O4" s="21">
        <v>6</v>
      </c>
      <c r="P4" s="21">
        <v>7</v>
      </c>
      <c r="Q4" s="21">
        <v>8</v>
      </c>
      <c r="R4" s="21">
        <v>9</v>
      </c>
      <c r="S4" s="21">
        <v>10</v>
      </c>
      <c r="T4" s="21">
        <v>11</v>
      </c>
      <c r="U4" s="21">
        <v>12</v>
      </c>
    </row>
    <row r="5" spans="1:22" s="4" customFormat="1" x14ac:dyDescent="0.35">
      <c r="A5" s="5"/>
      <c r="B5" s="5"/>
      <c r="C5" s="2"/>
      <c r="D5" s="1" t="s">
        <v>43</v>
      </c>
      <c r="E5" s="2"/>
      <c r="F5" s="2"/>
      <c r="G5" s="2"/>
      <c r="H5" s="2"/>
      <c r="I5" s="50" t="s">
        <v>137</v>
      </c>
      <c r="J5" s="4">
        <f>J6*J7/365</f>
        <v>0</v>
      </c>
      <c r="K5" s="4">
        <f t="shared" ref="K5:U5" si="0">K6*K7/365</f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5"/>
    </row>
    <row r="6" spans="1:22" s="4" customFormat="1" x14ac:dyDescent="0.35">
      <c r="A6" s="5"/>
      <c r="B6" s="5"/>
      <c r="C6" s="2"/>
      <c r="D6" s="2"/>
      <c r="E6" s="2" t="s">
        <v>23</v>
      </c>
      <c r="F6" s="2"/>
      <c r="G6" s="2"/>
      <c r="H6" s="2"/>
      <c r="I6" s="50" t="s">
        <v>137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x14ac:dyDescent="0.35">
      <c r="A7" s="5"/>
      <c r="B7" s="5"/>
      <c r="C7" s="2"/>
      <c r="D7" s="2"/>
      <c r="E7" s="2" t="s">
        <v>45</v>
      </c>
      <c r="F7" s="2"/>
      <c r="G7" s="2"/>
      <c r="H7" s="2"/>
      <c r="I7" s="2" t="s">
        <v>46</v>
      </c>
      <c r="J7" s="7">
        <v>0</v>
      </c>
      <c r="K7" s="5">
        <f>J7</f>
        <v>0</v>
      </c>
      <c r="L7" s="5">
        <f t="shared" ref="L7:U7" si="1">K7</f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/>
    </row>
    <row r="8" spans="1:22" s="4" customFormat="1" x14ac:dyDescent="0.35">
      <c r="A8" s="5"/>
      <c r="B8" s="5"/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  <c r="O8" s="5"/>
      <c r="P8" s="5"/>
      <c r="Q8" s="26"/>
      <c r="R8" s="5"/>
      <c r="S8" s="5"/>
      <c r="T8" s="5"/>
      <c r="U8" s="5"/>
      <c r="V8" s="5"/>
    </row>
    <row r="9" spans="1:22" s="4" customFormat="1" x14ac:dyDescent="0.35">
      <c r="A9" s="5"/>
      <c r="B9" s="5"/>
      <c r="C9" s="2"/>
      <c r="D9" s="1" t="s">
        <v>47</v>
      </c>
      <c r="E9" s="2"/>
      <c r="F9" s="2"/>
      <c r="G9" s="2"/>
      <c r="H9" s="2"/>
      <c r="I9" s="50" t="s">
        <v>137</v>
      </c>
      <c r="J9" s="4">
        <f>J10*J11/365</f>
        <v>0.52602739726027392</v>
      </c>
      <c r="K9" s="4">
        <f t="shared" ref="K9:U9" si="2">K10*K11/365</f>
        <v>1.2887671232876714</v>
      </c>
      <c r="L9" s="4">
        <f t="shared" si="2"/>
        <v>3.1561643835616437</v>
      </c>
      <c r="M9" s="4">
        <f t="shared" si="2"/>
        <v>6.3123287671232875</v>
      </c>
      <c r="N9" s="4">
        <f t="shared" si="2"/>
        <v>12.624657534246575</v>
      </c>
      <c r="O9" s="4">
        <f t="shared" si="2"/>
        <v>25.24931506849315</v>
      </c>
      <c r="P9" s="4">
        <f t="shared" si="2"/>
        <v>32.8241095890411</v>
      </c>
      <c r="Q9" s="4">
        <f t="shared" si="2"/>
        <v>42.671342465753426</v>
      </c>
      <c r="R9" s="4">
        <f t="shared" si="2"/>
        <v>55.47274520547947</v>
      </c>
      <c r="S9" s="4">
        <f t="shared" si="2"/>
        <v>72.114568767123316</v>
      </c>
      <c r="T9" s="4">
        <f t="shared" si="2"/>
        <v>93.748939397260315</v>
      </c>
      <c r="U9" s="4">
        <f t="shared" si="2"/>
        <v>121.87362121643841</v>
      </c>
      <c r="V9" s="5"/>
    </row>
    <row r="10" spans="1:22" x14ac:dyDescent="0.35">
      <c r="C10" s="2"/>
      <c r="D10" s="2"/>
      <c r="E10" s="50" t="s">
        <v>131</v>
      </c>
      <c r="F10" s="2"/>
      <c r="G10" s="2"/>
      <c r="H10" s="2"/>
      <c r="I10" s="50" t="s">
        <v>137</v>
      </c>
      <c r="J10" s="5">
        <f>'Sales &amp; Margin'!J$9</f>
        <v>9.6</v>
      </c>
      <c r="K10" s="5">
        <f>'Sales &amp; Margin'!K$9</f>
        <v>23.520000000000003</v>
      </c>
      <c r="L10" s="5">
        <f>'Sales &amp; Margin'!L$9</f>
        <v>57.6</v>
      </c>
      <c r="M10" s="5">
        <f>'Sales &amp; Margin'!M$9</f>
        <v>115.2</v>
      </c>
      <c r="N10" s="5">
        <f>'Sales &amp; Margin'!N$9</f>
        <v>230.4</v>
      </c>
      <c r="O10" s="5">
        <f>'Sales &amp; Margin'!O$9</f>
        <v>460.8</v>
      </c>
      <c r="P10" s="5">
        <f>'Sales &amp; Margin'!P$9</f>
        <v>599.04000000000008</v>
      </c>
      <c r="Q10" s="5">
        <f>'Sales &amp; Margin'!Q$9</f>
        <v>778.75200000000007</v>
      </c>
      <c r="R10" s="5">
        <f>'Sales &amp; Margin'!R$9</f>
        <v>1012.3776000000004</v>
      </c>
      <c r="S10" s="5">
        <f>'Sales &amp; Margin'!S$9</f>
        <v>1316.0908800000004</v>
      </c>
      <c r="T10" s="5">
        <f>'Sales &amp; Margin'!T$9</f>
        <v>1710.9181440000009</v>
      </c>
      <c r="U10" s="5">
        <f>'Sales &amp; Margin'!U$9</f>
        <v>2224.1935872000008</v>
      </c>
    </row>
    <row r="11" spans="1:22" s="4" customFormat="1" x14ac:dyDescent="0.35">
      <c r="A11" s="5"/>
      <c r="B11" s="5"/>
      <c r="C11" s="2"/>
      <c r="D11" s="2"/>
      <c r="E11" s="2" t="s">
        <v>48</v>
      </c>
      <c r="F11" s="2"/>
      <c r="G11" s="2"/>
      <c r="H11" s="2"/>
      <c r="I11" s="2" t="s">
        <v>46</v>
      </c>
      <c r="J11" s="7">
        <v>20</v>
      </c>
      <c r="K11" s="5">
        <f>J11</f>
        <v>20</v>
      </c>
      <c r="L11" s="5">
        <f t="shared" ref="L11:U11" si="3">K11</f>
        <v>20</v>
      </c>
      <c r="M11" s="5">
        <f t="shared" si="3"/>
        <v>20</v>
      </c>
      <c r="N11" s="5">
        <f t="shared" si="3"/>
        <v>20</v>
      </c>
      <c r="O11" s="5">
        <f t="shared" si="3"/>
        <v>20</v>
      </c>
      <c r="P11" s="5">
        <f t="shared" si="3"/>
        <v>20</v>
      </c>
      <c r="Q11" s="5">
        <f t="shared" si="3"/>
        <v>20</v>
      </c>
      <c r="R11" s="5">
        <f t="shared" si="3"/>
        <v>20</v>
      </c>
      <c r="S11" s="5">
        <f t="shared" si="3"/>
        <v>20</v>
      </c>
      <c r="T11" s="5">
        <f t="shared" si="3"/>
        <v>20</v>
      </c>
      <c r="U11" s="5">
        <f t="shared" si="3"/>
        <v>20</v>
      </c>
      <c r="V11" s="5"/>
    </row>
    <row r="12" spans="1:22" x14ac:dyDescent="0.35">
      <c r="C12" s="2"/>
      <c r="D12" s="2"/>
      <c r="E12" s="2"/>
      <c r="F12" s="2"/>
      <c r="G12" s="2"/>
      <c r="H12" s="2"/>
      <c r="I12" s="2"/>
    </row>
    <row r="13" spans="1:22" s="4" customFormat="1" x14ac:dyDescent="0.35">
      <c r="A13" s="5"/>
      <c r="B13" s="5"/>
      <c r="C13" s="1"/>
      <c r="D13" s="1" t="s">
        <v>49</v>
      </c>
      <c r="E13" s="1"/>
      <c r="F13" s="1"/>
      <c r="G13" s="1"/>
      <c r="H13" s="1"/>
      <c r="I13" s="50" t="s">
        <v>137</v>
      </c>
      <c r="J13" s="4">
        <f>J14*J15/365</f>
        <v>1.5780821917808219</v>
      </c>
      <c r="K13" s="4">
        <f t="shared" ref="K13:U13" si="4">K14*K15/365</f>
        <v>3.8663013698630144</v>
      </c>
      <c r="L13" s="4">
        <f t="shared" si="4"/>
        <v>9.4684931506849317</v>
      </c>
      <c r="M13" s="4">
        <f t="shared" si="4"/>
        <v>18.936986301369863</v>
      </c>
      <c r="N13" s="4">
        <f t="shared" si="4"/>
        <v>37.873972602739727</v>
      </c>
      <c r="O13" s="4">
        <f t="shared" si="4"/>
        <v>75.747945205479454</v>
      </c>
      <c r="P13" s="4">
        <f t="shared" si="4"/>
        <v>98.472328767123287</v>
      </c>
      <c r="Q13" s="4">
        <f t="shared" si="4"/>
        <v>128.01402739726029</v>
      </c>
      <c r="R13" s="4">
        <f t="shared" si="4"/>
        <v>166.41823561643844</v>
      </c>
      <c r="S13" s="4">
        <f t="shared" si="4"/>
        <v>216.34370630136993</v>
      </c>
      <c r="T13" s="4">
        <f t="shared" si="4"/>
        <v>281.24681819178096</v>
      </c>
      <c r="U13" s="4">
        <f t="shared" si="4"/>
        <v>365.6208636493152</v>
      </c>
      <c r="V13" s="5"/>
    </row>
    <row r="14" spans="1:22" x14ac:dyDescent="0.35">
      <c r="C14" s="2"/>
      <c r="D14" s="2"/>
      <c r="E14" s="50" t="s">
        <v>131</v>
      </c>
      <c r="F14" s="2"/>
      <c r="G14" s="2"/>
      <c r="H14" s="2"/>
      <c r="I14" s="50" t="s">
        <v>137</v>
      </c>
      <c r="J14" s="5">
        <f>'Sales &amp; Margin'!J$9</f>
        <v>9.6</v>
      </c>
      <c r="K14" s="5">
        <f>'Sales &amp; Margin'!K$9</f>
        <v>23.520000000000003</v>
      </c>
      <c r="L14" s="5">
        <f>'Sales &amp; Margin'!L$9</f>
        <v>57.6</v>
      </c>
      <c r="M14" s="5">
        <f>'Sales &amp; Margin'!M$9</f>
        <v>115.2</v>
      </c>
      <c r="N14" s="5">
        <f>'Sales &amp; Margin'!N$9</f>
        <v>230.4</v>
      </c>
      <c r="O14" s="5">
        <f>'Sales &amp; Margin'!O$9</f>
        <v>460.8</v>
      </c>
      <c r="P14" s="5">
        <f>'Sales &amp; Margin'!P$9</f>
        <v>599.04000000000008</v>
      </c>
      <c r="Q14" s="5">
        <f>'Sales &amp; Margin'!Q$9</f>
        <v>778.75200000000007</v>
      </c>
      <c r="R14" s="5">
        <f>'Sales &amp; Margin'!R$9</f>
        <v>1012.3776000000004</v>
      </c>
      <c r="S14" s="5">
        <f>'Sales &amp; Margin'!S$9</f>
        <v>1316.0908800000004</v>
      </c>
      <c r="T14" s="5">
        <f>'Sales &amp; Margin'!T$9</f>
        <v>1710.9181440000009</v>
      </c>
      <c r="U14" s="5">
        <f>'Sales &amp; Margin'!U$9</f>
        <v>2224.1935872000008</v>
      </c>
    </row>
    <row r="15" spans="1:22" x14ac:dyDescent="0.35">
      <c r="C15" s="2"/>
      <c r="D15" s="2"/>
      <c r="E15" s="2" t="s">
        <v>51</v>
      </c>
      <c r="F15" s="2"/>
      <c r="G15" s="2"/>
      <c r="H15" s="2"/>
      <c r="I15" s="2" t="s">
        <v>46</v>
      </c>
      <c r="J15" s="7">
        <v>60</v>
      </c>
      <c r="K15" s="5">
        <f>J15</f>
        <v>60</v>
      </c>
      <c r="L15" s="5">
        <f t="shared" ref="L15:U15" si="5">K15</f>
        <v>60</v>
      </c>
      <c r="M15" s="5">
        <f t="shared" si="5"/>
        <v>60</v>
      </c>
      <c r="N15" s="5">
        <f t="shared" si="5"/>
        <v>60</v>
      </c>
      <c r="O15" s="5">
        <f t="shared" si="5"/>
        <v>60</v>
      </c>
      <c r="P15" s="5">
        <f t="shared" si="5"/>
        <v>60</v>
      </c>
      <c r="Q15" s="5">
        <f t="shared" si="5"/>
        <v>60</v>
      </c>
      <c r="R15" s="5">
        <f t="shared" si="5"/>
        <v>60</v>
      </c>
      <c r="S15" s="5">
        <f t="shared" si="5"/>
        <v>60</v>
      </c>
      <c r="T15" s="5">
        <f t="shared" si="5"/>
        <v>60</v>
      </c>
      <c r="U15" s="5">
        <f t="shared" si="5"/>
        <v>60</v>
      </c>
    </row>
    <row r="16" spans="1:22" x14ac:dyDescent="0.35">
      <c r="C16" s="2"/>
      <c r="D16" s="2"/>
      <c r="E16" s="2"/>
      <c r="F16" s="2"/>
      <c r="G16" s="2"/>
      <c r="H16" s="2"/>
      <c r="I16" s="2"/>
    </row>
    <row r="17" spans="3:21" x14ac:dyDescent="0.35">
      <c r="C17" s="2"/>
      <c r="D17" s="1" t="s">
        <v>42</v>
      </c>
      <c r="E17" s="2"/>
      <c r="F17" s="2"/>
      <c r="G17" s="2"/>
      <c r="H17" s="2"/>
      <c r="I17" s="50" t="s">
        <v>137</v>
      </c>
      <c r="J17" s="4">
        <f>J18+J19-J20</f>
        <v>-1.0520547945205481</v>
      </c>
      <c r="K17" s="4">
        <f t="shared" ref="K17:U17" si="6">K18+K19-K20</f>
        <v>-2.5775342465753432</v>
      </c>
      <c r="L17" s="4">
        <f t="shared" si="6"/>
        <v>-6.3123287671232884</v>
      </c>
      <c r="M17" s="4">
        <f t="shared" si="6"/>
        <v>-12.624657534246577</v>
      </c>
      <c r="N17" s="4">
        <f t="shared" si="6"/>
        <v>-25.249315068493154</v>
      </c>
      <c r="O17" s="4">
        <f t="shared" si="6"/>
        <v>-50.498630136986307</v>
      </c>
      <c r="P17" s="4">
        <f t="shared" si="6"/>
        <v>-65.648219178082186</v>
      </c>
      <c r="Q17" s="4">
        <f t="shared" si="6"/>
        <v>-85.342684931506867</v>
      </c>
      <c r="R17" s="4">
        <f t="shared" si="6"/>
        <v>-110.94549041095897</v>
      </c>
      <c r="S17" s="4">
        <f t="shared" si="6"/>
        <v>-144.2291375342466</v>
      </c>
      <c r="T17" s="4">
        <f t="shared" si="6"/>
        <v>-187.49787879452066</v>
      </c>
      <c r="U17" s="4">
        <f t="shared" si="6"/>
        <v>-243.74724243287679</v>
      </c>
    </row>
    <row r="18" spans="3:21" x14ac:dyDescent="0.35">
      <c r="E18" s="22" t="s">
        <v>43</v>
      </c>
      <c r="I18" s="50" t="s">
        <v>137</v>
      </c>
      <c r="J18" s="5">
        <f>J5</f>
        <v>0</v>
      </c>
      <c r="K18" s="5">
        <f t="shared" ref="K18:U18" si="7">K5</f>
        <v>0</v>
      </c>
      <c r="L18" s="5">
        <f t="shared" si="7"/>
        <v>0</v>
      </c>
      <c r="M18" s="5">
        <f t="shared" si="7"/>
        <v>0</v>
      </c>
      <c r="N18" s="5">
        <f t="shared" si="7"/>
        <v>0</v>
      </c>
      <c r="O18" s="5">
        <f t="shared" si="7"/>
        <v>0</v>
      </c>
      <c r="P18" s="5">
        <f t="shared" si="7"/>
        <v>0</v>
      </c>
      <c r="Q18" s="5">
        <f t="shared" si="7"/>
        <v>0</v>
      </c>
      <c r="R18" s="5">
        <f t="shared" si="7"/>
        <v>0</v>
      </c>
      <c r="S18" s="5">
        <f t="shared" si="7"/>
        <v>0</v>
      </c>
      <c r="T18" s="5">
        <f t="shared" si="7"/>
        <v>0</v>
      </c>
      <c r="U18" s="5">
        <f t="shared" si="7"/>
        <v>0</v>
      </c>
    </row>
    <row r="19" spans="3:21" x14ac:dyDescent="0.35">
      <c r="E19" s="22" t="s">
        <v>47</v>
      </c>
      <c r="I19" s="50" t="s">
        <v>137</v>
      </c>
      <c r="J19" s="5">
        <f>J9</f>
        <v>0.52602739726027392</v>
      </c>
      <c r="K19" s="5">
        <f t="shared" ref="K19:U19" si="8">K9</f>
        <v>1.2887671232876714</v>
      </c>
      <c r="L19" s="5">
        <f t="shared" si="8"/>
        <v>3.1561643835616437</v>
      </c>
      <c r="M19" s="5">
        <f t="shared" si="8"/>
        <v>6.3123287671232875</v>
      </c>
      <c r="N19" s="5">
        <f t="shared" si="8"/>
        <v>12.624657534246575</v>
      </c>
      <c r="O19" s="5">
        <f t="shared" si="8"/>
        <v>25.24931506849315</v>
      </c>
      <c r="P19" s="5">
        <f t="shared" si="8"/>
        <v>32.8241095890411</v>
      </c>
      <c r="Q19" s="5">
        <f t="shared" si="8"/>
        <v>42.671342465753426</v>
      </c>
      <c r="R19" s="5">
        <f t="shared" si="8"/>
        <v>55.47274520547947</v>
      </c>
      <c r="S19" s="5">
        <f t="shared" si="8"/>
        <v>72.114568767123316</v>
      </c>
      <c r="T19" s="5">
        <f t="shared" si="8"/>
        <v>93.748939397260315</v>
      </c>
      <c r="U19" s="5">
        <f t="shared" si="8"/>
        <v>121.87362121643841</v>
      </c>
    </row>
    <row r="20" spans="3:21" x14ac:dyDescent="0.35">
      <c r="D20" s="1"/>
      <c r="E20" s="22" t="s">
        <v>49</v>
      </c>
      <c r="I20" s="50" t="s">
        <v>137</v>
      </c>
      <c r="J20" s="5">
        <f>J13</f>
        <v>1.5780821917808219</v>
      </c>
      <c r="K20" s="5">
        <f t="shared" ref="K20:U20" si="9">K13</f>
        <v>3.8663013698630144</v>
      </c>
      <c r="L20" s="5">
        <f t="shared" si="9"/>
        <v>9.4684931506849317</v>
      </c>
      <c r="M20" s="5">
        <f t="shared" si="9"/>
        <v>18.936986301369863</v>
      </c>
      <c r="N20" s="5">
        <f t="shared" si="9"/>
        <v>37.873972602739727</v>
      </c>
      <c r="O20" s="5">
        <f t="shared" si="9"/>
        <v>75.747945205479454</v>
      </c>
      <c r="P20" s="5">
        <f t="shared" si="9"/>
        <v>98.472328767123287</v>
      </c>
      <c r="Q20" s="5">
        <f t="shared" si="9"/>
        <v>128.01402739726029</v>
      </c>
      <c r="R20" s="5">
        <f t="shared" si="9"/>
        <v>166.41823561643844</v>
      </c>
      <c r="S20" s="5">
        <f t="shared" si="9"/>
        <v>216.34370630136993</v>
      </c>
      <c r="T20" s="5">
        <f t="shared" si="9"/>
        <v>281.24681819178096</v>
      </c>
      <c r="U20" s="5">
        <f t="shared" si="9"/>
        <v>365.6208636493152</v>
      </c>
    </row>
    <row r="21" spans="3:21" x14ac:dyDescent="0.35">
      <c r="E21" s="2"/>
      <c r="F21" s="2"/>
    </row>
    <row r="22" spans="3:21" x14ac:dyDescent="0.35">
      <c r="E22" s="2"/>
      <c r="F22" s="2"/>
    </row>
    <row r="24" spans="3:21" x14ac:dyDescent="0.35">
      <c r="D24" s="1"/>
      <c r="E24" s="2"/>
      <c r="F24" s="2"/>
    </row>
    <row r="25" spans="3:21" x14ac:dyDescent="0.35">
      <c r="D25" s="1"/>
      <c r="E25" s="22"/>
      <c r="F25" s="2"/>
    </row>
    <row r="26" spans="3:21" x14ac:dyDescent="0.35">
      <c r="D26" s="1"/>
      <c r="E26" s="22"/>
      <c r="F26" s="2"/>
    </row>
    <row r="28" spans="3:21" x14ac:dyDescent="0.35">
      <c r="D28" s="1"/>
      <c r="E28" s="22"/>
      <c r="F28" s="2"/>
    </row>
    <row r="29" spans="3:21" x14ac:dyDescent="0.35">
      <c r="D29" s="1"/>
      <c r="E29" s="2"/>
      <c r="F29" s="2"/>
    </row>
    <row r="30" spans="3:21" x14ac:dyDescent="0.35">
      <c r="D30" s="1"/>
      <c r="E30" s="2"/>
      <c r="F30" s="2"/>
    </row>
    <row r="32" spans="3:21" x14ac:dyDescent="0.35">
      <c r="D32" s="1"/>
      <c r="E32" s="2"/>
      <c r="F32" s="2"/>
      <c r="G32" s="2"/>
      <c r="H32" s="2"/>
    </row>
    <row r="33" spans="4:8" x14ac:dyDescent="0.35">
      <c r="D33" s="1"/>
      <c r="E33" s="22"/>
      <c r="F33" s="2"/>
      <c r="G33" s="2"/>
      <c r="H33" s="2"/>
    </row>
    <row r="34" spans="4:8" x14ac:dyDescent="0.35">
      <c r="D34" s="1"/>
      <c r="E34" s="22"/>
      <c r="F34" s="2"/>
      <c r="G34" s="2"/>
      <c r="H34" s="2"/>
    </row>
    <row r="35" spans="4:8" x14ac:dyDescent="0.35">
      <c r="D35" s="1"/>
      <c r="E35" s="22"/>
      <c r="F35" s="2"/>
      <c r="G35" s="2"/>
      <c r="H35" s="2"/>
    </row>
  </sheetData>
  <hyperlinks>
    <hyperlink ref="V1" location="Master!A1" display="back" xr:uid="{00000000-0004-0000-0600-000000000000}"/>
    <hyperlink ref="J1" location="Master!A1" display="back" xr:uid="{00000000-0004-0000-0600-000001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V38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V9" sqref="V9"/>
    </sheetView>
  </sheetViews>
  <sheetFormatPr defaultColWidth="8.7265625" defaultRowHeight="14.5" x14ac:dyDescent="0.35"/>
  <cols>
    <col min="1" max="1" width="8.7265625" style="5"/>
    <col min="2" max="2" width="4.81640625" style="5" customWidth="1"/>
    <col min="3" max="3" width="3.08984375" style="23" customWidth="1"/>
    <col min="4" max="4" width="3.453125" style="4" customWidth="1"/>
    <col min="5" max="5" width="5.1796875" style="5" customWidth="1"/>
    <col min="6" max="6" width="4.08984375" style="4" customWidth="1"/>
    <col min="7" max="7" width="5.08984375" style="5" customWidth="1"/>
    <col min="8" max="8" width="23.81640625" style="5" customWidth="1"/>
    <col min="9" max="9" width="20.1796875" style="5" customWidth="1"/>
    <col min="10" max="16" width="9.54296875" style="5" customWidth="1"/>
    <col min="17" max="17" width="9.54296875" style="26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59</v>
      </c>
      <c r="J1" s="24" t="s">
        <v>37</v>
      </c>
      <c r="Q1" s="25"/>
      <c r="V1" s="24" t="s">
        <v>37</v>
      </c>
    </row>
    <row r="4" spans="1:22" x14ac:dyDescent="0.35">
      <c r="J4" s="21">
        <v>1</v>
      </c>
      <c r="K4" s="21">
        <v>2</v>
      </c>
      <c r="L4" s="21">
        <v>3</v>
      </c>
      <c r="M4" s="21">
        <v>4</v>
      </c>
      <c r="N4" s="21">
        <v>5</v>
      </c>
      <c r="O4" s="21">
        <v>6</v>
      </c>
      <c r="P4" s="21">
        <v>7</v>
      </c>
      <c r="Q4" s="21">
        <v>8</v>
      </c>
      <c r="R4" s="21">
        <v>9</v>
      </c>
      <c r="S4" s="21">
        <v>10</v>
      </c>
      <c r="T4" s="21">
        <v>11</v>
      </c>
      <c r="U4" s="21">
        <v>12</v>
      </c>
      <c r="V4" s="4" t="s">
        <v>105</v>
      </c>
    </row>
    <row r="5" spans="1:22" x14ac:dyDescent="0.35"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x14ac:dyDescent="0.35">
      <c r="C6" s="23" t="s">
        <v>150</v>
      </c>
      <c r="D6" s="30"/>
      <c r="E6" s="30"/>
      <c r="F6" s="30"/>
      <c r="G6" s="30"/>
      <c r="I6" s="50" t="s">
        <v>137</v>
      </c>
      <c r="J6" s="5">
        <f>VLOOKUP(J7,Rules!$H$21:$J$28,3,1)</f>
        <v>5</v>
      </c>
      <c r="K6" s="5">
        <f>VLOOKUP(K7,Rules!$H$21:$J$28,3,1)</f>
        <v>7</v>
      </c>
      <c r="L6" s="5">
        <f>VLOOKUP(L7,Rules!$H$21:$J$28,3,1)</f>
        <v>10</v>
      </c>
      <c r="M6" s="5">
        <f>VLOOKUP(M7,Rules!$H$21:$J$28,3,1)</f>
        <v>12</v>
      </c>
      <c r="N6" s="5">
        <f>VLOOKUP(N7,Rules!$H$21:$J$28,3,1)</f>
        <v>12</v>
      </c>
      <c r="O6" s="5">
        <f>VLOOKUP(O7,Rules!$H$21:$J$28,3,1)</f>
        <v>15</v>
      </c>
      <c r="P6" s="5">
        <f>VLOOKUP(P7,Rules!$H$21:$J$28,3,1)</f>
        <v>20</v>
      </c>
      <c r="Q6" s="5">
        <f>VLOOKUP(Q7,Rules!$H$21:$J$28,3,1)</f>
        <v>21</v>
      </c>
      <c r="R6" s="5">
        <f>VLOOKUP(R7,Rules!$H$21:$J$28,3,1)</f>
        <v>21</v>
      </c>
      <c r="S6" s="5">
        <f>VLOOKUP(S7,Rules!$H$21:$J$28,3,1)</f>
        <v>21</v>
      </c>
      <c r="T6" s="5">
        <f>VLOOKUP(T7,Rules!$H$21:$J$28,3,1)</f>
        <v>21</v>
      </c>
      <c r="U6" s="5">
        <f>VLOOKUP(U7,Rules!$H$21:$J$28,3,1)</f>
        <v>21</v>
      </c>
    </row>
    <row r="7" spans="1:22" x14ac:dyDescent="0.35">
      <c r="D7" s="50" t="s">
        <v>131</v>
      </c>
      <c r="E7" s="30"/>
      <c r="F7" s="30"/>
      <c r="G7" s="30"/>
      <c r="I7" s="50" t="s">
        <v>137</v>
      </c>
      <c r="J7" s="59">
        <f>'Sales &amp; Margin'!J$9</f>
        <v>9.6</v>
      </c>
      <c r="K7" s="59">
        <f>'Sales &amp; Margin'!K$9</f>
        <v>23.520000000000003</v>
      </c>
      <c r="L7" s="59">
        <f>'Sales &amp; Margin'!L$9</f>
        <v>57.6</v>
      </c>
      <c r="M7" s="59">
        <f>'Sales &amp; Margin'!M$9</f>
        <v>115.2</v>
      </c>
      <c r="N7" s="59">
        <f>'Sales &amp; Margin'!N$9</f>
        <v>230.4</v>
      </c>
      <c r="O7" s="59">
        <f>'Sales &amp; Margin'!O$9</f>
        <v>460.8</v>
      </c>
      <c r="P7" s="59">
        <f>'Sales &amp; Margin'!P$9</f>
        <v>599.04000000000008</v>
      </c>
      <c r="Q7" s="59">
        <f>'Sales &amp; Margin'!Q$9</f>
        <v>778.75200000000007</v>
      </c>
      <c r="R7" s="59">
        <f>'Sales &amp; Margin'!R$9</f>
        <v>1012.3776000000004</v>
      </c>
      <c r="S7" s="59">
        <f>'Sales &amp; Margin'!S$9</f>
        <v>1316.0908800000004</v>
      </c>
      <c r="T7" s="59">
        <f>'Sales &amp; Margin'!T$9</f>
        <v>1710.9181440000009</v>
      </c>
      <c r="U7" s="59">
        <f>'Sales &amp; Margin'!U$9</f>
        <v>2224.1935872000008</v>
      </c>
    </row>
    <row r="8" spans="1:22" x14ac:dyDescent="0.35"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2" s="4" customFormat="1" x14ac:dyDescent="0.35">
      <c r="A9" s="5"/>
      <c r="B9" s="5"/>
      <c r="C9" s="31" t="s">
        <v>59</v>
      </c>
      <c r="D9" s="30"/>
      <c r="E9" s="30"/>
      <c r="F9" s="30"/>
      <c r="H9" s="30"/>
      <c r="I9" s="50" t="s">
        <v>137</v>
      </c>
      <c r="J9" s="4">
        <f>SUM(J10:J12)</f>
        <v>10</v>
      </c>
      <c r="K9" s="4">
        <f t="shared" ref="K9:U9" si="0">SUM(K10:K12)</f>
        <v>12</v>
      </c>
      <c r="L9" s="4">
        <f t="shared" si="0"/>
        <v>15</v>
      </c>
      <c r="M9" s="4">
        <f t="shared" si="0"/>
        <v>17</v>
      </c>
      <c r="N9" s="4">
        <f t="shared" si="0"/>
        <v>17</v>
      </c>
      <c r="O9" s="4">
        <f t="shared" si="0"/>
        <v>20</v>
      </c>
      <c r="P9" s="4">
        <f t="shared" si="0"/>
        <v>25</v>
      </c>
      <c r="Q9" s="4">
        <f t="shared" si="0"/>
        <v>26</v>
      </c>
      <c r="R9" s="4">
        <f t="shared" si="0"/>
        <v>26</v>
      </c>
      <c r="S9" s="4">
        <f t="shared" si="0"/>
        <v>26</v>
      </c>
      <c r="T9" s="4">
        <f t="shared" si="0"/>
        <v>26</v>
      </c>
      <c r="U9" s="4">
        <f t="shared" si="0"/>
        <v>26</v>
      </c>
      <c r="V9" s="4">
        <f>SUM(J9:U9)</f>
        <v>246</v>
      </c>
    </row>
    <row r="10" spans="1:22" s="4" customFormat="1" x14ac:dyDescent="0.35">
      <c r="A10" s="5"/>
      <c r="B10" s="5"/>
      <c r="C10" s="30"/>
      <c r="D10" s="30" t="s">
        <v>151</v>
      </c>
      <c r="E10" s="30"/>
      <c r="F10" s="30"/>
      <c r="H10" s="30"/>
      <c r="I10" s="50" t="s">
        <v>137</v>
      </c>
      <c r="J10" s="5">
        <f>J6</f>
        <v>5</v>
      </c>
      <c r="K10" s="5">
        <f>K6</f>
        <v>7</v>
      </c>
      <c r="L10" s="5">
        <f>L6</f>
        <v>10</v>
      </c>
      <c r="M10" s="5">
        <f t="shared" ref="M10:U10" si="1">M6</f>
        <v>12</v>
      </c>
      <c r="N10" s="5">
        <f t="shared" si="1"/>
        <v>12</v>
      </c>
      <c r="O10" s="5">
        <f t="shared" si="1"/>
        <v>15</v>
      </c>
      <c r="P10" s="5">
        <f t="shared" si="1"/>
        <v>20</v>
      </c>
      <c r="Q10" s="5">
        <f t="shared" si="1"/>
        <v>21</v>
      </c>
      <c r="R10" s="5">
        <f t="shared" si="1"/>
        <v>21</v>
      </c>
      <c r="S10" s="5">
        <f t="shared" si="1"/>
        <v>21</v>
      </c>
      <c r="T10" s="5">
        <f t="shared" si="1"/>
        <v>21</v>
      </c>
      <c r="U10" s="5">
        <f t="shared" si="1"/>
        <v>21</v>
      </c>
      <c r="V10" s="5">
        <f>SUM(J10:U10)</f>
        <v>186</v>
      </c>
    </row>
    <row r="11" spans="1:22" s="4" customFormat="1" x14ac:dyDescent="0.35">
      <c r="A11" s="5"/>
      <c r="B11" s="5"/>
      <c r="C11" s="30"/>
      <c r="D11" s="30" t="s">
        <v>90</v>
      </c>
      <c r="E11" s="30"/>
      <c r="F11" s="30"/>
      <c r="H11" s="30"/>
      <c r="I11" s="50" t="s">
        <v>137</v>
      </c>
      <c r="J11" s="7">
        <v>0</v>
      </c>
      <c r="K11" s="5">
        <f t="shared" ref="K11:U12" si="2">J11</f>
        <v>0</v>
      </c>
      <c r="L11" s="5">
        <f t="shared" si="2"/>
        <v>0</v>
      </c>
      <c r="M11" s="5">
        <f t="shared" si="2"/>
        <v>0</v>
      </c>
      <c r="N11" s="5">
        <f t="shared" si="2"/>
        <v>0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5">
        <f t="shared" si="2"/>
        <v>0</v>
      </c>
      <c r="S11" s="5">
        <f t="shared" si="2"/>
        <v>0</v>
      </c>
      <c r="T11" s="5">
        <f t="shared" si="2"/>
        <v>0</v>
      </c>
      <c r="U11" s="5">
        <f t="shared" si="2"/>
        <v>0</v>
      </c>
      <c r="V11" s="5">
        <f>SUM(J11:U11)</f>
        <v>0</v>
      </c>
    </row>
    <row r="12" spans="1:22" x14ac:dyDescent="0.35">
      <c r="C12" s="30"/>
      <c r="D12" s="34" t="s">
        <v>62</v>
      </c>
      <c r="E12" s="30"/>
      <c r="F12" s="30"/>
      <c r="H12" s="30"/>
      <c r="I12" s="50" t="s">
        <v>137</v>
      </c>
      <c r="J12" s="7">
        <v>5</v>
      </c>
      <c r="K12" s="5">
        <f>J12</f>
        <v>5</v>
      </c>
      <c r="L12" s="5">
        <f t="shared" si="2"/>
        <v>5</v>
      </c>
      <c r="M12" s="5">
        <f t="shared" si="2"/>
        <v>5</v>
      </c>
      <c r="N12" s="5">
        <f t="shared" si="2"/>
        <v>5</v>
      </c>
      <c r="O12" s="5">
        <f t="shared" si="2"/>
        <v>5</v>
      </c>
      <c r="P12" s="5">
        <f t="shared" si="2"/>
        <v>5</v>
      </c>
      <c r="Q12" s="5">
        <f t="shared" si="2"/>
        <v>5</v>
      </c>
      <c r="R12" s="5">
        <f t="shared" si="2"/>
        <v>5</v>
      </c>
      <c r="S12" s="5">
        <f t="shared" si="2"/>
        <v>5</v>
      </c>
      <c r="T12" s="5">
        <f t="shared" si="2"/>
        <v>5</v>
      </c>
      <c r="U12" s="5">
        <f t="shared" si="2"/>
        <v>5</v>
      </c>
      <c r="V12" s="5">
        <f>SUM(J12:U12)</f>
        <v>60</v>
      </c>
    </row>
    <row r="13" spans="1:22" x14ac:dyDescent="0.35">
      <c r="C13" s="30"/>
      <c r="D13" s="30"/>
      <c r="E13" s="30"/>
      <c r="F13" s="30"/>
      <c r="H13" s="30"/>
      <c r="I13" s="34"/>
      <c r="Q13" s="5"/>
    </row>
    <row r="14" spans="1:22" s="4" customFormat="1" x14ac:dyDescent="0.35">
      <c r="A14" s="5"/>
      <c r="B14" s="5"/>
      <c r="C14" s="31" t="s">
        <v>123</v>
      </c>
      <c r="D14" s="30"/>
      <c r="E14" s="30"/>
      <c r="F14" s="30"/>
      <c r="H14" s="30"/>
      <c r="I14" s="50" t="s">
        <v>137</v>
      </c>
      <c r="J14" s="4">
        <f>J15+J16</f>
        <v>12</v>
      </c>
      <c r="K14" s="4">
        <f>K15+K16</f>
        <v>24</v>
      </c>
      <c r="L14" s="4">
        <f t="shared" ref="L14:U14" si="3">L15+L16</f>
        <v>39</v>
      </c>
      <c r="M14" s="4">
        <f t="shared" si="3"/>
        <v>56</v>
      </c>
      <c r="N14" s="4">
        <f t="shared" si="3"/>
        <v>73</v>
      </c>
      <c r="O14" s="4">
        <f t="shared" si="3"/>
        <v>93</v>
      </c>
      <c r="P14" s="4">
        <f t="shared" si="3"/>
        <v>118</v>
      </c>
      <c r="Q14" s="4">
        <f t="shared" si="3"/>
        <v>144</v>
      </c>
      <c r="R14" s="4">
        <f t="shared" si="3"/>
        <v>170</v>
      </c>
      <c r="S14" s="4">
        <f t="shared" si="3"/>
        <v>196</v>
      </c>
      <c r="T14" s="4">
        <f t="shared" si="3"/>
        <v>222</v>
      </c>
      <c r="U14" s="4">
        <f t="shared" si="3"/>
        <v>248</v>
      </c>
      <c r="V14" s="5"/>
    </row>
    <row r="15" spans="1:22" s="4" customFormat="1" x14ac:dyDescent="0.35">
      <c r="A15" s="5"/>
      <c r="B15" s="5"/>
      <c r="C15" s="31"/>
      <c r="D15" s="47" t="s">
        <v>124</v>
      </c>
      <c r="E15" s="30"/>
      <c r="F15" s="30"/>
      <c r="H15" s="30"/>
      <c r="I15" s="50" t="s">
        <v>137</v>
      </c>
      <c r="J15" s="7">
        <v>2</v>
      </c>
      <c r="K15" s="5">
        <f>J14</f>
        <v>12</v>
      </c>
      <c r="L15" s="5">
        <f t="shared" ref="L15:U15" si="4">K14</f>
        <v>24</v>
      </c>
      <c r="M15" s="5">
        <f t="shared" si="4"/>
        <v>39</v>
      </c>
      <c r="N15" s="5">
        <f t="shared" si="4"/>
        <v>56</v>
      </c>
      <c r="O15" s="5">
        <f t="shared" si="4"/>
        <v>73</v>
      </c>
      <c r="P15" s="5">
        <f t="shared" si="4"/>
        <v>93</v>
      </c>
      <c r="Q15" s="5">
        <f t="shared" si="4"/>
        <v>118</v>
      </c>
      <c r="R15" s="5">
        <f t="shared" si="4"/>
        <v>144</v>
      </c>
      <c r="S15" s="5">
        <f t="shared" si="4"/>
        <v>170</v>
      </c>
      <c r="T15" s="5">
        <f t="shared" si="4"/>
        <v>196</v>
      </c>
      <c r="U15" s="5">
        <f t="shared" si="4"/>
        <v>222</v>
      </c>
      <c r="V15" s="5"/>
    </row>
    <row r="16" spans="1:22" x14ac:dyDescent="0.35">
      <c r="C16" s="31"/>
      <c r="D16" s="37" t="s">
        <v>59</v>
      </c>
      <c r="E16" s="30"/>
      <c r="F16" s="5"/>
      <c r="I16" s="50" t="s">
        <v>137</v>
      </c>
      <c r="J16" s="5">
        <f>J$9</f>
        <v>10</v>
      </c>
      <c r="K16" s="5">
        <f t="shared" ref="K16:U16" si="5">K$9</f>
        <v>12</v>
      </c>
      <c r="L16" s="5">
        <f t="shared" si="5"/>
        <v>15</v>
      </c>
      <c r="M16" s="5">
        <f t="shared" si="5"/>
        <v>17</v>
      </c>
      <c r="N16" s="5">
        <f t="shared" si="5"/>
        <v>17</v>
      </c>
      <c r="O16" s="5">
        <f t="shared" si="5"/>
        <v>20</v>
      </c>
      <c r="P16" s="5">
        <f t="shared" si="5"/>
        <v>25</v>
      </c>
      <c r="Q16" s="5">
        <f t="shared" si="5"/>
        <v>26</v>
      </c>
      <c r="R16" s="5">
        <f t="shared" si="5"/>
        <v>26</v>
      </c>
      <c r="S16" s="5">
        <f t="shared" si="5"/>
        <v>26</v>
      </c>
      <c r="T16" s="5">
        <f t="shared" si="5"/>
        <v>26</v>
      </c>
      <c r="U16" s="5">
        <f t="shared" si="5"/>
        <v>26</v>
      </c>
    </row>
    <row r="17" spans="3:22" x14ac:dyDescent="0.35">
      <c r="C17" s="5"/>
      <c r="D17" s="30"/>
      <c r="E17" s="30"/>
      <c r="F17" s="30"/>
      <c r="G17" s="30"/>
      <c r="H17" s="30"/>
      <c r="I17" s="22"/>
      <c r="Q17" s="5"/>
    </row>
    <row r="18" spans="3:22" x14ac:dyDescent="0.35">
      <c r="C18" s="23" t="s">
        <v>102</v>
      </c>
      <c r="D18" s="30"/>
      <c r="E18" s="30"/>
      <c r="F18" s="30"/>
      <c r="G18" s="30"/>
      <c r="H18" s="30"/>
      <c r="I18" s="50" t="s">
        <v>137</v>
      </c>
      <c r="J18" s="4">
        <f>J19*J20</f>
        <v>0.2</v>
      </c>
      <c r="K18" s="4">
        <f t="shared" ref="K18:U18" si="6">K19*K20</f>
        <v>0.4</v>
      </c>
      <c r="L18" s="4">
        <f t="shared" si="6"/>
        <v>0.65</v>
      </c>
      <c r="M18" s="4">
        <f t="shared" si="6"/>
        <v>0.93333333333333335</v>
      </c>
      <c r="N18" s="4">
        <f t="shared" si="6"/>
        <v>1.2166666666666666</v>
      </c>
      <c r="O18" s="4">
        <f t="shared" si="6"/>
        <v>1.55</v>
      </c>
      <c r="P18" s="4">
        <f t="shared" si="6"/>
        <v>1.9666666666666666</v>
      </c>
      <c r="Q18" s="4">
        <f t="shared" si="6"/>
        <v>2.4</v>
      </c>
      <c r="R18" s="4">
        <f t="shared" si="6"/>
        <v>2.8333333333333335</v>
      </c>
      <c r="S18" s="4">
        <f t="shared" si="6"/>
        <v>3.2666666666666666</v>
      </c>
      <c r="T18" s="4">
        <f t="shared" si="6"/>
        <v>3.6999999999999997</v>
      </c>
      <c r="U18" s="4">
        <f t="shared" si="6"/>
        <v>4.1333333333333329</v>
      </c>
      <c r="V18" s="5">
        <f>SUM(J18:U18)</f>
        <v>23.25</v>
      </c>
    </row>
    <row r="19" spans="3:22" x14ac:dyDescent="0.35">
      <c r="D19" s="47" t="s">
        <v>123</v>
      </c>
      <c r="E19" s="30"/>
      <c r="F19" s="30"/>
      <c r="G19" s="30"/>
      <c r="H19" s="30"/>
      <c r="I19" s="50" t="s">
        <v>137</v>
      </c>
      <c r="J19" s="5">
        <f t="shared" ref="J19:U19" si="7">J14</f>
        <v>12</v>
      </c>
      <c r="K19" s="5">
        <f t="shared" si="7"/>
        <v>24</v>
      </c>
      <c r="L19" s="5">
        <f t="shared" si="7"/>
        <v>39</v>
      </c>
      <c r="M19" s="5">
        <f t="shared" si="7"/>
        <v>56</v>
      </c>
      <c r="N19" s="5">
        <f t="shared" si="7"/>
        <v>73</v>
      </c>
      <c r="O19" s="5">
        <f t="shared" si="7"/>
        <v>93</v>
      </c>
      <c r="P19" s="5">
        <f t="shared" si="7"/>
        <v>118</v>
      </c>
      <c r="Q19" s="5">
        <f t="shared" si="7"/>
        <v>144</v>
      </c>
      <c r="R19" s="5">
        <f t="shared" si="7"/>
        <v>170</v>
      </c>
      <c r="S19" s="5">
        <f t="shared" si="7"/>
        <v>196</v>
      </c>
      <c r="T19" s="5">
        <f t="shared" si="7"/>
        <v>222</v>
      </c>
      <c r="U19" s="5">
        <f t="shared" si="7"/>
        <v>248</v>
      </c>
    </row>
    <row r="20" spans="3:22" x14ac:dyDescent="0.35">
      <c r="D20" s="30" t="s">
        <v>103</v>
      </c>
      <c r="E20" s="30"/>
      <c r="F20" s="30"/>
      <c r="G20" s="30"/>
      <c r="H20" s="30"/>
      <c r="I20" s="37" t="s">
        <v>1</v>
      </c>
      <c r="J20" s="28">
        <f>20%/12</f>
        <v>1.6666666666666666E-2</v>
      </c>
      <c r="K20" s="10">
        <f>J20</f>
        <v>1.6666666666666666E-2</v>
      </c>
      <c r="L20" s="10">
        <f t="shared" ref="L20:U20" si="8">K20</f>
        <v>1.6666666666666666E-2</v>
      </c>
      <c r="M20" s="10">
        <f t="shared" si="8"/>
        <v>1.6666666666666666E-2</v>
      </c>
      <c r="N20" s="10">
        <f t="shared" si="8"/>
        <v>1.6666666666666666E-2</v>
      </c>
      <c r="O20" s="10">
        <f t="shared" si="8"/>
        <v>1.6666666666666666E-2</v>
      </c>
      <c r="P20" s="10">
        <f t="shared" si="8"/>
        <v>1.6666666666666666E-2</v>
      </c>
      <c r="Q20" s="10">
        <f t="shared" si="8"/>
        <v>1.6666666666666666E-2</v>
      </c>
      <c r="R20" s="10">
        <f t="shared" si="8"/>
        <v>1.6666666666666666E-2</v>
      </c>
      <c r="S20" s="10">
        <f t="shared" si="8"/>
        <v>1.6666666666666666E-2</v>
      </c>
      <c r="T20" s="10">
        <f t="shared" si="8"/>
        <v>1.6666666666666666E-2</v>
      </c>
      <c r="U20" s="10">
        <f t="shared" si="8"/>
        <v>1.6666666666666666E-2</v>
      </c>
    </row>
    <row r="21" spans="3:22" x14ac:dyDescent="0.35">
      <c r="D21" s="30"/>
      <c r="E21" s="30"/>
      <c r="F21" s="30"/>
      <c r="G21" s="30"/>
      <c r="H21" s="30"/>
      <c r="I21" s="22"/>
      <c r="Q21" s="5"/>
    </row>
    <row r="22" spans="3:22" x14ac:dyDescent="0.35">
      <c r="C22" s="23" t="s">
        <v>125</v>
      </c>
      <c r="I22" s="50" t="s">
        <v>137</v>
      </c>
      <c r="J22" s="4">
        <f>J23+J24-J25</f>
        <v>11.8</v>
      </c>
      <c r="K22" s="4">
        <f t="shared" ref="K22:U22" si="9">K23+K24-K25</f>
        <v>23.400000000000002</v>
      </c>
      <c r="L22" s="4">
        <f t="shared" si="9"/>
        <v>37.750000000000007</v>
      </c>
      <c r="M22" s="4">
        <f t="shared" si="9"/>
        <v>53.816666666666677</v>
      </c>
      <c r="N22" s="4">
        <f t="shared" si="9"/>
        <v>69.600000000000009</v>
      </c>
      <c r="O22" s="4">
        <f t="shared" si="9"/>
        <v>88.050000000000011</v>
      </c>
      <c r="P22" s="4">
        <f t="shared" si="9"/>
        <v>111.08333333333334</v>
      </c>
      <c r="Q22" s="4">
        <f t="shared" si="9"/>
        <v>134.68333333333334</v>
      </c>
      <c r="R22" s="4">
        <f t="shared" si="9"/>
        <v>157.85</v>
      </c>
      <c r="S22" s="4">
        <f t="shared" si="9"/>
        <v>180.58333333333331</v>
      </c>
      <c r="T22" s="4">
        <f t="shared" si="9"/>
        <v>202.88333333333333</v>
      </c>
      <c r="U22" s="4">
        <f t="shared" si="9"/>
        <v>224.75</v>
      </c>
    </row>
    <row r="23" spans="3:22" x14ac:dyDescent="0.35">
      <c r="D23" s="36" t="s">
        <v>126</v>
      </c>
      <c r="E23" s="30"/>
      <c r="F23" s="30"/>
      <c r="G23" s="30"/>
      <c r="I23" s="50" t="s">
        <v>137</v>
      </c>
      <c r="J23" s="7">
        <v>2</v>
      </c>
      <c r="K23" s="5">
        <f>J22</f>
        <v>11.8</v>
      </c>
      <c r="L23" s="5">
        <f t="shared" ref="L23:U23" si="10">K22</f>
        <v>23.400000000000002</v>
      </c>
      <c r="M23" s="5">
        <f t="shared" si="10"/>
        <v>37.750000000000007</v>
      </c>
      <c r="N23" s="5">
        <f t="shared" si="10"/>
        <v>53.816666666666677</v>
      </c>
      <c r="O23" s="5">
        <f t="shared" si="10"/>
        <v>69.600000000000009</v>
      </c>
      <c r="P23" s="5">
        <f t="shared" si="10"/>
        <v>88.050000000000011</v>
      </c>
      <c r="Q23" s="5">
        <f t="shared" si="10"/>
        <v>111.08333333333334</v>
      </c>
      <c r="R23" s="5">
        <f t="shared" si="10"/>
        <v>134.68333333333334</v>
      </c>
      <c r="S23" s="5">
        <f t="shared" si="10"/>
        <v>157.85</v>
      </c>
      <c r="T23" s="5">
        <f t="shared" si="10"/>
        <v>180.58333333333331</v>
      </c>
      <c r="U23" s="5">
        <f t="shared" si="10"/>
        <v>202.88333333333333</v>
      </c>
    </row>
    <row r="24" spans="3:22" x14ac:dyDescent="0.35">
      <c r="C24" s="31"/>
      <c r="D24" s="37" t="s">
        <v>104</v>
      </c>
      <c r="E24" s="30"/>
      <c r="F24" s="5"/>
      <c r="I24" s="50" t="s">
        <v>137</v>
      </c>
      <c r="J24" s="5">
        <f>J$9</f>
        <v>10</v>
      </c>
      <c r="K24" s="5">
        <f t="shared" ref="K24:U24" si="11">K$9</f>
        <v>12</v>
      </c>
      <c r="L24" s="5">
        <f t="shared" si="11"/>
        <v>15</v>
      </c>
      <c r="M24" s="5">
        <f t="shared" si="11"/>
        <v>17</v>
      </c>
      <c r="N24" s="5">
        <f t="shared" si="11"/>
        <v>17</v>
      </c>
      <c r="O24" s="5">
        <f t="shared" si="11"/>
        <v>20</v>
      </c>
      <c r="P24" s="5">
        <f t="shared" si="11"/>
        <v>25</v>
      </c>
      <c r="Q24" s="5">
        <f t="shared" si="11"/>
        <v>26</v>
      </c>
      <c r="R24" s="5">
        <f t="shared" si="11"/>
        <v>26</v>
      </c>
      <c r="S24" s="5">
        <f t="shared" si="11"/>
        <v>26</v>
      </c>
      <c r="T24" s="5">
        <f t="shared" si="11"/>
        <v>26</v>
      </c>
      <c r="U24" s="5">
        <f t="shared" si="11"/>
        <v>26</v>
      </c>
    </row>
    <row r="25" spans="3:22" x14ac:dyDescent="0.35">
      <c r="D25" s="37" t="s">
        <v>102</v>
      </c>
      <c r="E25" s="30"/>
      <c r="F25" s="30"/>
      <c r="G25" s="30"/>
      <c r="I25" s="50" t="s">
        <v>137</v>
      </c>
      <c r="J25" s="5">
        <f>J18</f>
        <v>0.2</v>
      </c>
      <c r="K25" s="5">
        <f t="shared" ref="K25:U25" si="12">K18</f>
        <v>0.4</v>
      </c>
      <c r="L25" s="5">
        <f t="shared" si="12"/>
        <v>0.65</v>
      </c>
      <c r="M25" s="5">
        <f t="shared" si="12"/>
        <v>0.93333333333333335</v>
      </c>
      <c r="N25" s="5">
        <f t="shared" si="12"/>
        <v>1.2166666666666666</v>
      </c>
      <c r="O25" s="5">
        <f t="shared" si="12"/>
        <v>1.55</v>
      </c>
      <c r="P25" s="5">
        <f t="shared" si="12"/>
        <v>1.9666666666666666</v>
      </c>
      <c r="Q25" s="5">
        <f t="shared" si="12"/>
        <v>2.4</v>
      </c>
      <c r="R25" s="5">
        <f t="shared" si="12"/>
        <v>2.8333333333333335</v>
      </c>
      <c r="S25" s="5">
        <f t="shared" si="12"/>
        <v>3.2666666666666666</v>
      </c>
      <c r="T25" s="5">
        <f t="shared" si="12"/>
        <v>3.6999999999999997</v>
      </c>
      <c r="U25" s="5">
        <f t="shared" si="12"/>
        <v>4.1333333333333329</v>
      </c>
    </row>
    <row r="26" spans="3:22" x14ac:dyDescent="0.35">
      <c r="D26" s="30"/>
      <c r="E26" s="30"/>
      <c r="F26" s="30"/>
      <c r="G26" s="30"/>
    </row>
    <row r="27" spans="3:22" x14ac:dyDescent="0.35">
      <c r="D27" s="30"/>
      <c r="E27" s="30"/>
      <c r="F27" s="30"/>
      <c r="G27" s="30"/>
    </row>
    <row r="28" spans="3:22" x14ac:dyDescent="0.35">
      <c r="D28" s="30"/>
      <c r="E28" s="30"/>
      <c r="F28" s="30"/>
      <c r="G28" s="30"/>
    </row>
    <row r="29" spans="3:22" x14ac:dyDescent="0.35">
      <c r="D29" s="30"/>
      <c r="E29" s="30"/>
      <c r="F29" s="30"/>
      <c r="G29" s="30"/>
    </row>
    <row r="31" spans="3:22" x14ac:dyDescent="0.35">
      <c r="D31" s="31"/>
      <c r="E31" s="30"/>
      <c r="F31" s="30"/>
      <c r="I31" s="3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3:22" x14ac:dyDescent="0.35">
      <c r="D32" s="30"/>
      <c r="E32" s="22"/>
      <c r="F32" s="30"/>
      <c r="I32" s="22"/>
      <c r="Q32" s="5"/>
    </row>
    <row r="33" spans="4:17" x14ac:dyDescent="0.35">
      <c r="D33" s="30"/>
      <c r="E33" s="22"/>
      <c r="F33" s="30"/>
      <c r="I33" s="22"/>
      <c r="Q33" s="5"/>
    </row>
    <row r="34" spans="4:17" x14ac:dyDescent="0.35">
      <c r="D34" s="30"/>
      <c r="E34" s="22"/>
      <c r="F34" s="30"/>
      <c r="I34" s="22"/>
      <c r="Q34" s="5"/>
    </row>
    <row r="35" spans="4:17" x14ac:dyDescent="0.35">
      <c r="D35" s="30"/>
      <c r="E35" s="30"/>
      <c r="F35" s="30"/>
    </row>
    <row r="36" spans="4:17" x14ac:dyDescent="0.35">
      <c r="D36" s="31"/>
      <c r="E36" s="30"/>
      <c r="F36" s="30"/>
    </row>
    <row r="37" spans="4:17" x14ac:dyDescent="0.35">
      <c r="D37" s="30"/>
      <c r="E37" s="30"/>
      <c r="F37" s="30"/>
    </row>
    <row r="38" spans="4:17" x14ac:dyDescent="0.35">
      <c r="D38" s="30"/>
      <c r="E38" s="30"/>
      <c r="F38" s="30"/>
    </row>
  </sheetData>
  <hyperlinks>
    <hyperlink ref="V1" location="Master!A1" display="back" xr:uid="{00000000-0004-0000-0700-000000000000}"/>
    <hyperlink ref="J1" location="Master!A1" display="back" xr:uid="{00000000-0004-0000-0700-000001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V26"/>
  <sheetViews>
    <sheetView zoomScale="70" zoomScaleNormal="70" workbookViewId="0">
      <pane xSplit="9" ySplit="4" topLeftCell="J5" activePane="bottomRight" state="frozen"/>
      <selection activeCell="N21" sqref="N21"/>
      <selection pane="topRight" activeCell="N21" sqref="N21"/>
      <selection pane="bottomLeft" activeCell="N21" sqref="N21"/>
      <selection pane="bottomRight" activeCell="O26" sqref="O26"/>
    </sheetView>
  </sheetViews>
  <sheetFormatPr defaultColWidth="8.7265625" defaultRowHeight="14.5" outlineLevelRow="1" x14ac:dyDescent="0.35"/>
  <cols>
    <col min="1" max="1" width="8.7265625" style="5"/>
    <col min="2" max="2" width="4.81640625" style="5" customWidth="1"/>
    <col min="3" max="3" width="2.81640625" style="23" customWidth="1"/>
    <col min="4" max="4" width="3.453125" style="4" customWidth="1"/>
    <col min="5" max="5" width="5.1796875" style="5" customWidth="1"/>
    <col min="6" max="6" width="4.08984375" style="4" customWidth="1"/>
    <col min="7" max="7" width="5.08984375" style="5" customWidth="1"/>
    <col min="8" max="8" width="19.81640625" style="5" customWidth="1"/>
    <col min="9" max="9" width="11.36328125" style="5" bestFit="1" customWidth="1"/>
    <col min="10" max="16" width="9.54296875" style="5" customWidth="1"/>
    <col min="17" max="17" width="9.54296875" style="26" customWidth="1"/>
    <col min="18" max="21" width="9.54296875" style="5" customWidth="1"/>
    <col min="22" max="27" width="8.81640625" style="5" customWidth="1"/>
    <col min="28" max="16384" width="8.7265625" style="5"/>
  </cols>
  <sheetData>
    <row r="1" spans="1:22" x14ac:dyDescent="0.35">
      <c r="A1" s="4" t="s">
        <v>91</v>
      </c>
      <c r="J1" s="24" t="s">
        <v>37</v>
      </c>
      <c r="Q1" s="25"/>
      <c r="V1" s="24" t="s">
        <v>37</v>
      </c>
    </row>
    <row r="4" spans="1:22" x14ac:dyDescent="0.35">
      <c r="J4" s="21">
        <v>1</v>
      </c>
      <c r="K4" s="21">
        <v>2</v>
      </c>
      <c r="L4" s="21">
        <v>3</v>
      </c>
      <c r="M4" s="21">
        <v>4</v>
      </c>
      <c r="N4" s="21">
        <v>5</v>
      </c>
      <c r="O4" s="21">
        <v>6</v>
      </c>
      <c r="P4" s="21">
        <v>7</v>
      </c>
      <c r="Q4" s="21">
        <v>8</v>
      </c>
      <c r="R4" s="21">
        <v>9</v>
      </c>
      <c r="S4" s="21">
        <v>10</v>
      </c>
      <c r="T4" s="21">
        <v>11</v>
      </c>
      <c r="U4" s="21">
        <v>12</v>
      </c>
    </row>
    <row r="5" spans="1:22" x14ac:dyDescent="0.35"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x14ac:dyDescent="0.35">
      <c r="A6" s="31"/>
      <c r="C6" s="31" t="s">
        <v>127</v>
      </c>
      <c r="D6" s="31"/>
      <c r="E6" s="31"/>
      <c r="F6" s="31"/>
      <c r="G6" s="31"/>
      <c r="I6" s="64" t="s">
        <v>137</v>
      </c>
      <c r="J6" s="4">
        <f>J7+J8-J9</f>
        <v>5</v>
      </c>
      <c r="K6" s="4">
        <f>K7+K8-K9</f>
        <v>15</v>
      </c>
      <c r="L6" s="4">
        <f t="shared" ref="L6:U6" si="0">L7+L8-L9</f>
        <v>15</v>
      </c>
      <c r="M6" s="4">
        <f t="shared" si="0"/>
        <v>15</v>
      </c>
      <c r="N6" s="4">
        <f t="shared" si="0"/>
        <v>15</v>
      </c>
      <c r="O6" s="4">
        <f t="shared" si="0"/>
        <v>15</v>
      </c>
      <c r="P6" s="4">
        <f t="shared" si="0"/>
        <v>15</v>
      </c>
      <c r="Q6" s="4">
        <f t="shared" si="0"/>
        <v>15</v>
      </c>
      <c r="R6" s="4">
        <f t="shared" si="0"/>
        <v>15</v>
      </c>
      <c r="S6" s="4">
        <f t="shared" si="0"/>
        <v>15</v>
      </c>
      <c r="T6" s="4">
        <f t="shared" si="0"/>
        <v>15</v>
      </c>
      <c r="U6" s="4">
        <f t="shared" si="0"/>
        <v>15</v>
      </c>
    </row>
    <row r="7" spans="1:22" x14ac:dyDescent="0.35">
      <c r="A7" s="30"/>
      <c r="C7" s="30"/>
      <c r="D7" s="30" t="s">
        <v>128</v>
      </c>
      <c r="E7" s="30"/>
      <c r="F7" s="30"/>
      <c r="G7" s="30"/>
      <c r="I7" s="64" t="s">
        <v>137</v>
      </c>
      <c r="J7" s="7">
        <v>0</v>
      </c>
      <c r="K7" s="5">
        <f>J6</f>
        <v>5</v>
      </c>
      <c r="L7" s="5">
        <f t="shared" ref="L7:U7" si="1">K6</f>
        <v>15</v>
      </c>
      <c r="M7" s="5">
        <f t="shared" si="1"/>
        <v>15</v>
      </c>
      <c r="N7" s="5">
        <f t="shared" si="1"/>
        <v>15</v>
      </c>
      <c r="O7" s="5">
        <f t="shared" si="1"/>
        <v>15</v>
      </c>
      <c r="P7" s="5">
        <f t="shared" si="1"/>
        <v>15</v>
      </c>
      <c r="Q7" s="5">
        <f t="shared" si="1"/>
        <v>15</v>
      </c>
      <c r="R7" s="5">
        <f t="shared" si="1"/>
        <v>15</v>
      </c>
      <c r="S7" s="5">
        <f t="shared" si="1"/>
        <v>15</v>
      </c>
      <c r="T7" s="5">
        <f t="shared" si="1"/>
        <v>15</v>
      </c>
      <c r="U7" s="5">
        <f t="shared" si="1"/>
        <v>15</v>
      </c>
    </row>
    <row r="8" spans="1:22" x14ac:dyDescent="0.35">
      <c r="A8" s="30"/>
      <c r="C8" s="30"/>
      <c r="D8" s="30" t="s">
        <v>95</v>
      </c>
      <c r="E8" s="30"/>
      <c r="F8" s="30"/>
      <c r="G8" s="30"/>
      <c r="I8" s="64" t="s">
        <v>137</v>
      </c>
      <c r="J8" s="7">
        <v>5</v>
      </c>
      <c r="K8" s="7">
        <v>10</v>
      </c>
      <c r="Q8" s="5"/>
    </row>
    <row r="9" spans="1:22" x14ac:dyDescent="0.35">
      <c r="A9" s="30"/>
      <c r="C9" s="30"/>
      <c r="D9" s="30" t="s">
        <v>96</v>
      </c>
      <c r="E9" s="30"/>
      <c r="F9" s="30"/>
      <c r="G9" s="30"/>
      <c r="I9" s="64" t="s">
        <v>137</v>
      </c>
      <c r="K9" s="7"/>
      <c r="L9" s="5">
        <f>K9</f>
        <v>0</v>
      </c>
      <c r="M9" s="5">
        <f t="shared" ref="M9:U9" si="2">L9</f>
        <v>0</v>
      </c>
      <c r="N9" s="5">
        <f t="shared" si="2"/>
        <v>0</v>
      </c>
      <c r="O9" s="7"/>
      <c r="P9" s="5">
        <f t="shared" si="2"/>
        <v>0</v>
      </c>
      <c r="Q9" s="5">
        <f t="shared" si="2"/>
        <v>0</v>
      </c>
      <c r="R9" s="5">
        <f t="shared" si="2"/>
        <v>0</v>
      </c>
      <c r="S9" s="5">
        <f t="shared" si="2"/>
        <v>0</v>
      </c>
      <c r="T9" s="5">
        <f t="shared" si="2"/>
        <v>0</v>
      </c>
      <c r="U9" s="5">
        <f t="shared" si="2"/>
        <v>0</v>
      </c>
    </row>
    <row r="10" spans="1:22" x14ac:dyDescent="0.35">
      <c r="A10" s="30"/>
      <c r="C10" s="30"/>
      <c r="D10" s="30"/>
      <c r="E10" s="30"/>
      <c r="F10" s="30"/>
      <c r="G10" s="30"/>
      <c r="I10" s="30"/>
      <c r="Q10" s="5"/>
    </row>
    <row r="11" spans="1:22" x14ac:dyDescent="0.35">
      <c r="A11" s="31"/>
      <c r="C11" s="31" t="s">
        <v>65</v>
      </c>
      <c r="D11" s="31"/>
      <c r="E11" s="31"/>
      <c r="F11" s="31"/>
      <c r="G11" s="31"/>
      <c r="I11" s="64" t="s">
        <v>137</v>
      </c>
      <c r="J11" s="4">
        <f t="shared" ref="J11:U11" si="3">J12*J15</f>
        <v>1.2500000000000001E-2</v>
      </c>
      <c r="K11" s="4">
        <f t="shared" si="3"/>
        <v>0.05</v>
      </c>
      <c r="L11" s="4">
        <f t="shared" si="3"/>
        <v>7.4999999999999997E-2</v>
      </c>
      <c r="M11" s="4">
        <f t="shared" si="3"/>
        <v>7.4999999999999997E-2</v>
      </c>
      <c r="N11" s="4">
        <f t="shared" si="3"/>
        <v>7.4999999999999997E-2</v>
      </c>
      <c r="O11" s="4">
        <f t="shared" si="3"/>
        <v>7.4999999999999997E-2</v>
      </c>
      <c r="P11" s="4">
        <f t="shared" si="3"/>
        <v>7.4999999999999997E-2</v>
      </c>
      <c r="Q11" s="4">
        <f t="shared" si="3"/>
        <v>7.4999999999999997E-2</v>
      </c>
      <c r="R11" s="4">
        <f t="shared" si="3"/>
        <v>7.4999999999999997E-2</v>
      </c>
      <c r="S11" s="4">
        <f t="shared" si="3"/>
        <v>7.4999999999999997E-2</v>
      </c>
      <c r="T11" s="4">
        <f t="shared" si="3"/>
        <v>7.4999999999999997E-2</v>
      </c>
      <c r="U11" s="4">
        <f t="shared" si="3"/>
        <v>7.4999999999999997E-2</v>
      </c>
    </row>
    <row r="12" spans="1:22" x14ac:dyDescent="0.35">
      <c r="A12" s="30"/>
      <c r="C12" s="30"/>
      <c r="D12" s="30" t="s">
        <v>97</v>
      </c>
      <c r="E12" s="30"/>
      <c r="F12" s="30"/>
      <c r="G12" s="30"/>
      <c r="I12" s="64" t="s">
        <v>137</v>
      </c>
      <c r="J12" s="5">
        <f t="shared" ref="J12:U12" si="4">(J14+J13)/2</f>
        <v>2.5</v>
      </c>
      <c r="K12" s="5">
        <f t="shared" si="4"/>
        <v>10</v>
      </c>
      <c r="L12" s="5">
        <f t="shared" si="4"/>
        <v>15</v>
      </c>
      <c r="M12" s="5">
        <f t="shared" si="4"/>
        <v>15</v>
      </c>
      <c r="N12" s="5">
        <f t="shared" si="4"/>
        <v>15</v>
      </c>
      <c r="O12" s="5">
        <f t="shared" si="4"/>
        <v>15</v>
      </c>
      <c r="P12" s="5">
        <f t="shared" si="4"/>
        <v>15</v>
      </c>
      <c r="Q12" s="5">
        <f t="shared" si="4"/>
        <v>15</v>
      </c>
      <c r="R12" s="5">
        <f t="shared" si="4"/>
        <v>15</v>
      </c>
      <c r="S12" s="5">
        <f t="shared" si="4"/>
        <v>15</v>
      </c>
      <c r="T12" s="5">
        <f t="shared" si="4"/>
        <v>15</v>
      </c>
      <c r="U12" s="5">
        <f t="shared" si="4"/>
        <v>15</v>
      </c>
    </row>
    <row r="13" spans="1:22" hidden="1" outlineLevel="1" x14ac:dyDescent="0.35">
      <c r="A13" s="30"/>
      <c r="C13" s="30"/>
      <c r="D13" s="30"/>
      <c r="E13" s="30" t="s">
        <v>128</v>
      </c>
      <c r="F13" s="30"/>
      <c r="G13" s="30"/>
      <c r="I13" s="30" t="s">
        <v>44</v>
      </c>
      <c r="J13" s="5">
        <f t="shared" ref="J13:U13" si="5">J7</f>
        <v>0</v>
      </c>
      <c r="K13" s="5">
        <f t="shared" si="5"/>
        <v>5</v>
      </c>
      <c r="L13" s="5">
        <f t="shared" si="5"/>
        <v>15</v>
      </c>
      <c r="M13" s="5">
        <f t="shared" si="5"/>
        <v>15</v>
      </c>
      <c r="N13" s="5">
        <f t="shared" si="5"/>
        <v>15</v>
      </c>
      <c r="O13" s="5">
        <f t="shared" si="5"/>
        <v>15</v>
      </c>
      <c r="P13" s="5">
        <f t="shared" si="5"/>
        <v>15</v>
      </c>
      <c r="Q13" s="5">
        <f t="shared" si="5"/>
        <v>15</v>
      </c>
      <c r="R13" s="5">
        <f t="shared" si="5"/>
        <v>15</v>
      </c>
      <c r="S13" s="5">
        <f t="shared" si="5"/>
        <v>15</v>
      </c>
      <c r="T13" s="5">
        <f t="shared" si="5"/>
        <v>15</v>
      </c>
      <c r="U13" s="5">
        <f t="shared" si="5"/>
        <v>15</v>
      </c>
    </row>
    <row r="14" spans="1:22" hidden="1" outlineLevel="1" x14ac:dyDescent="0.35">
      <c r="A14" s="30"/>
      <c r="C14" s="30"/>
      <c r="D14" s="30"/>
      <c r="E14" s="30" t="s">
        <v>127</v>
      </c>
      <c r="F14" s="30"/>
      <c r="G14" s="30"/>
      <c r="I14" s="30" t="s">
        <v>44</v>
      </c>
      <c r="J14" s="5">
        <f t="shared" ref="J14:U14" si="6">J6</f>
        <v>5</v>
      </c>
      <c r="K14" s="5">
        <f t="shared" si="6"/>
        <v>15</v>
      </c>
      <c r="L14" s="5">
        <f t="shared" si="6"/>
        <v>15</v>
      </c>
      <c r="M14" s="5">
        <f t="shared" si="6"/>
        <v>15</v>
      </c>
      <c r="N14" s="5">
        <f t="shared" si="6"/>
        <v>15</v>
      </c>
      <c r="O14" s="5">
        <f t="shared" si="6"/>
        <v>15</v>
      </c>
      <c r="P14" s="5">
        <f t="shared" si="6"/>
        <v>15</v>
      </c>
      <c r="Q14" s="5">
        <f t="shared" si="6"/>
        <v>15</v>
      </c>
      <c r="R14" s="5">
        <f t="shared" si="6"/>
        <v>15</v>
      </c>
      <c r="S14" s="5">
        <f t="shared" si="6"/>
        <v>15</v>
      </c>
      <c r="T14" s="5">
        <f t="shared" si="6"/>
        <v>15</v>
      </c>
      <c r="U14" s="5">
        <f t="shared" si="6"/>
        <v>15</v>
      </c>
    </row>
    <row r="15" spans="1:22" collapsed="1" x14ac:dyDescent="0.35">
      <c r="A15" s="30"/>
      <c r="C15" s="30"/>
      <c r="D15" s="30" t="s">
        <v>98</v>
      </c>
      <c r="E15" s="30"/>
      <c r="F15" s="30"/>
      <c r="G15" s="30"/>
      <c r="I15" s="30" t="s">
        <v>1</v>
      </c>
      <c r="J15" s="10">
        <f>J16/J17</f>
        <v>5.0000000000000001E-3</v>
      </c>
      <c r="K15" s="10">
        <f t="shared" ref="K15:U15" si="7">K16/K17</f>
        <v>5.0000000000000001E-3</v>
      </c>
      <c r="L15" s="10">
        <f t="shared" si="7"/>
        <v>5.0000000000000001E-3</v>
      </c>
      <c r="M15" s="10">
        <f t="shared" si="7"/>
        <v>5.0000000000000001E-3</v>
      </c>
      <c r="N15" s="10">
        <f t="shared" si="7"/>
        <v>5.0000000000000001E-3</v>
      </c>
      <c r="O15" s="10">
        <f t="shared" si="7"/>
        <v>5.0000000000000001E-3</v>
      </c>
      <c r="P15" s="10">
        <f t="shared" si="7"/>
        <v>5.0000000000000001E-3</v>
      </c>
      <c r="Q15" s="10">
        <f t="shared" si="7"/>
        <v>5.0000000000000001E-3</v>
      </c>
      <c r="R15" s="10">
        <f t="shared" si="7"/>
        <v>5.0000000000000001E-3</v>
      </c>
      <c r="S15" s="10">
        <f t="shared" si="7"/>
        <v>5.0000000000000001E-3</v>
      </c>
      <c r="T15" s="10">
        <f t="shared" si="7"/>
        <v>5.0000000000000001E-3</v>
      </c>
      <c r="U15" s="10">
        <f t="shared" si="7"/>
        <v>5.0000000000000001E-3</v>
      </c>
    </row>
    <row r="16" spans="1:22" hidden="1" outlineLevel="1" x14ac:dyDescent="0.35">
      <c r="A16" s="30"/>
      <c r="C16" s="30"/>
      <c r="D16" s="30"/>
      <c r="E16" s="30" t="s">
        <v>106</v>
      </c>
      <c r="F16" s="30"/>
      <c r="G16" s="30"/>
      <c r="I16" s="30" t="s">
        <v>1</v>
      </c>
      <c r="J16" s="28">
        <v>0.06</v>
      </c>
      <c r="K16" s="10">
        <f>J16</f>
        <v>0.06</v>
      </c>
      <c r="L16" s="10">
        <f t="shared" ref="L16:U16" si="8">K16</f>
        <v>0.06</v>
      </c>
      <c r="M16" s="10">
        <f t="shared" si="8"/>
        <v>0.06</v>
      </c>
      <c r="N16" s="10">
        <f t="shared" si="8"/>
        <v>0.06</v>
      </c>
      <c r="O16" s="10">
        <f t="shared" si="8"/>
        <v>0.06</v>
      </c>
      <c r="P16" s="10">
        <f t="shared" si="8"/>
        <v>0.06</v>
      </c>
      <c r="Q16" s="10">
        <f t="shared" si="8"/>
        <v>0.06</v>
      </c>
      <c r="R16" s="10">
        <f t="shared" si="8"/>
        <v>0.06</v>
      </c>
      <c r="S16" s="10">
        <f t="shared" si="8"/>
        <v>0.06</v>
      </c>
      <c r="T16" s="10">
        <f t="shared" si="8"/>
        <v>0.06</v>
      </c>
      <c r="U16" s="10">
        <f t="shared" si="8"/>
        <v>0.06</v>
      </c>
    </row>
    <row r="17" spans="1:21" hidden="1" outlineLevel="1" x14ac:dyDescent="0.35">
      <c r="D17" s="30"/>
      <c r="E17" s="39" t="s">
        <v>107</v>
      </c>
      <c r="F17" s="30"/>
      <c r="I17" s="39" t="s">
        <v>114</v>
      </c>
      <c r="J17" s="7">
        <v>12</v>
      </c>
      <c r="K17" s="5">
        <f t="shared" ref="K17:U17" si="9">J17</f>
        <v>12</v>
      </c>
      <c r="L17" s="5">
        <f t="shared" si="9"/>
        <v>12</v>
      </c>
      <c r="M17" s="5">
        <f t="shared" si="9"/>
        <v>12</v>
      </c>
      <c r="N17" s="5">
        <f t="shared" si="9"/>
        <v>12</v>
      </c>
      <c r="O17" s="5">
        <f t="shared" si="9"/>
        <v>12</v>
      </c>
      <c r="P17" s="5">
        <f t="shared" si="9"/>
        <v>12</v>
      </c>
      <c r="Q17" s="5">
        <f t="shared" si="9"/>
        <v>12</v>
      </c>
      <c r="R17" s="5">
        <f t="shared" si="9"/>
        <v>12</v>
      </c>
      <c r="S17" s="5">
        <f t="shared" si="9"/>
        <v>12</v>
      </c>
      <c r="T17" s="5">
        <f t="shared" si="9"/>
        <v>12</v>
      </c>
      <c r="U17" s="5">
        <f t="shared" si="9"/>
        <v>12</v>
      </c>
    </row>
    <row r="18" spans="1:21" collapsed="1" x14ac:dyDescent="0.35">
      <c r="D18" s="30"/>
      <c r="E18" s="22"/>
      <c r="F18" s="30"/>
      <c r="I18" s="22"/>
      <c r="Q18" s="5"/>
    </row>
    <row r="19" spans="1:21" x14ac:dyDescent="0.35">
      <c r="C19" s="23" t="s">
        <v>66</v>
      </c>
      <c r="D19" s="31"/>
      <c r="E19" s="31"/>
      <c r="F19" s="31"/>
      <c r="G19" s="31"/>
      <c r="I19" s="64" t="s">
        <v>137</v>
      </c>
      <c r="J19" s="4">
        <f t="shared" ref="J19:U19" si="10">J20*J23</f>
        <v>-4.3238500000000006E-3</v>
      </c>
      <c r="K19" s="4">
        <f t="shared" si="10"/>
        <v>-1.6968336998287672E-2</v>
      </c>
      <c r="L19" s="4">
        <f t="shared" si="10"/>
        <v>-3.4114952176950632E-2</v>
      </c>
      <c r="M19" s="4">
        <f t="shared" si="10"/>
        <v>-5.5923141067092869E-2</v>
      </c>
      <c r="N19" s="4">
        <f t="shared" si="10"/>
        <v>-5.8996923958283487E-2</v>
      </c>
      <c r="O19" s="4">
        <f t="shared" si="10"/>
        <v>-2.0867048275502766E-2</v>
      </c>
      <c r="P19" s="4">
        <f t="shared" si="10"/>
        <v>4.0197151322526978E-2</v>
      </c>
      <c r="Q19" s="4">
        <f t="shared" si="10"/>
        <v>0.11341256202297151</v>
      </c>
      <c r="R19" s="4">
        <f t="shared" si="10"/>
        <v>0.22569657486087666</v>
      </c>
      <c r="S19" s="4">
        <f t="shared" si="10"/>
        <v>0.39508889436599359</v>
      </c>
      <c r="T19" s="4">
        <f t="shared" si="10"/>
        <v>0.63853135074927114</v>
      </c>
      <c r="U19" s="4">
        <f t="shared" si="10"/>
        <v>0.97805225571478982</v>
      </c>
    </row>
    <row r="20" spans="1:21" x14ac:dyDescent="0.35">
      <c r="D20" s="30" t="s">
        <v>101</v>
      </c>
      <c r="E20" s="30"/>
      <c r="F20" s="30"/>
      <c r="G20" s="30"/>
      <c r="I20" s="64" t="s">
        <v>137</v>
      </c>
      <c r="J20" s="5">
        <f>(J22+J21)/2</f>
        <v>-2.5943100000000001</v>
      </c>
      <c r="K20" s="5">
        <f t="shared" ref="K20:U20" si="11">(K22+K21)/2</f>
        <v>-10.181002198972603</v>
      </c>
      <c r="L20" s="5">
        <f t="shared" si="11"/>
        <v>-20.468971306170378</v>
      </c>
      <c r="M20" s="5">
        <f t="shared" si="11"/>
        <v>-33.553884640255717</v>
      </c>
      <c r="N20" s="5">
        <f t="shared" si="11"/>
        <v>-35.39815437497009</v>
      </c>
      <c r="O20" s="5">
        <f t="shared" si="11"/>
        <v>-12.520228965301659</v>
      </c>
      <c r="P20" s="5">
        <f t="shared" si="11"/>
        <v>24.118290793516184</v>
      </c>
      <c r="Q20" s="5">
        <f t="shared" si="11"/>
        <v>68.047537213782903</v>
      </c>
      <c r="R20" s="5">
        <f t="shared" si="11"/>
        <v>135.41794491652598</v>
      </c>
      <c r="S20" s="5">
        <f t="shared" si="11"/>
        <v>237.05333661959614</v>
      </c>
      <c r="T20" s="5">
        <f t="shared" si="11"/>
        <v>383.11881044956266</v>
      </c>
      <c r="U20" s="5">
        <f t="shared" si="11"/>
        <v>586.83135342887385</v>
      </c>
    </row>
    <row r="21" spans="1:21" hidden="1" outlineLevel="1" x14ac:dyDescent="0.35">
      <c r="D21" s="30"/>
      <c r="E21" s="30" t="s">
        <v>129</v>
      </c>
      <c r="F21" s="30"/>
      <c r="G21" s="30"/>
      <c r="I21" s="64" t="s">
        <v>137</v>
      </c>
      <c r="J21" s="5">
        <f>CF!J35</f>
        <v>2</v>
      </c>
      <c r="K21" s="5">
        <f>J22</f>
        <v>-7.1886200000000002</v>
      </c>
      <c r="L21" s="5">
        <f t="shared" ref="L21:U21" si="12">K22</f>
        <v>-13.173384397945208</v>
      </c>
      <c r="M21" s="5">
        <f t="shared" si="12"/>
        <v>-27.764558214395549</v>
      </c>
      <c r="N21" s="5">
        <f t="shared" si="12"/>
        <v>-39.343211066115877</v>
      </c>
      <c r="O21" s="5">
        <f t="shared" si="12"/>
        <v>-31.453097683824296</v>
      </c>
      <c r="P21" s="5">
        <f t="shared" si="12"/>
        <v>6.4126397532209793</v>
      </c>
      <c r="Q21" s="5">
        <f t="shared" si="12"/>
        <v>41.823941833811389</v>
      </c>
      <c r="R21" s="5">
        <f t="shared" si="12"/>
        <v>94.271132593754402</v>
      </c>
      <c r="S21" s="5">
        <f t="shared" si="12"/>
        <v>176.56475723929753</v>
      </c>
      <c r="T21" s="5">
        <f t="shared" si="12"/>
        <v>297.54191599989474</v>
      </c>
      <c r="U21" s="5">
        <f t="shared" si="12"/>
        <v>468.69570489923058</v>
      </c>
    </row>
    <row r="22" spans="1:21" hidden="1" outlineLevel="1" x14ac:dyDescent="0.35">
      <c r="D22" s="30"/>
      <c r="E22" s="30" t="s">
        <v>130</v>
      </c>
      <c r="F22" s="30"/>
      <c r="G22" s="30"/>
      <c r="I22" s="64" t="s">
        <v>137</v>
      </c>
      <c r="J22" s="5">
        <f>CF!J34</f>
        <v>-7.1886200000000002</v>
      </c>
      <c r="K22" s="5">
        <f>CF!K34</f>
        <v>-13.173384397945208</v>
      </c>
      <c r="L22" s="5">
        <f>CF!L34</f>
        <v>-27.764558214395549</v>
      </c>
      <c r="M22" s="5">
        <f>CF!M34</f>
        <v>-39.343211066115877</v>
      </c>
      <c r="N22" s="5">
        <f>CF!N34</f>
        <v>-31.453097683824296</v>
      </c>
      <c r="O22" s="5">
        <f>CF!O34</f>
        <v>6.4126397532209793</v>
      </c>
      <c r="P22" s="5">
        <f>CF!P34</f>
        <v>41.823941833811389</v>
      </c>
      <c r="Q22" s="5">
        <f>CF!Q34</f>
        <v>94.271132593754402</v>
      </c>
      <c r="R22" s="5">
        <f>CF!R34</f>
        <v>176.56475723929753</v>
      </c>
      <c r="S22" s="5">
        <f>CF!S34</f>
        <v>297.54191599989474</v>
      </c>
      <c r="T22" s="5">
        <f>CF!T34</f>
        <v>468.69570489923058</v>
      </c>
      <c r="U22" s="5">
        <f>CF!U34</f>
        <v>704.96700195851702</v>
      </c>
    </row>
    <row r="23" spans="1:21" collapsed="1" x14ac:dyDescent="0.35">
      <c r="A23" s="30"/>
      <c r="C23" s="30"/>
      <c r="D23" s="30" t="s">
        <v>98</v>
      </c>
      <c r="E23" s="30"/>
      <c r="F23" s="30"/>
      <c r="G23" s="30"/>
      <c r="I23" s="30" t="s">
        <v>1</v>
      </c>
      <c r="J23" s="10">
        <f>J24/J25</f>
        <v>1.6666666666666668E-3</v>
      </c>
      <c r="K23" s="10">
        <f t="shared" ref="K23" si="13">K24/K25</f>
        <v>1.6666666666666668E-3</v>
      </c>
      <c r="L23" s="10">
        <f t="shared" ref="L23" si="14">L24/L25</f>
        <v>1.6666666666666668E-3</v>
      </c>
      <c r="M23" s="10">
        <f t="shared" ref="M23" si="15">M24/M25</f>
        <v>1.6666666666666668E-3</v>
      </c>
      <c r="N23" s="10">
        <f t="shared" ref="N23" si="16">N24/N25</f>
        <v>1.6666666666666668E-3</v>
      </c>
      <c r="O23" s="10">
        <f t="shared" ref="O23" si="17">O24/O25</f>
        <v>1.6666666666666668E-3</v>
      </c>
      <c r="P23" s="10">
        <f t="shared" ref="P23" si="18">P24/P25</f>
        <v>1.6666666666666668E-3</v>
      </c>
      <c r="Q23" s="10">
        <f t="shared" ref="Q23" si="19">Q24/Q25</f>
        <v>1.6666666666666668E-3</v>
      </c>
      <c r="R23" s="10">
        <f t="shared" ref="R23" si="20">R24/R25</f>
        <v>1.6666666666666668E-3</v>
      </c>
      <c r="S23" s="10">
        <f t="shared" ref="S23" si="21">S24/S25</f>
        <v>1.6666666666666668E-3</v>
      </c>
      <c r="T23" s="10">
        <f t="shared" ref="T23" si="22">T24/T25</f>
        <v>1.6666666666666668E-3</v>
      </c>
      <c r="U23" s="10">
        <f t="shared" ref="U23" si="23">U24/U25</f>
        <v>1.6666666666666668E-3</v>
      </c>
    </row>
    <row r="24" spans="1:21" hidden="1" outlineLevel="1" x14ac:dyDescent="0.35">
      <c r="A24" s="30"/>
      <c r="C24" s="30"/>
      <c r="D24" s="30"/>
      <c r="E24" s="30" t="s">
        <v>106</v>
      </c>
      <c r="F24" s="30"/>
      <c r="G24" s="30"/>
      <c r="I24" s="30" t="s">
        <v>1</v>
      </c>
      <c r="J24" s="28">
        <v>0.02</v>
      </c>
      <c r="K24" s="10">
        <f>J24</f>
        <v>0.02</v>
      </c>
      <c r="L24" s="10">
        <f t="shared" ref="L24:U24" si="24">K24</f>
        <v>0.02</v>
      </c>
      <c r="M24" s="10">
        <f t="shared" si="24"/>
        <v>0.02</v>
      </c>
      <c r="N24" s="10">
        <f t="shared" si="24"/>
        <v>0.02</v>
      </c>
      <c r="O24" s="10">
        <f t="shared" si="24"/>
        <v>0.02</v>
      </c>
      <c r="P24" s="10">
        <f t="shared" si="24"/>
        <v>0.02</v>
      </c>
      <c r="Q24" s="10">
        <f t="shared" si="24"/>
        <v>0.02</v>
      </c>
      <c r="R24" s="10">
        <f t="shared" si="24"/>
        <v>0.02</v>
      </c>
      <c r="S24" s="10">
        <f t="shared" si="24"/>
        <v>0.02</v>
      </c>
      <c r="T24" s="10">
        <f t="shared" si="24"/>
        <v>0.02</v>
      </c>
      <c r="U24" s="10">
        <f t="shared" si="24"/>
        <v>0.02</v>
      </c>
    </row>
    <row r="25" spans="1:21" hidden="1" outlineLevel="1" x14ac:dyDescent="0.35">
      <c r="D25" s="30"/>
      <c r="E25" s="39" t="s">
        <v>107</v>
      </c>
      <c r="F25" s="30"/>
      <c r="I25" s="39" t="s">
        <v>114</v>
      </c>
      <c r="J25" s="5">
        <f>J17</f>
        <v>12</v>
      </c>
      <c r="K25" s="5">
        <f t="shared" ref="K25:U25" si="25">K17</f>
        <v>12</v>
      </c>
      <c r="L25" s="5">
        <f t="shared" si="25"/>
        <v>12</v>
      </c>
      <c r="M25" s="5">
        <f t="shared" si="25"/>
        <v>12</v>
      </c>
      <c r="N25" s="5">
        <f t="shared" si="25"/>
        <v>12</v>
      </c>
      <c r="O25" s="5">
        <f t="shared" si="25"/>
        <v>12</v>
      </c>
      <c r="P25" s="5">
        <f t="shared" si="25"/>
        <v>12</v>
      </c>
      <c r="Q25" s="5">
        <f t="shared" si="25"/>
        <v>12</v>
      </c>
      <c r="R25" s="5">
        <f t="shared" si="25"/>
        <v>12</v>
      </c>
      <c r="S25" s="5">
        <f t="shared" si="25"/>
        <v>12</v>
      </c>
      <c r="T25" s="5">
        <f t="shared" si="25"/>
        <v>12</v>
      </c>
      <c r="U25" s="5">
        <f t="shared" si="25"/>
        <v>12</v>
      </c>
    </row>
    <row r="26" spans="1:21" collapsed="1" x14ac:dyDescent="0.35"/>
  </sheetData>
  <hyperlinks>
    <hyperlink ref="V1" location="Master!A1" display="back" xr:uid="{00000000-0004-0000-0800-000000000000}"/>
    <hyperlink ref="J1" location="Master!A1" display="back" xr:uid="{00000000-0004-0000-0800-000001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Sales &amp; Margin</vt:lpstr>
      <vt:lpstr>Buyers &amp; Sellers</vt:lpstr>
      <vt:lpstr>HQ</vt:lpstr>
      <vt:lpstr>Rules</vt:lpstr>
      <vt:lpstr>P&amp;L</vt:lpstr>
      <vt:lpstr>Work Cap</vt:lpstr>
      <vt:lpstr>Capex</vt:lpstr>
      <vt:lpstr>Debt</vt:lpstr>
      <vt:lpstr>CF</vt:lpstr>
      <vt:lpstr>Parameters</vt:lpstr>
      <vt:lpstr>Category</vt:lpstr>
      <vt:lpstr>Slide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2021-06-10T14:18:44Z</dcterms:modified>
</cp:coreProperties>
</file>