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160" windowHeight="6950" activeTab="4"/>
  </bookViews>
  <sheets>
    <sheet name="Master" sheetId="5" r:id="rId1"/>
    <sheet name="Shop" sheetId="1" r:id="rId2"/>
    <sheet name="Total Chain" sheetId="2" r:id="rId3"/>
    <sheet name="HQ" sheetId="8" r:id="rId4"/>
    <sheet name="Capex" sheetId="10" r:id="rId5"/>
    <sheet name="P&amp;L" sheetId="12" r:id="rId6"/>
    <sheet name="Work Cap" sheetId="7" r:id="rId7"/>
    <sheet name="Debt" sheetId="6" r:id="rId8"/>
    <sheet name="CF" sheetId="11" r:id="rId9"/>
    <sheet name="Parameteres" sheetId="13" r:id="rId10"/>
    <sheet name="Labels" sheetId="3" r:id="rId11"/>
    <sheet name="Links" sheetId="16" r:id="rId12"/>
    <sheet name="Slide" sheetId="15" r:id="rId13"/>
    <sheet name="Category" sheetId="14" r:id="rId14"/>
  </sheets>
  <calcPr calcId="152511"/>
</workbook>
</file>

<file path=xl/calcChain.xml><?xml version="1.0" encoding="utf-8"?>
<calcChain xmlns="http://schemas.openxmlformats.org/spreadsheetml/2006/main">
  <c r="M8" i="6" l="1"/>
  <c r="N8" i="6" s="1"/>
  <c r="O8" i="6" s="1"/>
  <c r="P8" i="6" s="1"/>
  <c r="L8" i="6"/>
  <c r="N8" i="1"/>
  <c r="L12" i="1"/>
  <c r="M12" i="1" s="1"/>
  <c r="L11" i="1"/>
  <c r="J4" i="2" l="1"/>
  <c r="J4" i="11" s="1"/>
  <c r="J4" i="8" l="1"/>
  <c r="J4" i="7"/>
  <c r="J4" i="10"/>
  <c r="J4" i="6"/>
  <c r="K4" i="2"/>
  <c r="J4" i="12"/>
  <c r="K4" i="11"/>
  <c r="K4" i="10"/>
  <c r="K4" i="6"/>
  <c r="K4" i="8"/>
  <c r="F19" i="5"/>
  <c r="K4" i="7" l="1"/>
  <c r="K4" i="12"/>
  <c r="L4" i="2"/>
  <c r="F18" i="5"/>
  <c r="F17" i="5"/>
  <c r="F15" i="5"/>
  <c r="F14" i="5"/>
  <c r="F13" i="5"/>
  <c r="K26" i="11"/>
  <c r="J25" i="11"/>
  <c r="P24" i="11"/>
  <c r="O24" i="11"/>
  <c r="N24" i="11"/>
  <c r="M24" i="11"/>
  <c r="L24" i="11"/>
  <c r="K24" i="11"/>
  <c r="P23" i="11"/>
  <c r="O23" i="11"/>
  <c r="N23" i="11"/>
  <c r="M23" i="11"/>
  <c r="L23" i="11"/>
  <c r="K23" i="11"/>
  <c r="J24" i="11"/>
  <c r="J23" i="11"/>
  <c r="J27" i="12"/>
  <c r="P26" i="6"/>
  <c r="O26" i="6"/>
  <c r="N26" i="6"/>
  <c r="M26" i="6"/>
  <c r="L26" i="6"/>
  <c r="K26" i="6"/>
  <c r="J26" i="6"/>
  <c r="K18" i="6"/>
  <c r="L18" i="6" s="1"/>
  <c r="M18" i="6" s="1"/>
  <c r="N18" i="6" s="1"/>
  <c r="O18" i="6" s="1"/>
  <c r="P18" i="6" s="1"/>
  <c r="K17" i="6"/>
  <c r="L17" i="6" s="1"/>
  <c r="J16" i="6"/>
  <c r="J24" i="6"/>
  <c r="K25" i="6"/>
  <c r="L25" i="6" s="1"/>
  <c r="F12" i="5"/>
  <c r="K28" i="8"/>
  <c r="L28" i="8" s="1"/>
  <c r="K26" i="8"/>
  <c r="L26" i="8" s="1"/>
  <c r="P6" i="8"/>
  <c r="P16" i="8" s="1"/>
  <c r="O6" i="8"/>
  <c r="O16" i="8" s="1"/>
  <c r="N6" i="8"/>
  <c r="N16" i="8" s="1"/>
  <c r="M6" i="8"/>
  <c r="M16" i="8" s="1"/>
  <c r="L6" i="8"/>
  <c r="L16" i="8" s="1"/>
  <c r="K6" i="8"/>
  <c r="K16" i="8" s="1"/>
  <c r="J6" i="8"/>
  <c r="J16" i="8" s="1"/>
  <c r="L4" i="6" l="1"/>
  <c r="L4" i="12"/>
  <c r="L4" i="7"/>
  <c r="L4" i="11"/>
  <c r="L4" i="8"/>
  <c r="M4" i="2"/>
  <c r="L4" i="10"/>
  <c r="M17" i="6"/>
  <c r="L16" i="6"/>
  <c r="K16" i="6"/>
  <c r="M25" i="6"/>
  <c r="L24" i="6"/>
  <c r="K24" i="6"/>
  <c r="M26" i="8"/>
  <c r="N4" i="2" l="1"/>
  <c r="M4" i="10"/>
  <c r="M4" i="11"/>
  <c r="M4" i="7"/>
  <c r="M4" i="12"/>
  <c r="M4" i="8"/>
  <c r="M4" i="6"/>
  <c r="N17" i="6"/>
  <c r="M16" i="6"/>
  <c r="M24" i="6"/>
  <c r="N25" i="6"/>
  <c r="N26" i="8"/>
  <c r="N4" i="7" l="1"/>
  <c r="N4" i="10"/>
  <c r="N4" i="12"/>
  <c r="O4" i="2"/>
  <c r="N4" i="8"/>
  <c r="N4" i="11"/>
  <c r="N4" i="6"/>
  <c r="O17" i="6"/>
  <c r="N16" i="6"/>
  <c r="O25" i="6"/>
  <c r="N24" i="6"/>
  <c r="O26" i="8"/>
  <c r="O4" i="8" l="1"/>
  <c r="O4" i="12"/>
  <c r="O4" i="6"/>
  <c r="P4" i="2"/>
  <c r="O4" i="10"/>
  <c r="O4" i="7"/>
  <c r="O4" i="11"/>
  <c r="P17" i="6"/>
  <c r="O16" i="6"/>
  <c r="P25" i="6"/>
  <c r="O24" i="6"/>
  <c r="P26" i="8"/>
  <c r="P4" i="10" l="1"/>
  <c r="P4" i="7"/>
  <c r="P4" i="11"/>
  <c r="P4" i="6"/>
  <c r="P4" i="8"/>
  <c r="P4" i="12"/>
  <c r="P16" i="6"/>
  <c r="P24" i="6"/>
  <c r="K20" i="8" l="1"/>
  <c r="L20" i="8" s="1"/>
  <c r="M20" i="8" l="1"/>
  <c r="N20" i="8" l="1"/>
  <c r="O20" i="8" s="1"/>
  <c r="P20" i="8" l="1"/>
  <c r="L12" i="8" l="1"/>
  <c r="K11" i="8"/>
  <c r="K35" i="12"/>
  <c r="L35" i="12" s="1"/>
  <c r="M35" i="12" s="1"/>
  <c r="N35" i="12" s="1"/>
  <c r="O35" i="12" s="1"/>
  <c r="P35" i="12" s="1"/>
  <c r="K19" i="11"/>
  <c r="L19" i="11" s="1"/>
  <c r="M19" i="11" s="1"/>
  <c r="N19" i="11" s="1"/>
  <c r="K18" i="11"/>
  <c r="L18" i="11" s="1"/>
  <c r="M18" i="11" s="1"/>
  <c r="N18" i="11" s="1"/>
  <c r="K17" i="11"/>
  <c r="L17" i="11" s="1"/>
  <c r="M17" i="11" s="1"/>
  <c r="N17" i="11" s="1"/>
  <c r="K16" i="11"/>
  <c r="L16" i="11" s="1"/>
  <c r="P12" i="10"/>
  <c r="O12" i="10"/>
  <c r="N12" i="10"/>
  <c r="M12" i="10"/>
  <c r="L12" i="10"/>
  <c r="K12" i="10"/>
  <c r="J12" i="10"/>
  <c r="J8" i="10"/>
  <c r="K8" i="10" s="1"/>
  <c r="L8" i="10" s="1"/>
  <c r="M8" i="10" s="1"/>
  <c r="K18" i="10"/>
  <c r="L18" i="10" s="1"/>
  <c r="M18" i="10" s="1"/>
  <c r="N18" i="10" s="1"/>
  <c r="O18" i="10" s="1"/>
  <c r="P18" i="10" s="1"/>
  <c r="L22" i="10"/>
  <c r="M22" i="10" s="1"/>
  <c r="K25" i="10"/>
  <c r="L25" i="10" s="1"/>
  <c r="M25" i="10" s="1"/>
  <c r="N25" i="10" s="1"/>
  <c r="O25" i="10" s="1"/>
  <c r="P25" i="10" s="1"/>
  <c r="K33" i="10"/>
  <c r="L33" i="10" s="1"/>
  <c r="M33" i="10" s="1"/>
  <c r="N33" i="10" s="1"/>
  <c r="O33" i="10" s="1"/>
  <c r="P33" i="10" s="1"/>
  <c r="F35" i="2"/>
  <c r="F34" i="2"/>
  <c r="F33" i="2"/>
  <c r="F32" i="2"/>
  <c r="F31" i="2"/>
  <c r="F30" i="2"/>
  <c r="F29" i="2"/>
  <c r="F26" i="2"/>
  <c r="F25" i="2"/>
  <c r="F24" i="2"/>
  <c r="F23" i="2"/>
  <c r="F22" i="2"/>
  <c r="F21" i="2"/>
  <c r="F20" i="2"/>
  <c r="F17" i="2"/>
  <c r="F16" i="2"/>
  <c r="F15" i="2"/>
  <c r="F14" i="2"/>
  <c r="F13" i="2"/>
  <c r="F12" i="2"/>
  <c r="F11" i="2"/>
  <c r="J31" i="2" l="1"/>
  <c r="K31" i="2"/>
  <c r="M16" i="2"/>
  <c r="L16" i="2"/>
  <c r="K16" i="2"/>
  <c r="J16" i="2"/>
  <c r="N16" i="2"/>
  <c r="L26" i="2"/>
  <c r="K26" i="2"/>
  <c r="J26" i="2"/>
  <c r="M26" i="2"/>
  <c r="N26" i="2"/>
  <c r="O26" i="2"/>
  <c r="J13" i="2"/>
  <c r="K13" i="2"/>
  <c r="J17" i="2"/>
  <c r="M17" i="2"/>
  <c r="K17" i="2"/>
  <c r="L17" i="2"/>
  <c r="N17" i="2"/>
  <c r="O17" i="2"/>
  <c r="L23" i="2"/>
  <c r="K23" i="2"/>
  <c r="J23" i="2"/>
  <c r="L33" i="2"/>
  <c r="K33" i="2"/>
  <c r="J33" i="2"/>
  <c r="M33" i="2"/>
  <c r="L15" i="2"/>
  <c r="K15" i="2"/>
  <c r="J15" i="2"/>
  <c r="M15" i="2"/>
  <c r="K25" i="2"/>
  <c r="J25" i="2"/>
  <c r="L25" i="2"/>
  <c r="M25" i="2"/>
  <c r="N25" i="2"/>
  <c r="J35" i="2"/>
  <c r="K35" i="2"/>
  <c r="L35" i="2"/>
  <c r="M35" i="2"/>
  <c r="N35" i="2"/>
  <c r="O35" i="2"/>
  <c r="K22" i="2"/>
  <c r="J22" i="2"/>
  <c r="K32" i="2"/>
  <c r="J32" i="2"/>
  <c r="L32" i="2"/>
  <c r="K14" i="2"/>
  <c r="J14" i="2"/>
  <c r="L14" i="2"/>
  <c r="J24" i="2"/>
  <c r="M24" i="2"/>
  <c r="K24" i="2"/>
  <c r="L24" i="2"/>
  <c r="M34" i="2"/>
  <c r="L34" i="2"/>
  <c r="K34" i="2"/>
  <c r="J34" i="2"/>
  <c r="N34" i="2"/>
  <c r="J12" i="2"/>
  <c r="J30" i="2"/>
  <c r="J21" i="2"/>
  <c r="L11" i="8"/>
  <c r="V23" i="11"/>
  <c r="V24" i="11"/>
  <c r="J21" i="11"/>
  <c r="J32" i="11" s="1"/>
  <c r="M12" i="8"/>
  <c r="N12" i="8" s="1"/>
  <c r="O12" i="8" s="1"/>
  <c r="P12" i="8" s="1"/>
  <c r="O17" i="11"/>
  <c r="P17" i="11" s="1"/>
  <c r="V17" i="11"/>
  <c r="O18" i="11"/>
  <c r="P18" i="11" s="1"/>
  <c r="O19" i="11"/>
  <c r="P19" i="11" s="1"/>
  <c r="V19" i="11"/>
  <c r="M16" i="11"/>
  <c r="N22" i="10"/>
  <c r="K9" i="10"/>
  <c r="L9" i="10" s="1"/>
  <c r="M9" i="10" s="1"/>
  <c r="N9" i="10" s="1"/>
  <c r="O9" i="10" s="1"/>
  <c r="P9" i="10" s="1"/>
  <c r="N8" i="10"/>
  <c r="O8" i="10" s="1"/>
  <c r="P8" i="10" s="1"/>
  <c r="K40" i="8"/>
  <c r="K37" i="8"/>
  <c r="K34" i="8"/>
  <c r="L34" i="8" s="1"/>
  <c r="M34" i="8" s="1"/>
  <c r="N34" i="8" s="1"/>
  <c r="O34" i="8" s="1"/>
  <c r="P34" i="8" s="1"/>
  <c r="K31" i="8"/>
  <c r="L31" i="8" s="1"/>
  <c r="K17" i="7"/>
  <c r="L17" i="7" s="1"/>
  <c r="K11" i="7"/>
  <c r="L11" i="7" s="1"/>
  <c r="K7" i="7"/>
  <c r="L7" i="7" s="1"/>
  <c r="M11" i="8" l="1"/>
  <c r="M28" i="8"/>
  <c r="N16" i="11"/>
  <c r="V18" i="11"/>
  <c r="O22" i="10"/>
  <c r="P22" i="10" s="1"/>
  <c r="M31" i="8"/>
  <c r="L37" i="8"/>
  <c r="L40" i="8"/>
  <c r="M11" i="7"/>
  <c r="M7" i="7"/>
  <c r="M17" i="7"/>
  <c r="N11" i="8" l="1"/>
  <c r="N28" i="8"/>
  <c r="O28" i="8" s="1"/>
  <c r="O16" i="11"/>
  <c r="M37" i="8"/>
  <c r="N31" i="8"/>
  <c r="M40" i="8"/>
  <c r="N17" i="7"/>
  <c r="N11" i="7"/>
  <c r="N7" i="7"/>
  <c r="O11" i="8" l="1"/>
  <c r="P28" i="8"/>
  <c r="P16" i="11"/>
  <c r="N37" i="8"/>
  <c r="O31" i="8"/>
  <c r="N40" i="8"/>
  <c r="O11" i="7"/>
  <c r="O7" i="7"/>
  <c r="O17" i="7"/>
  <c r="P11" i="8" l="1"/>
  <c r="O37" i="8"/>
  <c r="P31" i="8"/>
  <c r="O40" i="8"/>
  <c r="P11" i="7"/>
  <c r="P7" i="7"/>
  <c r="P17" i="7"/>
  <c r="P40" i="8" l="1"/>
  <c r="P37" i="8"/>
  <c r="F16" i="5" l="1"/>
  <c r="J15" i="6"/>
  <c r="J6" i="6"/>
  <c r="J14" i="6" s="1"/>
  <c r="J13" i="6" l="1"/>
  <c r="J12" i="6" s="1"/>
  <c r="K7" i="6"/>
  <c r="K15" i="6" s="1"/>
  <c r="J46" i="1"/>
  <c r="J43" i="1"/>
  <c r="K26" i="1"/>
  <c r="L26" i="1" s="1"/>
  <c r="M26" i="1" s="1"/>
  <c r="N26" i="1" s="1"/>
  <c r="O26" i="1" s="1"/>
  <c r="P26" i="1" s="1"/>
  <c r="Q26" i="1" s="1"/>
  <c r="K6" i="6" l="1"/>
  <c r="L7" i="6" s="1"/>
  <c r="V22" i="11"/>
  <c r="N12" i="1"/>
  <c r="O12" i="1" s="1"/>
  <c r="P12" i="1" s="1"/>
  <c r="Q12" i="1" s="1"/>
  <c r="M11" i="1"/>
  <c r="N11" i="1" s="1"/>
  <c r="K10" i="1"/>
  <c r="J10" i="1"/>
  <c r="L10" i="1"/>
  <c r="O8" i="1"/>
  <c r="P8" i="1" s="1"/>
  <c r="Q8" i="1" s="1"/>
  <c r="K9" i="1"/>
  <c r="J7" i="1"/>
  <c r="K7" i="1" l="1"/>
  <c r="K6" i="1" s="1"/>
  <c r="L9" i="1"/>
  <c r="M9" i="1" s="1"/>
  <c r="N9" i="1" s="1"/>
  <c r="O9" i="1" s="1"/>
  <c r="P9" i="1" s="1"/>
  <c r="Q9" i="1" s="1"/>
  <c r="J6" i="1"/>
  <c r="K14" i="6"/>
  <c r="K13" i="6" s="1"/>
  <c r="K12" i="6" s="1"/>
  <c r="V16" i="11"/>
  <c r="L6" i="6"/>
  <c r="L15" i="6"/>
  <c r="M10" i="1"/>
  <c r="N10" i="1"/>
  <c r="O11" i="1"/>
  <c r="F11" i="5"/>
  <c r="F10" i="5"/>
  <c r="O15" i="2" l="1"/>
  <c r="L12" i="2"/>
  <c r="N14" i="2"/>
  <c r="K11" i="2"/>
  <c r="P16" i="2"/>
  <c r="M13" i="2"/>
  <c r="O16" i="2"/>
  <c r="L13" i="2"/>
  <c r="J11" i="2"/>
  <c r="N15" i="2"/>
  <c r="P17" i="2"/>
  <c r="M14" i="2"/>
  <c r="K12" i="2"/>
  <c r="K25" i="11"/>
  <c r="K27" i="12"/>
  <c r="L7" i="1"/>
  <c r="L6" i="1" s="1"/>
  <c r="M7" i="6"/>
  <c r="L14" i="6"/>
  <c r="L13" i="6" s="1"/>
  <c r="L12" i="6" s="1"/>
  <c r="M7" i="1"/>
  <c r="M6" i="1" s="1"/>
  <c r="O10" i="1"/>
  <c r="P11" i="1"/>
  <c r="N7" i="1"/>
  <c r="N6" i="1" s="1"/>
  <c r="L11" i="2" l="1"/>
  <c r="P15" i="2"/>
  <c r="M12" i="2"/>
  <c r="N13" i="2"/>
  <c r="O14" i="2"/>
  <c r="N12" i="2"/>
  <c r="O13" i="2"/>
  <c r="P14" i="2"/>
  <c r="M11" i="2"/>
  <c r="P13" i="2"/>
  <c r="N11" i="2"/>
  <c r="O12" i="2"/>
  <c r="L27" i="12"/>
  <c r="L25" i="11"/>
  <c r="K21" i="11"/>
  <c r="K32" i="11" s="1"/>
  <c r="M6" i="6"/>
  <c r="M15" i="6"/>
  <c r="P10" i="1"/>
  <c r="Q11" i="1"/>
  <c r="Q10" i="1" s="1"/>
  <c r="O7" i="1"/>
  <c r="O6" i="1" s="1"/>
  <c r="O11" i="2" l="1"/>
  <c r="P12" i="2"/>
  <c r="N7" i="6"/>
  <c r="M14" i="6"/>
  <c r="M13" i="6" s="1"/>
  <c r="M12" i="6" s="1"/>
  <c r="Q7" i="1"/>
  <c r="Q6" i="1" s="1"/>
  <c r="P7" i="1"/>
  <c r="P6" i="1" s="1"/>
  <c r="P11" i="2" s="1"/>
  <c r="M27" i="12" l="1"/>
  <c r="M25" i="11"/>
  <c r="N6" i="6"/>
  <c r="N15" i="6"/>
  <c r="K18" i="1"/>
  <c r="L18" i="1" s="1"/>
  <c r="M18" i="1" s="1"/>
  <c r="N18" i="1" s="1"/>
  <c r="O18" i="1" s="1"/>
  <c r="P18" i="1" s="1"/>
  <c r="Q18" i="1" s="1"/>
  <c r="O7" i="6" l="1"/>
  <c r="N14" i="6"/>
  <c r="N13" i="6" s="1"/>
  <c r="N12" i="6" s="1"/>
  <c r="J16" i="1"/>
  <c r="K17" i="1"/>
  <c r="N25" i="11" l="1"/>
  <c r="N27" i="12"/>
  <c r="O6" i="6"/>
  <c r="O15" i="6"/>
  <c r="L17" i="1"/>
  <c r="K16" i="1"/>
  <c r="J25" i="1"/>
  <c r="P7" i="6" l="1"/>
  <c r="O14" i="6"/>
  <c r="O13" i="6" s="1"/>
  <c r="O12" i="6" s="1"/>
  <c r="M17" i="1"/>
  <c r="L16" i="1"/>
  <c r="J35" i="1"/>
  <c r="K35" i="1" s="1"/>
  <c r="O25" i="11" l="1"/>
  <c r="O27" i="12"/>
  <c r="P6" i="6"/>
  <c r="P14" i="6" s="1"/>
  <c r="P15" i="6"/>
  <c r="N17" i="1"/>
  <c r="M16" i="1"/>
  <c r="J34" i="1"/>
  <c r="P13" i="6" l="1"/>
  <c r="P12" i="6" s="1"/>
  <c r="P27" i="12" s="1"/>
  <c r="V27" i="12" s="1"/>
  <c r="P13" i="10"/>
  <c r="P11" i="10" s="1"/>
  <c r="L13" i="10"/>
  <c r="L11" i="10" s="1"/>
  <c r="N13" i="10"/>
  <c r="N11" i="10" s="1"/>
  <c r="M13" i="10"/>
  <c r="M11" i="10" s="1"/>
  <c r="O13" i="10"/>
  <c r="O11" i="10" s="1"/>
  <c r="K13" i="10"/>
  <c r="K11" i="10" s="1"/>
  <c r="J13" i="10"/>
  <c r="J11" i="10" s="1"/>
  <c r="O17" i="1"/>
  <c r="N16" i="1"/>
  <c r="P25" i="11" l="1"/>
  <c r="V25" i="11" s="1"/>
  <c r="P17" i="1"/>
  <c r="O16" i="1"/>
  <c r="Q17" i="1" l="1"/>
  <c r="Q16" i="1" s="1"/>
  <c r="P16" i="1"/>
  <c r="K25" i="1" l="1"/>
  <c r="L25" i="1" s="1"/>
  <c r="M25" i="1" s="1"/>
  <c r="N25" i="1" s="1"/>
  <c r="O25" i="1" s="1"/>
  <c r="P25" i="1" s="1"/>
  <c r="Q25" i="1" s="1"/>
  <c r="J6" i="2" l="1"/>
  <c r="J8" i="8" l="1"/>
  <c r="J17" i="8" s="1"/>
  <c r="J14" i="8"/>
  <c r="J13" i="8"/>
  <c r="K6" i="2"/>
  <c r="J7" i="10"/>
  <c r="J6" i="10" s="1"/>
  <c r="J44" i="1"/>
  <c r="M23" i="1"/>
  <c r="N23" i="1" s="1"/>
  <c r="O23" i="1" s="1"/>
  <c r="P23" i="1" s="1"/>
  <c r="K28" i="1"/>
  <c r="L28" i="1" s="1"/>
  <c r="K30" i="1"/>
  <c r="L30" i="1" s="1"/>
  <c r="M30" i="1" s="1"/>
  <c r="N30" i="1" s="1"/>
  <c r="O30" i="1" s="1"/>
  <c r="P30" i="1" s="1"/>
  <c r="Q30" i="1" s="1"/>
  <c r="J27" i="1"/>
  <c r="J63" i="1" s="1"/>
  <c r="K29" i="1"/>
  <c r="L29" i="1" s="1"/>
  <c r="M29" i="1" s="1"/>
  <c r="N29" i="1" s="1"/>
  <c r="O29" i="1" s="1"/>
  <c r="P29" i="1" s="1"/>
  <c r="J15" i="8" l="1"/>
  <c r="J10" i="8" s="1"/>
  <c r="K8" i="8"/>
  <c r="K14" i="8" s="1"/>
  <c r="K15" i="8"/>
  <c r="K17" i="8"/>
  <c r="J21" i="10"/>
  <c r="K17" i="10"/>
  <c r="J16" i="10"/>
  <c r="L6" i="2"/>
  <c r="K7" i="10"/>
  <c r="K6" i="10" s="1"/>
  <c r="J57" i="1"/>
  <c r="J15" i="1"/>
  <c r="J14" i="1" s="1"/>
  <c r="J22" i="1"/>
  <c r="J21" i="1" s="1"/>
  <c r="J61" i="1"/>
  <c r="J64" i="1"/>
  <c r="J62" i="1" s="1"/>
  <c r="Q23" i="1"/>
  <c r="Q29" i="1"/>
  <c r="L27" i="1"/>
  <c r="L63" i="1" s="1"/>
  <c r="M28" i="1"/>
  <c r="K27" i="1"/>
  <c r="K63" i="1" s="1"/>
  <c r="K24" i="1"/>
  <c r="K60" i="1" s="1"/>
  <c r="J24" i="1"/>
  <c r="P26" i="2" l="1"/>
  <c r="O25" i="2"/>
  <c r="L22" i="2"/>
  <c r="J20" i="2"/>
  <c r="M23" i="2"/>
  <c r="N24" i="2"/>
  <c r="K21" i="2"/>
  <c r="J21" i="8"/>
  <c r="J19" i="8" s="1"/>
  <c r="J29" i="8" s="1"/>
  <c r="J27" i="8" s="1"/>
  <c r="J14" i="12" s="1"/>
  <c r="J25" i="8"/>
  <c r="J24" i="8" s="1"/>
  <c r="J13" i="12" s="1"/>
  <c r="K13" i="8"/>
  <c r="K10" i="8" s="1"/>
  <c r="L8" i="8"/>
  <c r="L14" i="8" s="1"/>
  <c r="J15" i="10"/>
  <c r="J23" i="10" s="1"/>
  <c r="J20" i="10" s="1"/>
  <c r="J15" i="11" s="1"/>
  <c r="M6" i="2"/>
  <c r="L7" i="10"/>
  <c r="L6" i="10" s="1"/>
  <c r="K16" i="10"/>
  <c r="K21" i="10"/>
  <c r="L17" i="10"/>
  <c r="K57" i="1"/>
  <c r="K15" i="1"/>
  <c r="K14" i="1" s="1"/>
  <c r="K64" i="1"/>
  <c r="K62" i="1" s="1"/>
  <c r="K61" i="1"/>
  <c r="K59" i="1" s="1"/>
  <c r="J20" i="1"/>
  <c r="J32" i="1" s="1"/>
  <c r="J60" i="1"/>
  <c r="J59" i="1" s="1"/>
  <c r="L24" i="1"/>
  <c r="L60" i="1" s="1"/>
  <c r="M27" i="1"/>
  <c r="M63" i="1" s="1"/>
  <c r="N28" i="1"/>
  <c r="K22" i="1"/>
  <c r="K21" i="1" s="1"/>
  <c r="K20" i="1" s="1"/>
  <c r="M22" i="2" l="1"/>
  <c r="O24" i="2"/>
  <c r="K20" i="2"/>
  <c r="N23" i="2"/>
  <c r="P25" i="2"/>
  <c r="L21" i="2"/>
  <c r="M32" i="2"/>
  <c r="P35" i="2"/>
  <c r="J29" i="2"/>
  <c r="N33" i="2"/>
  <c r="K30" i="2"/>
  <c r="L31" i="2"/>
  <c r="O34" i="2"/>
  <c r="L15" i="8"/>
  <c r="L13" i="8"/>
  <c r="L17" i="8"/>
  <c r="M8" i="8"/>
  <c r="M15" i="8" s="1"/>
  <c r="K15" i="10"/>
  <c r="K23" i="10" s="1"/>
  <c r="K25" i="8"/>
  <c r="K24" i="8" s="1"/>
  <c r="K13" i="12" s="1"/>
  <c r="K21" i="8"/>
  <c r="K19" i="8" s="1"/>
  <c r="K29" i="8" s="1"/>
  <c r="K27" i="8" s="1"/>
  <c r="K14" i="12" s="1"/>
  <c r="J14" i="11"/>
  <c r="J37" i="10"/>
  <c r="J29" i="10"/>
  <c r="J27" i="10" s="1"/>
  <c r="L21" i="10"/>
  <c r="M17" i="10"/>
  <c r="L16" i="10"/>
  <c r="L15" i="10" s="1"/>
  <c r="L23" i="10" s="1"/>
  <c r="N6" i="2"/>
  <c r="M7" i="10"/>
  <c r="M6" i="10" s="1"/>
  <c r="L57" i="1"/>
  <c r="K32" i="1"/>
  <c r="L15" i="1"/>
  <c r="L14" i="1" s="1"/>
  <c r="L61" i="1"/>
  <c r="L59" i="1" s="1"/>
  <c r="L64" i="1"/>
  <c r="L62" i="1" s="1"/>
  <c r="J56" i="1"/>
  <c r="J55" i="1" s="1"/>
  <c r="N27" i="1"/>
  <c r="N63" i="1" s="1"/>
  <c r="O28" i="1"/>
  <c r="L22" i="1"/>
  <c r="L21" i="1" s="1"/>
  <c r="L20" i="1" s="1"/>
  <c r="M24" i="1"/>
  <c r="M60" i="1" s="1"/>
  <c r="L10" i="8" l="1"/>
  <c r="L21" i="8" s="1"/>
  <c r="L19" i="8" s="1"/>
  <c r="L29" i="8" s="1"/>
  <c r="L27" i="8" s="1"/>
  <c r="L14" i="12" s="1"/>
  <c r="O23" i="2"/>
  <c r="L20" i="2"/>
  <c r="N22" i="2"/>
  <c r="P24" i="2"/>
  <c r="M21" i="2"/>
  <c r="O33" i="2"/>
  <c r="M31" i="2"/>
  <c r="N32" i="2"/>
  <c r="P34" i="2"/>
  <c r="L30" i="2"/>
  <c r="K29" i="2"/>
  <c r="M14" i="8"/>
  <c r="M17" i="8"/>
  <c r="M13" i="8"/>
  <c r="N8" i="8"/>
  <c r="N13" i="8" s="1"/>
  <c r="L25" i="8"/>
  <c r="L24" i="8" s="1"/>
  <c r="L13" i="12" s="1"/>
  <c r="J31" i="11"/>
  <c r="O6" i="2"/>
  <c r="N7" i="10"/>
  <c r="N6" i="10" s="1"/>
  <c r="K28" i="10"/>
  <c r="J32" i="10"/>
  <c r="J31" i="10" s="1"/>
  <c r="M16" i="10"/>
  <c r="M21" i="10"/>
  <c r="N17" i="10"/>
  <c r="M57" i="1"/>
  <c r="L32" i="1"/>
  <c r="M15" i="1"/>
  <c r="M14" i="1" s="1"/>
  <c r="J47" i="1"/>
  <c r="M61" i="1"/>
  <c r="M59" i="1" s="1"/>
  <c r="M64" i="1"/>
  <c r="M62" i="1" s="1"/>
  <c r="K47" i="1"/>
  <c r="K56" i="1"/>
  <c r="K55" i="1" s="1"/>
  <c r="O24" i="1"/>
  <c r="O60" i="1" s="1"/>
  <c r="P28" i="1"/>
  <c r="O27" i="1"/>
  <c r="O63" i="1" s="1"/>
  <c r="M22" i="1"/>
  <c r="M21" i="1" s="1"/>
  <c r="M20" i="1" s="1"/>
  <c r="N24" i="1"/>
  <c r="N60" i="1" s="1"/>
  <c r="M10" i="8" l="1"/>
  <c r="O32" i="2"/>
  <c r="M30" i="2"/>
  <c r="N31" i="2"/>
  <c r="L29" i="2"/>
  <c r="P33" i="2"/>
  <c r="N21" i="2"/>
  <c r="M20" i="2"/>
  <c r="P23" i="2"/>
  <c r="O22" i="2"/>
  <c r="N15" i="8"/>
  <c r="N14" i="8"/>
  <c r="N17" i="8"/>
  <c r="O8" i="8"/>
  <c r="O14" i="8" s="1"/>
  <c r="M15" i="10"/>
  <c r="M23" i="10" s="1"/>
  <c r="M25" i="8"/>
  <c r="M24" i="8" s="1"/>
  <c r="M13" i="12" s="1"/>
  <c r="M21" i="8"/>
  <c r="M19" i="8" s="1"/>
  <c r="M29" i="8" s="1"/>
  <c r="M27" i="8" s="1"/>
  <c r="M14" i="12" s="1"/>
  <c r="J8" i="11"/>
  <c r="J23" i="12"/>
  <c r="N21" i="10"/>
  <c r="O17" i="10"/>
  <c r="N16" i="10"/>
  <c r="K24" i="10"/>
  <c r="K20" i="10" s="1"/>
  <c r="K15" i="11" s="1"/>
  <c r="J38" i="10"/>
  <c r="J35" i="10" s="1"/>
  <c r="K36" i="10" s="1"/>
  <c r="P6" i="2"/>
  <c r="O7" i="10"/>
  <c r="O6" i="10" s="1"/>
  <c r="N57" i="1"/>
  <c r="O57" i="1"/>
  <c r="M32" i="1"/>
  <c r="O15" i="1"/>
  <c r="O14" i="1" s="1"/>
  <c r="N15" i="1"/>
  <c r="N14" i="1" s="1"/>
  <c r="O64" i="1"/>
  <c r="O62" i="1" s="1"/>
  <c r="O61" i="1"/>
  <c r="O59" i="1" s="1"/>
  <c r="N61" i="1"/>
  <c r="N59" i="1" s="1"/>
  <c r="N64" i="1"/>
  <c r="N62" i="1" s="1"/>
  <c r="L47" i="1"/>
  <c r="L56" i="1"/>
  <c r="L55" i="1" s="1"/>
  <c r="O22" i="1"/>
  <c r="O21" i="1" s="1"/>
  <c r="O20" i="1" s="1"/>
  <c r="P24" i="1"/>
  <c r="P60" i="1" s="1"/>
  <c r="Q28" i="1"/>
  <c r="Q27" i="1" s="1"/>
  <c r="Q63" i="1" s="1"/>
  <c r="P27" i="1"/>
  <c r="P63" i="1" s="1"/>
  <c r="N22" i="1"/>
  <c r="N21" i="1" s="1"/>
  <c r="N20" i="1" s="1"/>
  <c r="N10" i="8" l="1"/>
  <c r="N25" i="8" s="1"/>
  <c r="N24" i="8" s="1"/>
  <c r="N13" i="12" s="1"/>
  <c r="P21" i="2"/>
  <c r="O20" i="2"/>
  <c r="N30" i="2"/>
  <c r="M29" i="2"/>
  <c r="P32" i="2"/>
  <c r="O31" i="2"/>
  <c r="P22" i="2"/>
  <c r="O21" i="2"/>
  <c r="N20" i="2"/>
  <c r="O17" i="8"/>
  <c r="O15" i="8"/>
  <c r="O13" i="8"/>
  <c r="J28" i="2"/>
  <c r="J39" i="2" s="1"/>
  <c r="J10" i="2"/>
  <c r="J6" i="12" s="1"/>
  <c r="J19" i="2"/>
  <c r="K10" i="2"/>
  <c r="K6" i="12" s="1"/>
  <c r="L19" i="2"/>
  <c r="L10" i="2"/>
  <c r="L6" i="12" s="1"/>
  <c r="K19" i="2"/>
  <c r="M10" i="2"/>
  <c r="M6" i="12" s="1"/>
  <c r="N10" i="2"/>
  <c r="M19" i="2"/>
  <c r="L28" i="2"/>
  <c r="O10" i="2"/>
  <c r="K28" i="2"/>
  <c r="P10" i="2"/>
  <c r="P6" i="12" s="1"/>
  <c r="P7" i="10"/>
  <c r="P6" i="10" s="1"/>
  <c r="P16" i="10" s="1"/>
  <c r="P8" i="8"/>
  <c r="N15" i="10"/>
  <c r="N23" i="10" s="1"/>
  <c r="N21" i="8"/>
  <c r="N19" i="8" s="1"/>
  <c r="N29" i="8" s="1"/>
  <c r="N27" i="8" s="1"/>
  <c r="N14" i="12" s="1"/>
  <c r="K14" i="11"/>
  <c r="P17" i="10"/>
  <c r="O16" i="10"/>
  <c r="O21" i="10"/>
  <c r="P21" i="10"/>
  <c r="K29" i="10"/>
  <c r="K27" i="10" s="1"/>
  <c r="K37" i="10"/>
  <c r="O32" i="1"/>
  <c r="N32" i="1"/>
  <c r="P57" i="1"/>
  <c r="P15" i="1"/>
  <c r="P14" i="1" s="1"/>
  <c r="P20" i="2" s="1"/>
  <c r="P61" i="1"/>
  <c r="P59" i="1" s="1"/>
  <c r="P64" i="1"/>
  <c r="P62" i="1" s="1"/>
  <c r="M47" i="1"/>
  <c r="M56" i="1"/>
  <c r="M55" i="1" s="1"/>
  <c r="Q24" i="1"/>
  <c r="Q60" i="1" s="1"/>
  <c r="Q57" i="1"/>
  <c r="P22" i="1"/>
  <c r="P21" i="1" s="1"/>
  <c r="P20" i="1" s="1"/>
  <c r="O29" i="2" l="1"/>
  <c r="P30" i="2"/>
  <c r="P31" i="2"/>
  <c r="N29" i="2"/>
  <c r="O30" i="2"/>
  <c r="N6" i="12"/>
  <c r="N42" i="12" s="1"/>
  <c r="O6" i="12"/>
  <c r="O42" i="12" s="1"/>
  <c r="O10" i="8"/>
  <c r="O25" i="8" s="1"/>
  <c r="O24" i="8" s="1"/>
  <c r="O13" i="12" s="1"/>
  <c r="N41" i="8"/>
  <c r="N39" i="8" s="1"/>
  <c r="N18" i="12" s="1"/>
  <c r="O15" i="7"/>
  <c r="N10" i="7"/>
  <c r="N9" i="7" s="1"/>
  <c r="N21" i="7" s="1"/>
  <c r="O38" i="8"/>
  <c r="O36" i="8" s="1"/>
  <c r="O17" i="12" s="1"/>
  <c r="N19" i="2"/>
  <c r="N16" i="7" s="1"/>
  <c r="O35" i="8"/>
  <c r="O33" i="8" s="1"/>
  <c r="O16" i="12" s="1"/>
  <c r="O6" i="7"/>
  <c r="O5" i="7" s="1"/>
  <c r="O20" i="7" s="1"/>
  <c r="O32" i="8"/>
  <c r="O30" i="8" s="1"/>
  <c r="O15" i="12" s="1"/>
  <c r="J10" i="12"/>
  <c r="J21" i="12" s="1"/>
  <c r="O10" i="7"/>
  <c r="O9" i="7" s="1"/>
  <c r="O21" i="7" s="1"/>
  <c r="O41" i="8"/>
  <c r="O39" i="8" s="1"/>
  <c r="O18" i="12" s="1"/>
  <c r="K16" i="7"/>
  <c r="K8" i="12"/>
  <c r="L35" i="8"/>
  <c r="L33" i="8" s="1"/>
  <c r="L16" i="12" s="1"/>
  <c r="L10" i="7"/>
  <c r="L9" i="7" s="1"/>
  <c r="L38" i="8"/>
  <c r="L36" i="8" s="1"/>
  <c r="L17" i="12" s="1"/>
  <c r="L41" i="8"/>
  <c r="L39" i="8" s="1"/>
  <c r="L18" i="12" s="1"/>
  <c r="L54" i="12" s="1"/>
  <c r="L15" i="7"/>
  <c r="L32" i="8"/>
  <c r="L30" i="8" s="1"/>
  <c r="L6" i="7"/>
  <c r="L5" i="7" s="1"/>
  <c r="M16" i="7"/>
  <c r="M8" i="12"/>
  <c r="J41" i="8"/>
  <c r="J39" i="8" s="1"/>
  <c r="J18" i="12" s="1"/>
  <c r="J10" i="7"/>
  <c r="J9" i="7" s="1"/>
  <c r="J6" i="7"/>
  <c r="J5" i="7" s="1"/>
  <c r="J38" i="8"/>
  <c r="J36" i="8" s="1"/>
  <c r="J17" i="12" s="1"/>
  <c r="J53" i="12" s="1"/>
  <c r="J15" i="7"/>
  <c r="J32" i="8"/>
  <c r="J30" i="8" s="1"/>
  <c r="J35" i="8"/>
  <c r="J33" i="8" s="1"/>
  <c r="J16" i="12" s="1"/>
  <c r="K41" i="8"/>
  <c r="K39" i="8" s="1"/>
  <c r="K18" i="12" s="1"/>
  <c r="K6" i="7"/>
  <c r="K5" i="7" s="1"/>
  <c r="K32" i="8"/>
  <c r="K30" i="8" s="1"/>
  <c r="K15" i="7"/>
  <c r="K38" i="8"/>
  <c r="K36" i="8" s="1"/>
  <c r="K17" i="12" s="1"/>
  <c r="K10" i="7"/>
  <c r="K9" i="7" s="1"/>
  <c r="K35" i="8"/>
  <c r="K33" i="8" s="1"/>
  <c r="K16" i="12" s="1"/>
  <c r="N35" i="8"/>
  <c r="N33" i="8" s="1"/>
  <c r="N16" i="12" s="1"/>
  <c r="M35" i="8"/>
  <c r="M33" i="8" s="1"/>
  <c r="M16" i="12" s="1"/>
  <c r="M6" i="7"/>
  <c r="M5" i="7" s="1"/>
  <c r="M10" i="7"/>
  <c r="M9" i="7" s="1"/>
  <c r="M32" i="8"/>
  <c r="M30" i="8" s="1"/>
  <c r="M15" i="7"/>
  <c r="M38" i="8"/>
  <c r="M36" i="8" s="1"/>
  <c r="M17" i="12" s="1"/>
  <c r="M41" i="8"/>
  <c r="M39" i="8" s="1"/>
  <c r="M18" i="12" s="1"/>
  <c r="L8" i="12"/>
  <c r="L16" i="7"/>
  <c r="N6" i="7"/>
  <c r="N5" i="7" s="1"/>
  <c r="O10" i="11" s="1"/>
  <c r="N32" i="8"/>
  <c r="N30" i="8" s="1"/>
  <c r="N15" i="7"/>
  <c r="N38" i="8"/>
  <c r="N36" i="8" s="1"/>
  <c r="N17" i="12" s="1"/>
  <c r="J16" i="7"/>
  <c r="J8" i="12"/>
  <c r="P14" i="8"/>
  <c r="P13" i="8"/>
  <c r="P17" i="8"/>
  <c r="P15" i="8"/>
  <c r="O15" i="10"/>
  <c r="O23" i="10" s="1"/>
  <c r="P15" i="10"/>
  <c r="P23" i="10" s="1"/>
  <c r="K39" i="2"/>
  <c r="K10" i="12"/>
  <c r="K21" i="12" s="1"/>
  <c r="L39" i="2"/>
  <c r="L10" i="12"/>
  <c r="L21" i="12" s="1"/>
  <c r="P19" i="2"/>
  <c r="P42" i="12"/>
  <c r="K31" i="11"/>
  <c r="L28" i="10"/>
  <c r="K32" i="10"/>
  <c r="K31" i="10" s="1"/>
  <c r="O19" i="2"/>
  <c r="P41" i="8"/>
  <c r="P39" i="8" s="1"/>
  <c r="P18" i="12" s="1"/>
  <c r="P54" i="12" s="1"/>
  <c r="P35" i="8"/>
  <c r="P33" i="8" s="1"/>
  <c r="P16" i="12" s="1"/>
  <c r="P52" i="12" s="1"/>
  <c r="P32" i="8"/>
  <c r="P30" i="8" s="1"/>
  <c r="P38" i="8"/>
  <c r="P36" i="8" s="1"/>
  <c r="P17" i="12" s="1"/>
  <c r="P53" i="12" s="1"/>
  <c r="P15" i="7"/>
  <c r="P10" i="7"/>
  <c r="P9" i="7" s="1"/>
  <c r="P6" i="7"/>
  <c r="P5" i="7" s="1"/>
  <c r="P32" i="1"/>
  <c r="P29" i="2" s="1"/>
  <c r="Q15" i="1"/>
  <c r="Q14" i="1" s="1"/>
  <c r="Q61" i="1"/>
  <c r="Q59" i="1" s="1"/>
  <c r="Q64" i="1"/>
  <c r="Q62" i="1" s="1"/>
  <c r="M28" i="2"/>
  <c r="O47" i="1"/>
  <c r="O56" i="1"/>
  <c r="O55" i="1" s="1"/>
  <c r="N47" i="1"/>
  <c r="J50" i="1" s="1"/>
  <c r="N56" i="1"/>
  <c r="N55" i="1" s="1"/>
  <c r="Q22" i="1"/>
  <c r="Q21" i="1" s="1"/>
  <c r="Q20" i="1" s="1"/>
  <c r="N49" i="12" l="1"/>
  <c r="N52" i="12"/>
  <c r="O52" i="12"/>
  <c r="M14" i="7"/>
  <c r="M13" i="7" s="1"/>
  <c r="M22" i="7" s="1"/>
  <c r="N50" i="12"/>
  <c r="N54" i="12"/>
  <c r="K14" i="7"/>
  <c r="K13" i="7" s="1"/>
  <c r="K22" i="7" s="1"/>
  <c r="N53" i="12"/>
  <c r="O54" i="12"/>
  <c r="O53" i="12"/>
  <c r="O49" i="12"/>
  <c r="O21" i="8"/>
  <c r="O19" i="8" s="1"/>
  <c r="O29" i="8" s="1"/>
  <c r="O27" i="8" s="1"/>
  <c r="O14" i="12" s="1"/>
  <c r="O50" i="12" s="1"/>
  <c r="N11" i="11"/>
  <c r="N23" i="8"/>
  <c r="N40" i="2" s="1"/>
  <c r="N8" i="12"/>
  <c r="N43" i="12" s="1"/>
  <c r="N15" i="12"/>
  <c r="N12" i="12" s="1"/>
  <c r="N22" i="12" s="1"/>
  <c r="N10" i="11"/>
  <c r="V6" i="12"/>
  <c r="V42" i="12" s="1"/>
  <c r="J43" i="12"/>
  <c r="K53" i="12"/>
  <c r="K54" i="12"/>
  <c r="J54" i="12"/>
  <c r="O11" i="11"/>
  <c r="K52" i="12"/>
  <c r="J52" i="12"/>
  <c r="L43" i="12"/>
  <c r="N14" i="7"/>
  <c r="N13" i="7" s="1"/>
  <c r="J14" i="7"/>
  <c r="J13" i="7" s="1"/>
  <c r="J22" i="7" s="1"/>
  <c r="L53" i="12"/>
  <c r="M53" i="12"/>
  <c r="M48" i="12"/>
  <c r="L52" i="12"/>
  <c r="L14" i="7"/>
  <c r="L13" i="7" s="1"/>
  <c r="M52" i="12"/>
  <c r="K21" i="7"/>
  <c r="K11" i="11"/>
  <c r="K20" i="7"/>
  <c r="K10" i="11"/>
  <c r="J15" i="12"/>
  <c r="J23" i="8"/>
  <c r="J40" i="2" s="1"/>
  <c r="J38" i="2" s="1"/>
  <c r="J11" i="11"/>
  <c r="J21" i="7"/>
  <c r="L49" i="12"/>
  <c r="L42" i="12"/>
  <c r="L50" i="12"/>
  <c r="L48" i="12"/>
  <c r="M10" i="11"/>
  <c r="M20" i="7"/>
  <c r="K15" i="12"/>
  <c r="K23" i="8"/>
  <c r="K40" i="2" s="1"/>
  <c r="K38" i="2" s="1"/>
  <c r="N20" i="7"/>
  <c r="M43" i="12"/>
  <c r="M15" i="12"/>
  <c r="M23" i="8"/>
  <c r="M40" i="2" s="1"/>
  <c r="M42" i="12"/>
  <c r="M50" i="12"/>
  <c r="M49" i="12"/>
  <c r="L10" i="11"/>
  <c r="L20" i="7"/>
  <c r="K43" i="12"/>
  <c r="J20" i="7"/>
  <c r="J10" i="11"/>
  <c r="M54" i="12"/>
  <c r="M11" i="11"/>
  <c r="M21" i="7"/>
  <c r="K42" i="12"/>
  <c r="K49" i="12"/>
  <c r="K50" i="12"/>
  <c r="K48" i="12"/>
  <c r="J49" i="12"/>
  <c r="J42" i="12"/>
  <c r="J50" i="12"/>
  <c r="J48" i="12"/>
  <c r="J55" i="12"/>
  <c r="L15" i="12"/>
  <c r="L23" i="8"/>
  <c r="L40" i="2" s="1"/>
  <c r="L38" i="2" s="1"/>
  <c r="L21" i="7"/>
  <c r="L11" i="11"/>
  <c r="P10" i="8"/>
  <c r="O51" i="12"/>
  <c r="P16" i="7"/>
  <c r="P14" i="7" s="1"/>
  <c r="P13" i="7" s="1"/>
  <c r="P22" i="7" s="1"/>
  <c r="P8" i="12"/>
  <c r="O16" i="7"/>
  <c r="O14" i="7" s="1"/>
  <c r="O13" i="7" s="1"/>
  <c r="O22" i="7" s="1"/>
  <c r="O19" i="7" s="1"/>
  <c r="O8" i="12"/>
  <c r="M39" i="2"/>
  <c r="M10" i="12"/>
  <c r="P15" i="12"/>
  <c r="P20" i="7"/>
  <c r="P10" i="11"/>
  <c r="P21" i="7"/>
  <c r="P11" i="11"/>
  <c r="K8" i="11"/>
  <c r="K23" i="12"/>
  <c r="L24" i="10"/>
  <c r="L20" i="10" s="1"/>
  <c r="L15" i="11" s="1"/>
  <c r="K38" i="10"/>
  <c r="K35" i="10" s="1"/>
  <c r="L36" i="10" s="1"/>
  <c r="J53" i="1"/>
  <c r="Q32" i="1"/>
  <c r="N28" i="2"/>
  <c r="P47" i="1"/>
  <c r="P56" i="1"/>
  <c r="P55" i="1" s="1"/>
  <c r="O23" i="8" l="1"/>
  <c r="O40" i="2" s="1"/>
  <c r="O12" i="12"/>
  <c r="O22" i="12" s="1"/>
  <c r="N12" i="11"/>
  <c r="N48" i="12"/>
  <c r="N22" i="7"/>
  <c r="N19" i="7" s="1"/>
  <c r="N51" i="12"/>
  <c r="J19" i="7"/>
  <c r="K12" i="11"/>
  <c r="V11" i="11"/>
  <c r="M38" i="2"/>
  <c r="J12" i="11"/>
  <c r="M19" i="7"/>
  <c r="K19" i="7"/>
  <c r="L51" i="12"/>
  <c r="L12" i="12"/>
  <c r="L22" i="12" s="1"/>
  <c r="M51" i="12"/>
  <c r="M12" i="12"/>
  <c r="M22" i="12" s="1"/>
  <c r="K12" i="12"/>
  <c r="K22" i="12" s="1"/>
  <c r="K20" i="12" s="1"/>
  <c r="K30" i="12" s="1"/>
  <c r="K51" i="12"/>
  <c r="L22" i="7"/>
  <c r="L19" i="7" s="1"/>
  <c r="L12" i="11"/>
  <c r="M12" i="11"/>
  <c r="J51" i="12"/>
  <c r="J47" i="12" s="1"/>
  <c r="J12" i="12"/>
  <c r="J22" i="12" s="1"/>
  <c r="J20" i="12" s="1"/>
  <c r="J44" i="12" s="1"/>
  <c r="V10" i="11"/>
  <c r="V8" i="12"/>
  <c r="V43" i="12" s="1"/>
  <c r="P25" i="8"/>
  <c r="P24" i="8" s="1"/>
  <c r="P21" i="8"/>
  <c r="P19" i="8" s="1"/>
  <c r="P29" i="8" s="1"/>
  <c r="P27" i="8" s="1"/>
  <c r="P14" i="12" s="1"/>
  <c r="P50" i="12" s="1"/>
  <c r="P19" i="7"/>
  <c r="K55" i="12"/>
  <c r="P51" i="12"/>
  <c r="P12" i="11"/>
  <c r="O12" i="11"/>
  <c r="P43" i="12"/>
  <c r="P48" i="12"/>
  <c r="N39" i="2"/>
  <c r="N38" i="2" s="1"/>
  <c r="N10" i="12"/>
  <c r="N21" i="12" s="1"/>
  <c r="M21" i="12"/>
  <c r="O48" i="12"/>
  <c r="O43" i="12"/>
  <c r="L14" i="11"/>
  <c r="L37" i="10"/>
  <c r="L29" i="10"/>
  <c r="L27" i="10" s="1"/>
  <c r="P28" i="2"/>
  <c r="O28" i="2"/>
  <c r="Q47" i="1"/>
  <c r="Q56" i="1"/>
  <c r="Q55" i="1" s="1"/>
  <c r="K47" i="12" l="1"/>
  <c r="J30" i="12"/>
  <c r="V12" i="11"/>
  <c r="K44" i="12"/>
  <c r="P13" i="12"/>
  <c r="P23" i="8"/>
  <c r="P40" i="2" s="1"/>
  <c r="O39" i="2"/>
  <c r="O38" i="2" s="1"/>
  <c r="O10" i="12"/>
  <c r="P39" i="2"/>
  <c r="P10" i="12"/>
  <c r="P21" i="12" s="1"/>
  <c r="L31" i="11"/>
  <c r="M28" i="10"/>
  <c r="L32" i="10"/>
  <c r="L31" i="10" s="1"/>
  <c r="P38" i="2" l="1"/>
  <c r="P49" i="12"/>
  <c r="P12" i="12"/>
  <c r="O21" i="12"/>
  <c r="V21" i="12" s="1"/>
  <c r="V10" i="12"/>
  <c r="L8" i="11"/>
  <c r="L23" i="12"/>
  <c r="L38" i="10"/>
  <c r="L35" i="10" s="1"/>
  <c r="M36" i="10" s="1"/>
  <c r="M24" i="10"/>
  <c r="M20" i="10" s="1"/>
  <c r="M15" i="11" s="1"/>
  <c r="V12" i="12" l="1"/>
  <c r="P22" i="12"/>
  <c r="V22" i="12" s="1"/>
  <c r="L20" i="12"/>
  <c r="L30" i="12" s="1"/>
  <c r="L55" i="12"/>
  <c r="L47" i="12" s="1"/>
  <c r="M14" i="11"/>
  <c r="M29" i="10"/>
  <c r="M27" i="10" s="1"/>
  <c r="M37" i="10"/>
  <c r="L44" i="12" l="1"/>
  <c r="M31" i="11"/>
  <c r="N28" i="10"/>
  <c r="M32" i="10"/>
  <c r="M31" i="10" s="1"/>
  <c r="M8" i="11" l="1"/>
  <c r="M23" i="12"/>
  <c r="M38" i="10"/>
  <c r="M35" i="10" s="1"/>
  <c r="N36" i="10" s="1"/>
  <c r="N24" i="10"/>
  <c r="N20" i="10" s="1"/>
  <c r="N15" i="11" s="1"/>
  <c r="M20" i="12" l="1"/>
  <c r="M30" i="12" s="1"/>
  <c r="M55" i="12"/>
  <c r="M47" i="12" s="1"/>
  <c r="N14" i="11"/>
  <c r="N29" i="10"/>
  <c r="N27" i="10" s="1"/>
  <c r="N37" i="10"/>
  <c r="M44" i="12" l="1"/>
  <c r="N31" i="11"/>
  <c r="N32" i="10"/>
  <c r="N31" i="10" s="1"/>
  <c r="O28" i="10"/>
  <c r="N8" i="11" l="1"/>
  <c r="N23" i="12"/>
  <c r="O24" i="10"/>
  <c r="O20" i="10" s="1"/>
  <c r="O15" i="11" s="1"/>
  <c r="O14" i="11" s="1"/>
  <c r="O31" i="11" s="1"/>
  <c r="N38" i="10"/>
  <c r="N35" i="10" s="1"/>
  <c r="O36" i="10" s="1"/>
  <c r="N20" i="12" l="1"/>
  <c r="N30" i="12" s="1"/>
  <c r="N55" i="12"/>
  <c r="N47" i="12" s="1"/>
  <c r="O37" i="10"/>
  <c r="O29" i="10"/>
  <c r="O27" i="10" s="1"/>
  <c r="N44" i="12" l="1"/>
  <c r="P28" i="10"/>
  <c r="O32" i="10"/>
  <c r="O31" i="10" s="1"/>
  <c r="O8" i="11" l="1"/>
  <c r="O23" i="12"/>
  <c r="P24" i="10"/>
  <c r="P20" i="10" s="1"/>
  <c r="P15" i="11" s="1"/>
  <c r="O38" i="10"/>
  <c r="O35" i="10" s="1"/>
  <c r="P36" i="10" s="1"/>
  <c r="O20" i="12" l="1"/>
  <c r="O30" i="12" s="1"/>
  <c r="O55" i="12"/>
  <c r="O47" i="12" s="1"/>
  <c r="P14" i="11"/>
  <c r="V15" i="11"/>
  <c r="P29" i="10"/>
  <c r="P27" i="10" s="1"/>
  <c r="P32" i="10" s="1"/>
  <c r="P31" i="10" s="1"/>
  <c r="P23" i="12" s="1"/>
  <c r="P37" i="10"/>
  <c r="O44" i="12" l="1"/>
  <c r="P20" i="12"/>
  <c r="P44" i="12" s="1"/>
  <c r="P55" i="12"/>
  <c r="P47" i="12" s="1"/>
  <c r="P38" i="10"/>
  <c r="P35" i="10" s="1"/>
  <c r="P8" i="11"/>
  <c r="P31" i="11"/>
  <c r="V14" i="11"/>
  <c r="V20" i="12" l="1"/>
  <c r="V44" i="12" s="1"/>
  <c r="P30" i="12"/>
  <c r="V30" i="12" s="1"/>
  <c r="V8" i="11"/>
  <c r="V31" i="11"/>
  <c r="J21" i="6" l="1"/>
  <c r="J20" i="6" s="1"/>
  <c r="J26" i="12" s="1"/>
  <c r="J25" i="12" l="1"/>
  <c r="J9" i="11" s="1"/>
  <c r="J31" i="12" l="1"/>
  <c r="J29" i="12" l="1"/>
  <c r="J34" i="12" l="1"/>
  <c r="J38" i="12"/>
  <c r="J33" i="12" l="1"/>
  <c r="J39" i="12" l="1"/>
  <c r="J37" i="12" l="1"/>
  <c r="J7" i="11" l="1"/>
  <c r="J45" i="12"/>
  <c r="J6" i="11" l="1"/>
  <c r="J30" i="11" s="1"/>
  <c r="J29" i="11" l="1"/>
  <c r="J36" i="11" l="1"/>
  <c r="J34" i="11" s="1"/>
  <c r="K23" i="6" s="1"/>
  <c r="L22" i="6" s="1"/>
  <c r="K35" i="11" l="1"/>
  <c r="K21" i="6"/>
  <c r="K20" i="6" l="1"/>
  <c r="K26" i="12" l="1"/>
  <c r="K25" i="12" s="1"/>
  <c r="K9" i="11" s="1"/>
  <c r="L26" i="11"/>
  <c r="L21" i="11" s="1"/>
  <c r="L32" i="11" s="1"/>
  <c r="K31" i="12" l="1"/>
  <c r="K29" i="12" s="1"/>
  <c r="K38" i="12" l="1"/>
  <c r="K34" i="12"/>
  <c r="K33" i="12" l="1"/>
  <c r="K39" i="12" l="1"/>
  <c r="K37" i="12" l="1"/>
  <c r="K7" i="11" s="1"/>
  <c r="K6" i="11" l="1"/>
  <c r="K30" i="11" s="1"/>
  <c r="K45" i="12"/>
  <c r="K29" i="11" l="1"/>
  <c r="K36" i="11" l="1"/>
  <c r="K34" i="11" s="1"/>
  <c r="L23" i="6" l="1"/>
  <c r="L35" i="11"/>
  <c r="M22" i="6" l="1"/>
  <c r="L21" i="6"/>
  <c r="L20" i="6" l="1"/>
  <c r="L26" i="12" l="1"/>
  <c r="L25" i="12" s="1"/>
  <c r="L9" i="11" s="1"/>
  <c r="M26" i="11"/>
  <c r="M21" i="11" s="1"/>
  <c r="L31" i="12" l="1"/>
  <c r="L29" i="12" s="1"/>
  <c r="M32" i="11"/>
  <c r="L38" i="12" l="1"/>
  <c r="L34" i="12"/>
  <c r="L33" i="12" l="1"/>
  <c r="L39" i="12" l="1"/>
  <c r="L37" i="12" l="1"/>
  <c r="L7" i="11" l="1"/>
  <c r="L45" i="12"/>
  <c r="L6" i="11" l="1"/>
  <c r="L30" i="11" s="1"/>
  <c r="L29" i="11" l="1"/>
  <c r="L36" i="11" l="1"/>
  <c r="L34" i="11" s="1"/>
  <c r="M23" i="6" l="1"/>
  <c r="M35" i="11"/>
  <c r="N22" i="6" l="1"/>
  <c r="M21" i="6"/>
  <c r="M20" i="6" l="1"/>
  <c r="M26" i="12" l="1"/>
  <c r="M25" i="12" s="1"/>
  <c r="M9" i="11" s="1"/>
  <c r="N26" i="11"/>
  <c r="N21" i="11" s="1"/>
  <c r="M31" i="12" l="1"/>
  <c r="M29" i="12" s="1"/>
  <c r="N32" i="11"/>
  <c r="M34" i="12" l="1"/>
  <c r="M38" i="12"/>
  <c r="M33" i="12" l="1"/>
  <c r="M39" i="12" l="1"/>
  <c r="M37" i="12" l="1"/>
  <c r="M45" i="12" l="1"/>
  <c r="M7" i="11"/>
  <c r="M6" i="11" l="1"/>
  <c r="M30" i="11" s="1"/>
  <c r="M29" i="11" l="1"/>
  <c r="M36" i="11" l="1"/>
  <c r="M34" i="11" s="1"/>
  <c r="N23" i="6" l="1"/>
  <c r="N35" i="11"/>
  <c r="O22" i="6" l="1"/>
  <c r="N21" i="6"/>
  <c r="N20" i="6" l="1"/>
  <c r="N26" i="12" l="1"/>
  <c r="N25" i="12" s="1"/>
  <c r="N9" i="11" s="1"/>
  <c r="O26" i="11"/>
  <c r="O21" i="11" s="1"/>
  <c r="N31" i="12" l="1"/>
  <c r="N29" i="12" s="1"/>
  <c r="O32" i="11"/>
  <c r="N34" i="12" l="1"/>
  <c r="N38" i="12"/>
  <c r="N33" i="12" l="1"/>
  <c r="N39" i="12" l="1"/>
  <c r="N37" i="12" l="1"/>
  <c r="N45" i="12" l="1"/>
  <c r="N7" i="11"/>
  <c r="N6" i="11" l="1"/>
  <c r="N30" i="11" s="1"/>
  <c r="N29" i="11" l="1"/>
  <c r="N36" i="11" l="1"/>
  <c r="N34" i="11" s="1"/>
  <c r="O23" i="6" l="1"/>
  <c r="O35" i="11"/>
  <c r="P22" i="6" l="1"/>
  <c r="O21" i="6"/>
  <c r="O20" i="6" l="1"/>
  <c r="O26" i="12" l="1"/>
  <c r="O25" i="12" s="1"/>
  <c r="O9" i="11" s="1"/>
  <c r="P26" i="11"/>
  <c r="P21" i="11" s="1"/>
  <c r="O31" i="12" l="1"/>
  <c r="O29" i="12" s="1"/>
  <c r="V26" i="11"/>
  <c r="P32" i="11"/>
  <c r="V32" i="11" s="1"/>
  <c r="V21" i="11"/>
  <c r="O34" i="12" l="1"/>
  <c r="O38" i="12"/>
  <c r="O33" i="12" l="1"/>
  <c r="O39" i="12" l="1"/>
  <c r="O37" i="12" l="1"/>
  <c r="O45" i="12" l="1"/>
  <c r="O7" i="11"/>
  <c r="O6" i="11" l="1"/>
  <c r="O30" i="11" s="1"/>
  <c r="O29" i="11" l="1"/>
  <c r="O36" i="11" l="1"/>
  <c r="O34" i="11" s="1"/>
  <c r="P23" i="6" l="1"/>
  <c r="P35" i="11"/>
  <c r="P21" i="6" l="1"/>
  <c r="P20" i="6" s="1"/>
  <c r="P26" i="12" s="1"/>
  <c r="P25" i="12" l="1"/>
  <c r="P9" i="11" s="1"/>
  <c r="V9" i="11" s="1"/>
  <c r="V26" i="12"/>
  <c r="P31" i="12" l="1"/>
  <c r="V25" i="12"/>
  <c r="P29" i="12" l="1"/>
  <c r="V31" i="12"/>
  <c r="V29" i="12" l="1"/>
  <c r="P38" i="12"/>
  <c r="P34" i="12"/>
  <c r="P33" i="12" l="1"/>
  <c r="V34" i="12"/>
  <c r="V38" i="12"/>
  <c r="P39" i="12" l="1"/>
  <c r="V33" i="12"/>
  <c r="V39" i="12" l="1"/>
  <c r="P37" i="12"/>
  <c r="P45" i="12" l="1"/>
  <c r="P7" i="11"/>
  <c r="V37" i="12"/>
  <c r="V45" i="12" s="1"/>
  <c r="P6" i="11" l="1"/>
  <c r="P30" i="11" s="1"/>
  <c r="V7" i="11"/>
  <c r="V6" i="11" s="1"/>
  <c r="P29" i="11" l="1"/>
  <c r="V30" i="11"/>
  <c r="P36" i="11" l="1"/>
  <c r="P34" i="11" s="1"/>
  <c r="V29" i="11"/>
</calcChain>
</file>

<file path=xl/sharedStrings.xml><?xml version="1.0" encoding="utf-8"?>
<sst xmlns="http://schemas.openxmlformats.org/spreadsheetml/2006/main" count="528" uniqueCount="219">
  <si>
    <t>Revenues</t>
  </si>
  <si>
    <t>Year 1</t>
  </si>
  <si>
    <t>Year 2</t>
  </si>
  <si>
    <t>Size</t>
  </si>
  <si>
    <t>Gross Margin</t>
  </si>
  <si>
    <t>Operational costs</t>
  </si>
  <si>
    <t>Royalties</t>
  </si>
  <si>
    <t>Rent</t>
  </si>
  <si>
    <t>Labour</t>
  </si>
  <si>
    <t>Marketing activities</t>
  </si>
  <si>
    <t>Number of FTE</t>
  </si>
  <si>
    <t>Cost per FTE</t>
  </si>
  <si>
    <t>[FTE]</t>
  </si>
  <si>
    <t>Rent per sqm</t>
  </si>
  <si>
    <t>% Rolayties</t>
  </si>
  <si>
    <t>Investment needed</t>
  </si>
  <si>
    <t>Design</t>
  </si>
  <si>
    <t>Construction</t>
  </si>
  <si>
    <t>[sqm]</t>
  </si>
  <si>
    <t>[%]</t>
  </si>
  <si>
    <t>EBITDA store level</t>
  </si>
  <si>
    <t>Furniture, visual and appliances</t>
  </si>
  <si>
    <t>IT system</t>
  </si>
  <si>
    <t>Visual merchandising materials</t>
  </si>
  <si>
    <t>Marketing materials</t>
  </si>
  <si>
    <t>Year 3</t>
  </si>
  <si>
    <t>Year 4</t>
  </si>
  <si>
    <t>Year 5</t>
  </si>
  <si>
    <t>Inventory</t>
  </si>
  <si>
    <t>Inventory in COGS per sqm</t>
  </si>
  <si>
    <t>Year 6</t>
  </si>
  <si>
    <t>Year 7</t>
  </si>
  <si>
    <t>% EBITDA store level</t>
  </si>
  <si>
    <t>EBITDA from shops by cohorts</t>
  </si>
  <si>
    <t>Total EBITDA</t>
  </si>
  <si>
    <t>% Discounts</t>
  </si>
  <si>
    <t>Sales</t>
  </si>
  <si>
    <t>Other</t>
  </si>
  <si>
    <t>% to Sales</t>
  </si>
  <si>
    <t>Rent as % of Sales</t>
  </si>
  <si>
    <t>Total per sq m</t>
  </si>
  <si>
    <t>Number of meters</t>
  </si>
  <si>
    <t>Staff</t>
  </si>
  <si>
    <t>Staff as % of Sales</t>
  </si>
  <si>
    <t>% Gross Margin</t>
  </si>
  <si>
    <t>['000 USD]</t>
  </si>
  <si>
    <t>[USD/sqm]</t>
  </si>
  <si>
    <t>['000 USD/FTE]</t>
  </si>
  <si>
    <t>Business model for a single shop run as franchising</t>
  </si>
  <si>
    <t>Revenue from shops by cohorts</t>
  </si>
  <si>
    <t>VM Specialist</t>
  </si>
  <si>
    <t>Marketing specialist</t>
  </si>
  <si>
    <t>Store design specialist</t>
  </si>
  <si>
    <t>Logistics</t>
  </si>
  <si>
    <t>% of Sales</t>
  </si>
  <si>
    <t>Travel</t>
  </si>
  <si>
    <t>Marketing costs</t>
  </si>
  <si>
    <t>Other costs</t>
  </si>
  <si>
    <t>CEO</t>
  </si>
  <si>
    <t>Rent for HQ</t>
  </si>
  <si>
    <t>Rent per sq m</t>
  </si>
  <si>
    <t># of sq m</t>
  </si>
  <si>
    <t>[USD/sq m]</t>
  </si>
  <si>
    <t>[sq m]</t>
  </si>
  <si>
    <t>Available info</t>
  </si>
  <si>
    <t># of transactions</t>
  </si>
  <si>
    <t># of visitors</t>
  </si>
  <si>
    <t>Average Transaction Value</t>
  </si>
  <si>
    <t>Average Transaction Value - additional purchase</t>
  </si>
  <si>
    <t>Average Transaction Value - basic purchase</t>
  </si>
  <si>
    <t>[USD/transaction]</t>
  </si>
  <si>
    <t>['000 visitors]</t>
  </si>
  <si>
    <t>['000 transaction]</t>
  </si>
  <si>
    <t>Back</t>
  </si>
  <si>
    <t>% Intake margin</t>
  </si>
  <si>
    <t>Debt at the end of the year</t>
  </si>
  <si>
    <t>Increase of the Debt</t>
  </si>
  <si>
    <t>Repayment of the Debt</t>
  </si>
  <si>
    <t>Interest Paid</t>
  </si>
  <si>
    <t>Average Debt</t>
  </si>
  <si>
    <t>Debt at the beginning of the year</t>
  </si>
  <si>
    <t>Interest Rate</t>
  </si>
  <si>
    <t>Cash Flow on the Store Level</t>
  </si>
  <si>
    <t>IRR - 5 Year</t>
  </si>
  <si>
    <t>NPV - 5 Year</t>
  </si>
  <si>
    <t>Discounting Rate</t>
  </si>
  <si>
    <t>Head Office Costs</t>
  </si>
  <si>
    <t>Inventory conversion period</t>
  </si>
  <si>
    <t>[day]</t>
  </si>
  <si>
    <t>Receivables</t>
  </si>
  <si>
    <t>Receivables conversion period</t>
  </si>
  <si>
    <t>Payables</t>
  </si>
  <si>
    <t>COGS</t>
  </si>
  <si>
    <t>Payables conversion period</t>
  </si>
  <si>
    <t>Working Capital</t>
  </si>
  <si>
    <t>Gross Margin from shops by cohorts</t>
  </si>
  <si>
    <t>Head Office Costs Estimation</t>
  </si>
  <si>
    <t>CF From Operating Activities</t>
  </si>
  <si>
    <t>Net Profit (Net Income)</t>
  </si>
  <si>
    <t>Depreciation &amp; Amortization</t>
  </si>
  <si>
    <t>Interest Expenses Net</t>
  </si>
  <si>
    <t>Change in Inventory</t>
  </si>
  <si>
    <t>Change in Receivables</t>
  </si>
  <si>
    <t>Change in Payables</t>
  </si>
  <si>
    <t>CF from Investing</t>
  </si>
  <si>
    <t>Capex</t>
  </si>
  <si>
    <t>Proceeds from assets sold</t>
  </si>
  <si>
    <t>Acquisitions, net of cash acquired</t>
  </si>
  <si>
    <t>Purchases of short-term investments</t>
  </si>
  <si>
    <t xml:space="preserve"> </t>
  </si>
  <si>
    <t>CF from Financing</t>
  </si>
  <si>
    <t>Cash Invested by owners - Equity</t>
  </si>
  <si>
    <t>Loan Increase</t>
  </si>
  <si>
    <t>Repayment of the Loan</t>
  </si>
  <si>
    <t>Interest Received</t>
  </si>
  <si>
    <t>Total CF</t>
  </si>
  <si>
    <t>Cash Position at the end of the period</t>
  </si>
  <si>
    <t>Cash Position at the beginning of the period</t>
  </si>
  <si>
    <t>Change in CF</t>
  </si>
  <si>
    <t>Depreciation</t>
  </si>
  <si>
    <t>Capex (Increase in Net Book Value)</t>
  </si>
  <si>
    <t>Net Book Value of Assets at the beginning of the period</t>
  </si>
  <si>
    <t>Net Book Value of Assets at the end of the period</t>
  </si>
  <si>
    <t>% Depreciation</t>
  </si>
  <si>
    <t>Gross Book Value of Asssets at the end of the period</t>
  </si>
  <si>
    <t>Gross Book Value of Asssets - at the beginning of the period</t>
  </si>
  <si>
    <t>Maintenance = Depreciation from previous period</t>
  </si>
  <si>
    <t>Warehouse</t>
  </si>
  <si>
    <t>Capex for Warehouses</t>
  </si>
  <si>
    <t>Total</t>
  </si>
  <si>
    <t>back</t>
  </si>
  <si>
    <t>Warehousing space we need</t>
  </si>
  <si>
    <t>% Conversion</t>
  </si>
  <si>
    <t># of stores</t>
  </si>
  <si>
    <t>Space per 1 store</t>
  </si>
  <si>
    <t>[sq m / store]</t>
  </si>
  <si>
    <t>Total Chain - Revenues, Gross Margin, EBITDA</t>
  </si>
  <si>
    <t>Minimal size of the warehouse</t>
  </si>
  <si>
    <t>[store]</t>
  </si>
  <si>
    <t>['000 USD / sq m]</t>
  </si>
  <si>
    <t>Capex for Stores</t>
  </si>
  <si>
    <t>Capex per 1 store</t>
  </si>
  <si>
    <t># of new stores</t>
  </si>
  <si>
    <t>[M USD]</t>
  </si>
  <si>
    <t>Sapce  we need for current period</t>
  </si>
  <si>
    <t>Space  we had - previous period</t>
  </si>
  <si>
    <t>Capex per 1 sq m</t>
  </si>
  <si>
    <t>Cash Flow</t>
  </si>
  <si>
    <t>Profit &amp; Loss</t>
  </si>
  <si>
    <t>Headoffice Costs</t>
  </si>
  <si>
    <t>Operating Profit</t>
  </si>
  <si>
    <t>Interest Received (interest income)</t>
  </si>
  <si>
    <t>Interest Paid (Interest expences)</t>
  </si>
  <si>
    <t>Pre-Tax Profit</t>
  </si>
  <si>
    <t>Operational profit</t>
  </si>
  <si>
    <t>Corporate Tax (CIT)</t>
  </si>
  <si>
    <t>% CIT Tax</t>
  </si>
  <si>
    <t>Net Income</t>
  </si>
  <si>
    <t>As a % of Sales margin evolution</t>
  </si>
  <si>
    <t>Opearting Profit (EBIT)</t>
  </si>
  <si>
    <t>Costs as % of Sales</t>
  </si>
  <si>
    <t># of FTE</t>
  </si>
  <si>
    <t>Regional Managers</t>
  </si>
  <si>
    <t>Operational Director</t>
  </si>
  <si>
    <t>Head Office Space</t>
  </si>
  <si>
    <t># of sq m per 1 person in HQ</t>
  </si>
  <si>
    <t>[sq m / FTE]</t>
  </si>
  <si>
    <t># of people in the Head Office</t>
  </si>
  <si>
    <t>Parameters</t>
  </si>
  <si>
    <t># of stores that 1 Regional Manager can support</t>
  </si>
  <si>
    <t># of stores that 1 VM specialist can support</t>
  </si>
  <si>
    <t># of stores that 1 Marketing specialist can support</t>
  </si>
  <si>
    <t># of new stores  that 1 design specialist can design</t>
  </si>
  <si>
    <t>[store / FTE]</t>
  </si>
  <si>
    <t># of all stores</t>
  </si>
  <si>
    <t>Others</t>
  </si>
  <si>
    <t># of stores that 1 other employee of HQ can support</t>
  </si>
  <si>
    <t># of Full Time Equivalent (FTE)</t>
  </si>
  <si>
    <t>Average salary per FTE</t>
  </si>
  <si>
    <t>Head Office Salaries</t>
  </si>
  <si>
    <t>EBITDA on the store level</t>
  </si>
  <si>
    <t>Average Cash</t>
  </si>
  <si>
    <t>Cash at the beginning of the period</t>
  </si>
  <si>
    <t>Cash at the end of the period</t>
  </si>
  <si>
    <t>Annual Interest rate</t>
  </si>
  <si>
    <t># of months</t>
  </si>
  <si>
    <t>[month]</t>
  </si>
  <si>
    <t>Debt &amp; Interest</t>
  </si>
  <si>
    <t>Categories used</t>
  </si>
  <si>
    <t>Number of days used for Working Capital Calculations</t>
  </si>
  <si>
    <t>Number of months used for Interest calculation</t>
  </si>
  <si>
    <t>Monthly</t>
  </si>
  <si>
    <t>periodly</t>
  </si>
  <si>
    <t>Data for the slide</t>
  </si>
  <si>
    <t>Useful for the case links</t>
  </si>
  <si>
    <t>Topic</t>
  </si>
  <si>
    <t>Finace &amp; Accounting - Essential Terms</t>
  </si>
  <si>
    <t>https://www2.slideshare.net/AsenGyczew/essential-finance-accounting-for-management-consultants-and-business-analysts</t>
  </si>
  <si>
    <t>How to calculate Depreciation &amp; Amortization in Excel</t>
  </si>
  <si>
    <t>https://www.youtube.com/watch?v=g647Bz4nVe0</t>
  </si>
  <si>
    <t>E-commerce basic model</t>
  </si>
  <si>
    <t>https://www.youtube.com/watch?v=NjQrW--dfm0</t>
  </si>
  <si>
    <t>Year of operation of the store</t>
  </si>
  <si>
    <t>Starting Year of the model</t>
  </si>
  <si>
    <t>Coffee shop chains finacial model - store modeling based on # of transaction, Work Cap, Debt,P&amp;L and CF estimation</t>
  </si>
  <si>
    <t>https://investor.starbucks.com/financial-data/annual-reports/default.aspx</t>
  </si>
  <si>
    <t>Starbucks' annual reports</t>
  </si>
  <si>
    <t>Retail Business Model</t>
  </si>
  <si>
    <t>https://www.youtube.com/watch?v=e_3HymWbj8w</t>
  </si>
  <si>
    <t>Consulting Business Model</t>
  </si>
  <si>
    <t>https://youtu.be/ijtVIZDb880</t>
  </si>
  <si>
    <t>Restaurant Business Model</t>
  </si>
  <si>
    <t>https://youtu.be/P3rrLgaaOLI</t>
  </si>
  <si>
    <t>Financial modeling in Excel - Working capital</t>
  </si>
  <si>
    <t>https://www.youtube.com/watch?v=mJd4XRTOwSg</t>
  </si>
  <si>
    <t>Modeling Capex &amp; Depreciation</t>
  </si>
  <si>
    <t>https://youtu.be/g647Bz4nVe0</t>
  </si>
  <si>
    <t>New Stores</t>
  </si>
  <si>
    <t>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</si>
</sst>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8"/>
      <color rgb="FF0000FF"/>
      <name val="Calibri"/>
      <family val="2"/>
      <charset val="238"/>
      <scheme val="minor"/>
    </font>
    <font>
      <u/>
      <sz val="12"/>
      <color rgb="FF0000FF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0" fillId="2" borderId="0" xfId="0" applyFont="1" applyFill="1"/>
    <xf numFmtId="3" fontId="0" fillId="2" borderId="0" xfId="0" applyNumberFormat="1" applyFill="1"/>
    <xf numFmtId="0" fontId="9" fillId="2" borderId="0" xfId="0" applyFont="1" applyFill="1"/>
    <xf numFmtId="9" fontId="0" fillId="2" borderId="0" xfId="0" applyNumberFormat="1" applyFill="1"/>
    <xf numFmtId="164" fontId="0" fillId="2" borderId="0" xfId="0" applyNumberFormat="1" applyFill="1"/>
    <xf numFmtId="3" fontId="10" fillId="2" borderId="0" xfId="0" applyNumberFormat="1" applyFont="1" applyFill="1"/>
    <xf numFmtId="9" fontId="10" fillId="2" borderId="0" xfId="1" applyFont="1" applyFill="1"/>
    <xf numFmtId="0" fontId="12" fillId="2" borderId="0" xfId="0" applyFont="1" applyFill="1"/>
    <xf numFmtId="9" fontId="0" fillId="2" borderId="0" xfId="1" applyFont="1" applyFill="1"/>
    <xf numFmtId="3" fontId="8" fillId="2" borderId="0" xfId="0" applyNumberFormat="1" applyFont="1" applyFill="1"/>
    <xf numFmtId="0" fontId="7" fillId="2" borderId="0" xfId="0" applyFont="1" applyFill="1"/>
    <xf numFmtId="165" fontId="0" fillId="2" borderId="0" xfId="0" applyNumberFormat="1" applyFill="1"/>
    <xf numFmtId="0" fontId="6" fillId="2" borderId="0" xfId="0" applyFont="1" applyFill="1"/>
    <xf numFmtId="9" fontId="0" fillId="3" borderId="0" xfId="1" applyFont="1" applyFill="1"/>
    <xf numFmtId="3" fontId="0" fillId="3" borderId="0" xfId="0" applyNumberFormat="1" applyFill="1"/>
    <xf numFmtId="3" fontId="14" fillId="2" borderId="0" xfId="0" applyNumberFormat="1" applyFont="1" applyFill="1"/>
    <xf numFmtId="0" fontId="13" fillId="2" borderId="0" xfId="2" applyFont="1" applyFill="1"/>
    <xf numFmtId="0" fontId="11" fillId="2" borderId="0" xfId="2" applyFont="1" applyFill="1"/>
    <xf numFmtId="0" fontId="11" fillId="2" borderId="0" xfId="2" applyFill="1"/>
    <xf numFmtId="0" fontId="10" fillId="2" borderId="0" xfId="2" applyFont="1" applyFill="1"/>
    <xf numFmtId="0" fontId="16" fillId="2" borderId="0" xfId="3" applyFont="1" applyFill="1"/>
    <xf numFmtId="9" fontId="0" fillId="3" borderId="0" xfId="0" applyNumberFormat="1" applyFill="1"/>
    <xf numFmtId="0" fontId="5" fillId="2" borderId="0" xfId="0" applyFont="1" applyFill="1"/>
    <xf numFmtId="3" fontId="5" fillId="2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0" fontId="4" fillId="2" borderId="0" xfId="0" applyFont="1" applyFill="1"/>
    <xf numFmtId="3" fontId="0" fillId="2" borderId="0" xfId="0" applyNumberFormat="1" applyFill="1" applyBorder="1" applyAlignment="1">
      <alignment wrapText="1"/>
    </xf>
    <xf numFmtId="0" fontId="3" fillId="2" borderId="0" xfId="0" applyFont="1" applyFill="1"/>
    <xf numFmtId="3" fontId="3" fillId="2" borderId="0" xfId="0" applyNumberFormat="1" applyFont="1" applyFill="1"/>
    <xf numFmtId="3" fontId="10" fillId="2" borderId="0" xfId="0" applyNumberFormat="1" applyFont="1" applyFill="1" applyAlignment="1">
      <alignment wrapText="1"/>
    </xf>
    <xf numFmtId="3" fontId="3" fillId="2" borderId="0" xfId="0" applyNumberFormat="1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3" fontId="17" fillId="2" borderId="0" xfId="4" applyNumberFormat="1" applyFill="1" applyAlignment="1">
      <alignment wrapText="1"/>
    </xf>
    <xf numFmtId="3" fontId="17" fillId="2" borderId="0" xfId="4" applyNumberFormat="1" applyFill="1" applyBorder="1" applyAlignment="1">
      <alignment wrapText="1"/>
    </xf>
    <xf numFmtId="165" fontId="10" fillId="2" borderId="0" xfId="0" applyNumberFormat="1" applyFont="1" applyFill="1" applyAlignment="1">
      <alignment wrapText="1"/>
    </xf>
    <xf numFmtId="4" fontId="0" fillId="2" borderId="0" xfId="0" applyNumberFormat="1" applyFill="1"/>
    <xf numFmtId="165" fontId="10" fillId="2" borderId="0" xfId="0" applyNumberFormat="1" applyFont="1" applyFill="1"/>
    <xf numFmtId="0" fontId="3" fillId="3" borderId="0" xfId="0" applyFont="1" applyFill="1"/>
    <xf numFmtId="0" fontId="14" fillId="2" borderId="0" xfId="0" applyFont="1" applyFill="1"/>
    <xf numFmtId="0" fontId="17" fillId="2" borderId="0" xfId="4" applyFill="1" applyAlignment="1">
      <alignment wrapText="1"/>
    </xf>
    <xf numFmtId="1" fontId="14" fillId="2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165" fontId="3" fillId="2" borderId="0" xfId="0" applyNumberFormat="1" applyFont="1" applyFill="1"/>
    <xf numFmtId="165" fontId="3" fillId="3" borderId="0" xfId="0" applyNumberFormat="1" applyFont="1" applyFill="1" applyAlignment="1">
      <alignment wrapText="1"/>
    </xf>
    <xf numFmtId="165" fontId="3" fillId="2" borderId="0" xfId="0" applyNumberFormat="1" applyFont="1" applyFill="1" applyAlignment="1">
      <alignment wrapText="1"/>
    </xf>
    <xf numFmtId="0" fontId="18" fillId="2" borderId="0" xfId="3" applyFont="1" applyFill="1"/>
    <xf numFmtId="3" fontId="18" fillId="2" borderId="0" xfId="3" applyNumberFormat="1" applyFont="1" applyFill="1"/>
    <xf numFmtId="0" fontId="17" fillId="2" borderId="0" xfId="4" applyFill="1"/>
    <xf numFmtId="0" fontId="2" fillId="2" borderId="0" xfId="0" applyFont="1" applyFill="1"/>
    <xf numFmtId="0" fontId="0" fillId="3" borderId="0" xfId="0" applyNumberFormat="1" applyFill="1" applyAlignment="1">
      <alignment wrapText="1"/>
    </xf>
    <xf numFmtId="0" fontId="19" fillId="2" borderId="0" xfId="0" applyFont="1" applyFill="1"/>
    <xf numFmtId="0" fontId="20" fillId="2" borderId="0" xfId="3" applyFont="1" applyFill="1"/>
    <xf numFmtId="0" fontId="1" fillId="3" borderId="0" xfId="0" applyFont="1" applyFill="1"/>
    <xf numFmtId="0" fontId="21" fillId="2" borderId="0" xfId="4" applyFont="1" applyFill="1" applyBorder="1"/>
    <xf numFmtId="0" fontId="17" fillId="2" borderId="0" xfId="4" applyFill="1" applyBorder="1"/>
    <xf numFmtId="0" fontId="17" fillId="2" borderId="0" xfId="4" applyFont="1" applyFill="1" applyBorder="1"/>
    <xf numFmtId="0" fontId="0" fillId="4" borderId="0" xfId="0" applyFont="1" applyFill="1" applyBorder="1"/>
    <xf numFmtId="0" fontId="17" fillId="4" borderId="0" xfId="4" applyFont="1" applyFill="1" applyBorder="1"/>
  </cellXfs>
  <cellStyles count="5">
    <cellStyle name="Hyperlink" xfId="3" builtinId="8"/>
    <cellStyle name="Hyperlink 2" xfId="4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CE824CD-9DA5-45E9-B77E-B11E4B78F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91217" cy="908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P3rrLgaaOLI" TargetMode="External"/><Relationship Id="rId3" Type="http://schemas.openxmlformats.org/officeDocument/2006/relationships/hyperlink" Target="https://www.youtube.com/watch?v=e_3HymWbj8w" TargetMode="External"/><Relationship Id="rId7" Type="http://schemas.openxmlformats.org/officeDocument/2006/relationships/hyperlink" Target="https://youtu.be/P3rrLgaaOLI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g647Bz4nVe0" TargetMode="External"/><Relationship Id="rId1" Type="http://schemas.openxmlformats.org/officeDocument/2006/relationships/hyperlink" Target="https://www.youtube.com/watch?v=NjQrW--dfm0" TargetMode="External"/><Relationship Id="rId6" Type="http://schemas.openxmlformats.org/officeDocument/2006/relationships/hyperlink" Target="https://www.youtube.com/watch?v=e_3HymWbj8w" TargetMode="External"/><Relationship Id="rId11" Type="http://schemas.openxmlformats.org/officeDocument/2006/relationships/hyperlink" Target="https://youtu.be/g647Bz4nVe0" TargetMode="External"/><Relationship Id="rId5" Type="http://schemas.openxmlformats.org/officeDocument/2006/relationships/hyperlink" Target="https://youtu.be/ijtVIZDb880" TargetMode="External"/><Relationship Id="rId10" Type="http://schemas.openxmlformats.org/officeDocument/2006/relationships/hyperlink" Target="https://youtu.be/g647Bz4nVe0" TargetMode="External"/><Relationship Id="rId4" Type="http://schemas.openxmlformats.org/officeDocument/2006/relationships/hyperlink" Target="https://www.youtube.com/watch?v=ijtVIZDb880" TargetMode="External"/><Relationship Id="rId9" Type="http://schemas.openxmlformats.org/officeDocument/2006/relationships/hyperlink" Target="https://www.youtube.com/watch?v=mJd4XRTOwS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5:F19"/>
  <sheetViews>
    <sheetView zoomScale="80" zoomScaleNormal="80" workbookViewId="0">
      <selection activeCell="F19" sqref="F19"/>
    </sheetView>
  </sheetViews>
  <sheetFormatPr defaultColWidth="9.1796875" defaultRowHeight="14.5" x14ac:dyDescent="0.35"/>
  <cols>
    <col min="1" max="5" width="9.1796875" style="20"/>
    <col min="6" max="6" width="9.1796875" style="19"/>
    <col min="7" max="16384" width="9.1796875" style="20"/>
  </cols>
  <sheetData>
    <row r="5" spans="5:6" x14ac:dyDescent="0.35">
      <c r="E5" s="18" t="s">
        <v>204</v>
      </c>
    </row>
    <row r="9" spans="5:6" x14ac:dyDescent="0.35">
      <c r="E9" s="21" t="s">
        <v>64</v>
      </c>
    </row>
    <row r="10" spans="5:6" x14ac:dyDescent="0.35">
      <c r="F10" s="49" t="str">
        <f>Shop!A1</f>
        <v>Business model for a single shop run as franchising</v>
      </c>
    </row>
    <row r="11" spans="5:6" x14ac:dyDescent="0.35">
      <c r="F11" s="49" t="str">
        <f>'Total Chain'!A1</f>
        <v>Total Chain - Revenues, Gross Margin, EBITDA</v>
      </c>
    </row>
    <row r="12" spans="5:6" x14ac:dyDescent="0.35">
      <c r="F12" s="49" t="str">
        <f>HQ!A1</f>
        <v>Head Office Costs Estimation</v>
      </c>
    </row>
    <row r="13" spans="5:6" x14ac:dyDescent="0.35">
      <c r="F13" s="50" t="str">
        <f>Capex!A1</f>
        <v>Capex</v>
      </c>
    </row>
    <row r="14" spans="5:6" x14ac:dyDescent="0.35">
      <c r="F14" s="50" t="str">
        <f>'P&amp;L'!A1</f>
        <v>Profit &amp; Loss</v>
      </c>
    </row>
    <row r="15" spans="5:6" x14ac:dyDescent="0.35">
      <c r="F15" s="50" t="str">
        <f>'Work Cap'!A1</f>
        <v>Working Capital</v>
      </c>
    </row>
    <row r="16" spans="5:6" x14ac:dyDescent="0.35">
      <c r="F16" s="49" t="str">
        <f>Debt!A1</f>
        <v>Debt &amp; Interest</v>
      </c>
    </row>
    <row r="17" spans="6:6" x14ac:dyDescent="0.35">
      <c r="F17" s="50" t="str">
        <f>CF!A1</f>
        <v>Cash Flow</v>
      </c>
    </row>
    <row r="18" spans="6:6" x14ac:dyDescent="0.35">
      <c r="F18" s="49" t="str">
        <f>Parameteres!A1</f>
        <v>Parameters</v>
      </c>
    </row>
    <row r="19" spans="6:6" x14ac:dyDescent="0.35">
      <c r="F19" s="51" t="str">
        <f>Links!A1</f>
        <v>Useful for the case links</v>
      </c>
    </row>
  </sheetData>
  <hyperlinks>
    <hyperlink ref="F10" location="Shop!A1" display="Shop!A1"/>
    <hyperlink ref="F11" location="'Total Chain'!A1" display="'Total Chain'!A1"/>
    <hyperlink ref="F16" location="Debt!A1" display="Debt!A1"/>
    <hyperlink ref="F12" location="HQ!A1" display="HQ!A1"/>
    <hyperlink ref="F17" location="CF!A1" display="CF!A1"/>
    <hyperlink ref="F15" location="'Work Cap'!A1" display="'Work Cap'!A1"/>
    <hyperlink ref="F14" location="'P&amp;L'!A1" display="'P&amp;L'!A1"/>
    <hyperlink ref="F13" location="Capex!A1" display="Capex!A1"/>
    <hyperlink ref="F18" location="Parameteres!A1" display="Parameteres!A1"/>
    <hyperlink ref="F19" location="Links!A1" display="Links!A1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6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J7" sqref="J7"/>
    </sheetView>
  </sheetViews>
  <sheetFormatPr defaultColWidth="8.7265625" defaultRowHeight="14.5" x14ac:dyDescent="0.35"/>
  <cols>
    <col min="1" max="1" width="8.7265625" style="1"/>
    <col min="2" max="2" width="4.81640625" style="1" customWidth="1"/>
    <col min="3" max="3" width="6.453125" style="41" customWidth="1"/>
    <col min="4" max="4" width="3.453125" style="1" customWidth="1"/>
    <col min="5" max="5" width="5.7265625" style="1" customWidth="1"/>
    <col min="6" max="6" width="3" style="1" customWidth="1"/>
    <col min="7" max="7" width="8.7265625" style="1"/>
    <col min="8" max="8" width="15.08984375" style="1" customWidth="1"/>
    <col min="9" max="9" width="26.1796875" style="1" customWidth="1"/>
    <col min="10" max="10" width="23.26953125" style="44" customWidth="1"/>
    <col min="11" max="11" width="22.7265625" style="1" customWidth="1"/>
    <col min="12" max="16384" width="8.7265625" style="1"/>
  </cols>
  <sheetData>
    <row r="1" spans="1:11" x14ac:dyDescent="0.35">
      <c r="A1" s="2" t="s">
        <v>168</v>
      </c>
      <c r="D1" s="2"/>
      <c r="J1" s="42" t="s">
        <v>130</v>
      </c>
    </row>
    <row r="4" spans="1:11" x14ac:dyDescent="0.35">
      <c r="J4" s="43"/>
      <c r="K4" s="43"/>
    </row>
    <row r="5" spans="1:11" s="44" customFormat="1" x14ac:dyDescent="0.35">
      <c r="A5" s="1"/>
      <c r="B5" s="1"/>
      <c r="C5" s="41"/>
      <c r="D5" s="1"/>
      <c r="E5" s="1"/>
      <c r="F5" s="1"/>
      <c r="G5" s="1"/>
      <c r="H5" s="3"/>
      <c r="I5" s="3"/>
      <c r="K5" s="1"/>
    </row>
    <row r="6" spans="1:11" s="44" customFormat="1" x14ac:dyDescent="0.35">
      <c r="A6" s="1"/>
      <c r="B6" s="2" t="s">
        <v>169</v>
      </c>
      <c r="C6" s="2"/>
      <c r="D6" s="1"/>
      <c r="E6" s="1"/>
      <c r="G6" s="1"/>
      <c r="H6" s="3"/>
      <c r="I6" s="1" t="s">
        <v>173</v>
      </c>
      <c r="J6" s="45">
        <v>40</v>
      </c>
      <c r="K6" s="1"/>
    </row>
    <row r="7" spans="1:11" s="44" customFormat="1" x14ac:dyDescent="0.35">
      <c r="A7" s="1"/>
      <c r="B7" s="2"/>
      <c r="C7" s="2"/>
      <c r="D7" s="1"/>
      <c r="E7" s="1"/>
      <c r="G7" s="1"/>
      <c r="H7" s="3"/>
      <c r="I7" s="3"/>
      <c r="K7" s="1"/>
    </row>
    <row r="8" spans="1:11" s="44" customFormat="1" x14ac:dyDescent="0.35">
      <c r="A8" s="1"/>
      <c r="B8" s="2" t="s">
        <v>170</v>
      </c>
      <c r="C8" s="2"/>
      <c r="D8" s="1"/>
      <c r="E8" s="1"/>
      <c r="G8" s="1"/>
      <c r="H8" s="3"/>
      <c r="I8" s="1" t="s">
        <v>173</v>
      </c>
      <c r="J8" s="45">
        <v>40</v>
      </c>
      <c r="K8" s="1"/>
    </row>
    <row r="9" spans="1:11" s="44" customFormat="1" x14ac:dyDescent="0.35">
      <c r="A9" s="1"/>
      <c r="B9" s="2"/>
      <c r="C9" s="2"/>
      <c r="D9" s="1"/>
      <c r="E9" s="1"/>
      <c r="G9" s="1"/>
      <c r="H9" s="3"/>
      <c r="I9" s="3"/>
      <c r="K9" s="1"/>
    </row>
    <row r="10" spans="1:11" x14ac:dyDescent="0.35">
      <c r="B10" s="2" t="s">
        <v>171</v>
      </c>
      <c r="C10" s="2"/>
      <c r="I10" s="1" t="s">
        <v>173</v>
      </c>
      <c r="J10" s="45">
        <v>80</v>
      </c>
    </row>
    <row r="11" spans="1:11" x14ac:dyDescent="0.35">
      <c r="B11" s="2"/>
      <c r="C11" s="2"/>
    </row>
    <row r="12" spans="1:11" x14ac:dyDescent="0.35">
      <c r="B12" s="2" t="s">
        <v>172</v>
      </c>
      <c r="C12" s="2"/>
      <c r="I12" s="1" t="s">
        <v>173</v>
      </c>
      <c r="J12" s="45">
        <v>20</v>
      </c>
    </row>
    <row r="13" spans="1:11" x14ac:dyDescent="0.35">
      <c r="B13" s="2"/>
      <c r="C13" s="2"/>
    </row>
    <row r="14" spans="1:11" x14ac:dyDescent="0.35">
      <c r="B14" s="2" t="s">
        <v>176</v>
      </c>
      <c r="C14" s="2"/>
      <c r="I14" s="1" t="s">
        <v>173</v>
      </c>
      <c r="J14" s="45">
        <v>10</v>
      </c>
    </row>
    <row r="16" spans="1:11" x14ac:dyDescent="0.35">
      <c r="B16" s="2" t="s">
        <v>203</v>
      </c>
      <c r="J16" s="53">
        <v>2023</v>
      </c>
    </row>
  </sheetData>
  <hyperlinks>
    <hyperlink ref="J1" location="Master!A1" display="bac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C4:D10"/>
  <sheetViews>
    <sheetView workbookViewId="0">
      <selection activeCell="I20" sqref="A1:XFD1048576"/>
    </sheetView>
  </sheetViews>
  <sheetFormatPr defaultRowHeight="14.5" x14ac:dyDescent="0.35"/>
  <cols>
    <col min="1" max="16384" width="8.7265625" style="1"/>
  </cols>
  <sheetData>
    <row r="4" spans="3:4" x14ac:dyDescent="0.35">
      <c r="C4" s="1">
        <v>0</v>
      </c>
      <c r="D4" s="1" t="s">
        <v>1</v>
      </c>
    </row>
    <row r="5" spans="3:4" x14ac:dyDescent="0.35">
      <c r="C5" s="1">
        <v>1</v>
      </c>
      <c r="D5" s="1" t="s">
        <v>2</v>
      </c>
    </row>
    <row r="6" spans="3:4" x14ac:dyDescent="0.35">
      <c r="C6" s="1">
        <v>2</v>
      </c>
      <c r="D6" s="1" t="s">
        <v>25</v>
      </c>
    </row>
    <row r="7" spans="3:4" x14ac:dyDescent="0.35">
      <c r="C7" s="1">
        <v>3</v>
      </c>
      <c r="D7" s="1" t="s">
        <v>26</v>
      </c>
    </row>
    <row r="8" spans="3:4" x14ac:dyDescent="0.35">
      <c r="C8" s="1">
        <v>4</v>
      </c>
      <c r="D8" s="1" t="s">
        <v>27</v>
      </c>
    </row>
    <row r="9" spans="3:4" x14ac:dyDescent="0.35">
      <c r="C9" s="1">
        <v>5</v>
      </c>
      <c r="D9" s="1" t="s">
        <v>30</v>
      </c>
    </row>
    <row r="10" spans="3:4" x14ac:dyDescent="0.35">
      <c r="C10" s="1">
        <v>6</v>
      </c>
      <c r="D10" s="1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14"/>
  <sheetViews>
    <sheetView zoomScale="70" zoomScaleNormal="70" workbookViewId="0">
      <selection activeCell="D10" sqref="D10:E14"/>
    </sheetView>
  </sheetViews>
  <sheetFormatPr defaultRowHeight="14.5" x14ac:dyDescent="0.35"/>
  <cols>
    <col min="1" max="3" width="8.7265625" style="1"/>
    <col min="4" max="4" width="46.1796875" style="1" bestFit="1" customWidth="1"/>
    <col min="5" max="16384" width="8.7265625" style="1"/>
  </cols>
  <sheetData>
    <row r="1" spans="1:5" x14ac:dyDescent="0.35">
      <c r="A1" s="2" t="s">
        <v>194</v>
      </c>
    </row>
    <row r="2" spans="1:5" x14ac:dyDescent="0.35">
      <c r="E2" s="42" t="s">
        <v>130</v>
      </c>
    </row>
    <row r="5" spans="1:5" x14ac:dyDescent="0.35">
      <c r="D5" s="2" t="s">
        <v>195</v>
      </c>
      <c r="E5" s="2" t="s">
        <v>195</v>
      </c>
    </row>
    <row r="6" spans="1:5" x14ac:dyDescent="0.35">
      <c r="D6" s="1" t="s">
        <v>196</v>
      </c>
      <c r="E6" s="51" t="s">
        <v>197</v>
      </c>
    </row>
    <row r="7" spans="1:5" x14ac:dyDescent="0.35">
      <c r="D7" s="1" t="s">
        <v>198</v>
      </c>
      <c r="E7" s="51" t="s">
        <v>199</v>
      </c>
    </row>
    <row r="8" spans="1:5" x14ac:dyDescent="0.35">
      <c r="D8" s="1" t="s">
        <v>200</v>
      </c>
      <c r="E8" s="51" t="s">
        <v>201</v>
      </c>
    </row>
    <row r="9" spans="1:5" s="54" customFormat="1" ht="13" x14ac:dyDescent="0.3">
      <c r="D9" s="54" t="s">
        <v>206</v>
      </c>
      <c r="E9" s="55" t="s">
        <v>205</v>
      </c>
    </row>
    <row r="10" spans="1:5" x14ac:dyDescent="0.35">
      <c r="D10" s="57" t="s">
        <v>207</v>
      </c>
      <c r="E10" s="58" t="s">
        <v>208</v>
      </c>
    </row>
    <row r="11" spans="1:5" x14ac:dyDescent="0.35">
      <c r="D11" s="59" t="s">
        <v>209</v>
      </c>
      <c r="E11" s="58" t="s">
        <v>210</v>
      </c>
    </row>
    <row r="12" spans="1:5" x14ac:dyDescent="0.35">
      <c r="D12" s="59" t="s">
        <v>211</v>
      </c>
      <c r="E12" s="59" t="s">
        <v>212</v>
      </c>
    </row>
    <row r="13" spans="1:5" x14ac:dyDescent="0.35">
      <c r="D13" s="60" t="s">
        <v>213</v>
      </c>
      <c r="E13" s="61" t="s">
        <v>214</v>
      </c>
    </row>
    <row r="14" spans="1:5" x14ac:dyDescent="0.35">
      <c r="D14" s="59" t="s">
        <v>215</v>
      </c>
      <c r="E14" s="59" t="s">
        <v>216</v>
      </c>
    </row>
  </sheetData>
  <hyperlinks>
    <hyperlink ref="E2" location="Master!A1" display="back"/>
    <hyperlink ref="E8" r:id="rId1"/>
    <hyperlink ref="E7" r:id="rId2"/>
    <hyperlink ref="D10" r:id="rId3"/>
    <hyperlink ref="D11" r:id="rId4"/>
    <hyperlink ref="E11" r:id="rId5"/>
    <hyperlink ref="E10" r:id="rId6"/>
    <hyperlink ref="D12" r:id="rId7"/>
    <hyperlink ref="E12" r:id="rId8"/>
    <hyperlink ref="E13" r:id="rId9"/>
    <hyperlink ref="D14" r:id="rId10"/>
    <hyperlink ref="E14" r:id="rId11"/>
  </hyperlinks>
  <pageMargins left="0.7" right="0.7" top="0.75" bottom="0.75" header="0.3" footer="0.3"/>
  <pageSetup paperSize="9"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4"/>
  <sheetViews>
    <sheetView zoomScale="70" zoomScaleNormal="70" workbookViewId="0">
      <pane xSplit="9" ySplit="4" topLeftCell="J5" activePane="bottomRight" state="frozen"/>
      <selection activeCell="I15" sqref="I15"/>
      <selection pane="topRight" activeCell="I15" sqref="I15"/>
      <selection pane="bottomLeft" activeCell="I15" sqref="I15"/>
      <selection pane="bottomRight" activeCell="I15" sqref="I15"/>
    </sheetView>
  </sheetViews>
  <sheetFormatPr defaultColWidth="8.7265625" defaultRowHeight="14.5" x14ac:dyDescent="0.35"/>
  <cols>
    <col min="1" max="1" width="8.7265625" style="1"/>
    <col min="2" max="2" width="4.81640625" style="1" customWidth="1"/>
    <col min="3" max="3" width="6.453125" style="41" customWidth="1"/>
    <col min="4" max="4" width="3.453125" style="1" customWidth="1"/>
    <col min="5" max="5" width="5.7265625" style="1" customWidth="1"/>
    <col min="6" max="8" width="8.7265625" style="1"/>
    <col min="9" max="9" width="20.81640625" style="1" bestFit="1" customWidth="1"/>
    <col min="10" max="10" width="13.26953125" style="44" customWidth="1"/>
    <col min="11" max="11" width="14.81640625" style="1" customWidth="1"/>
    <col min="12" max="16384" width="8.7265625" style="1"/>
  </cols>
  <sheetData>
    <row r="1" spans="1:11" x14ac:dyDescent="0.35">
      <c r="A1" s="2" t="s">
        <v>193</v>
      </c>
      <c r="J1" s="42" t="s">
        <v>130</v>
      </c>
    </row>
    <row r="4" spans="1:11" x14ac:dyDescent="0.35">
      <c r="J4" s="43"/>
      <c r="K4" s="43"/>
    </row>
  </sheetData>
  <hyperlinks>
    <hyperlink ref="J1" location="Master!A1" display="back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4"/>
  <sheetViews>
    <sheetView zoomScale="70" zoomScaleNormal="70" workbookViewId="0">
      <pane xSplit="9" ySplit="4" topLeftCell="J5" activePane="bottomRight" state="frozen"/>
      <selection activeCell="I15" sqref="I15"/>
      <selection pane="topRight" activeCell="I15" sqref="I15"/>
      <selection pane="bottomLeft" activeCell="I15" sqref="I15"/>
      <selection pane="bottomRight" activeCell="J1" sqref="J1"/>
    </sheetView>
  </sheetViews>
  <sheetFormatPr defaultColWidth="8.7265625" defaultRowHeight="14.5" x14ac:dyDescent="0.35"/>
  <cols>
    <col min="1" max="1" width="8.7265625" style="1"/>
    <col min="2" max="2" width="4.81640625" style="1" customWidth="1"/>
    <col min="3" max="3" width="6.453125" style="41" customWidth="1"/>
    <col min="4" max="4" width="3.453125" style="1" customWidth="1"/>
    <col min="5" max="5" width="5.7265625" style="1" customWidth="1"/>
    <col min="6" max="6" width="3" style="1" customWidth="1"/>
    <col min="7" max="7" width="8.7265625" style="1"/>
    <col min="8" max="8" width="15.08984375" style="1" customWidth="1"/>
    <col min="9" max="9" width="26.1796875" style="1" customWidth="1"/>
    <col min="10" max="10" width="23.26953125" style="44" customWidth="1"/>
    <col min="11" max="11" width="22.7265625" style="1" customWidth="1"/>
    <col min="12" max="16384" width="8.7265625" style="1"/>
  </cols>
  <sheetData>
    <row r="1" spans="1:11" x14ac:dyDescent="0.35">
      <c r="A1" s="2" t="s">
        <v>188</v>
      </c>
      <c r="J1" s="42" t="s">
        <v>130</v>
      </c>
    </row>
    <row r="4" spans="1:11" x14ac:dyDescent="0.35">
      <c r="J4" s="43"/>
      <c r="K4" s="43"/>
    </row>
    <row r="6" spans="1:11" ht="43.5" x14ac:dyDescent="0.35">
      <c r="J6" s="44" t="s">
        <v>189</v>
      </c>
      <c r="K6" s="44" t="s">
        <v>190</v>
      </c>
    </row>
    <row r="7" spans="1:11" x14ac:dyDescent="0.35">
      <c r="F7" s="2"/>
      <c r="I7" s="30" t="s">
        <v>191</v>
      </c>
      <c r="J7" s="34">
        <v>30</v>
      </c>
      <c r="K7" s="34">
        <v>12</v>
      </c>
    </row>
    <row r="8" spans="1:11" x14ac:dyDescent="0.35">
      <c r="G8" s="30"/>
      <c r="I8" s="1" t="s">
        <v>192</v>
      </c>
      <c r="J8" s="45">
        <v>365</v>
      </c>
      <c r="K8" s="45">
        <v>1</v>
      </c>
    </row>
    <row r="9" spans="1:11" x14ac:dyDescent="0.35">
      <c r="I9" s="30"/>
    </row>
    <row r="11" spans="1:11" x14ac:dyDescent="0.35">
      <c r="F11" s="2"/>
      <c r="I11" s="2"/>
    </row>
    <row r="14" spans="1:11" x14ac:dyDescent="0.35">
      <c r="F14" s="2"/>
      <c r="J14" s="5"/>
    </row>
  </sheetData>
  <hyperlinks>
    <hyperlink ref="J1" location="Master!A1" display="bac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65"/>
  <sheetViews>
    <sheetView zoomScale="70" zoomScaleNormal="70" workbookViewId="0">
      <pane xSplit="9" ySplit="4" topLeftCell="J5" activePane="bottomRight" state="frozen"/>
      <selection activeCell="O2" sqref="O2"/>
      <selection pane="topRight" activeCell="O2" sqref="O2"/>
      <selection pane="bottomLeft" activeCell="O2" sqref="O2"/>
      <selection pane="bottomRight" activeCell="M9" sqref="M9"/>
    </sheetView>
  </sheetViews>
  <sheetFormatPr defaultColWidth="9.1796875" defaultRowHeight="14.5" outlineLevelRow="2" x14ac:dyDescent="0.35"/>
  <cols>
    <col min="1" max="1" width="3.7265625" style="1" customWidth="1"/>
    <col min="2" max="2" width="6.36328125" style="1" customWidth="1"/>
    <col min="3" max="3" width="1.81640625" style="1" customWidth="1"/>
    <col min="4" max="4" width="3.81640625" style="1" customWidth="1"/>
    <col min="5" max="5" width="2" style="1" customWidth="1"/>
    <col min="6" max="6" width="9.1796875" style="1"/>
    <col min="7" max="7" width="11.453125" style="1" customWidth="1"/>
    <col min="8" max="9" width="9.1796875" style="1"/>
    <col min="10" max="10" width="9.7265625" style="1" bestFit="1" customWidth="1"/>
    <col min="11" max="17" width="9.1796875" style="1"/>
    <col min="18" max="18" width="13.26953125" style="1" bestFit="1" customWidth="1"/>
    <col min="19" max="19" width="9.1796875" style="9"/>
    <col min="20" max="16384" width="9.1796875" style="1"/>
  </cols>
  <sheetData>
    <row r="1" spans="1:17" x14ac:dyDescent="0.35">
      <c r="A1" s="2" t="s">
        <v>48</v>
      </c>
      <c r="B1" s="2"/>
      <c r="C1" s="2"/>
    </row>
    <row r="2" spans="1:17" ht="15.5" x14ac:dyDescent="0.35">
      <c r="K2" s="5"/>
      <c r="L2" s="5"/>
      <c r="Q2" s="22" t="s">
        <v>73</v>
      </c>
    </row>
    <row r="3" spans="1:17" x14ac:dyDescent="0.35">
      <c r="J3" s="2" t="s">
        <v>202</v>
      </c>
    </row>
    <row r="4" spans="1:17" x14ac:dyDescent="0.35"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  <c r="Q4" s="2">
        <v>8</v>
      </c>
    </row>
    <row r="6" spans="1:17" x14ac:dyDescent="0.35">
      <c r="D6" s="2" t="s">
        <v>0</v>
      </c>
      <c r="H6" s="1" t="s">
        <v>45</v>
      </c>
      <c r="J6" s="7">
        <f>J7*J10</f>
        <v>665</v>
      </c>
      <c r="K6" s="7">
        <f t="shared" ref="K6:Q6" si="0">K7*K10</f>
        <v>1218</v>
      </c>
      <c r="L6" s="7">
        <f t="shared" si="0"/>
        <v>1421</v>
      </c>
      <c r="M6" s="7">
        <f t="shared" si="0"/>
        <v>1928.5</v>
      </c>
      <c r="N6" s="7">
        <f t="shared" si="0"/>
        <v>1928.5</v>
      </c>
      <c r="O6" s="7">
        <f t="shared" si="0"/>
        <v>1928.5</v>
      </c>
      <c r="P6" s="7">
        <f t="shared" si="0"/>
        <v>1928.5</v>
      </c>
      <c r="Q6" s="7">
        <f t="shared" si="0"/>
        <v>1928.5</v>
      </c>
    </row>
    <row r="7" spans="1:17" x14ac:dyDescent="0.35">
      <c r="E7" s="1" t="s">
        <v>65</v>
      </c>
      <c r="H7" s="1" t="s">
        <v>72</v>
      </c>
      <c r="J7" s="3">
        <f>J8*J9</f>
        <v>35</v>
      </c>
      <c r="K7" s="3">
        <f t="shared" ref="K7:Q7" si="1">K8*K9</f>
        <v>42</v>
      </c>
      <c r="L7" s="3">
        <f t="shared" si="1"/>
        <v>49</v>
      </c>
      <c r="M7" s="3">
        <f t="shared" si="1"/>
        <v>66.5</v>
      </c>
      <c r="N7" s="3">
        <f t="shared" si="1"/>
        <v>66.5</v>
      </c>
      <c r="O7" s="3">
        <f t="shared" si="1"/>
        <v>66.5</v>
      </c>
      <c r="P7" s="3">
        <f t="shared" si="1"/>
        <v>66.5</v>
      </c>
      <c r="Q7" s="3">
        <f t="shared" si="1"/>
        <v>66.5</v>
      </c>
    </row>
    <row r="8" spans="1:17" hidden="1" outlineLevel="1" x14ac:dyDescent="0.35">
      <c r="F8" s="1" t="s">
        <v>66</v>
      </c>
      <c r="H8" s="1" t="s">
        <v>71</v>
      </c>
      <c r="J8" s="16">
        <v>50</v>
      </c>
      <c r="K8" s="16">
        <v>60</v>
      </c>
      <c r="L8" s="16">
        <v>70</v>
      </c>
      <c r="M8" s="16">
        <v>95</v>
      </c>
      <c r="N8" s="3">
        <f>M8</f>
        <v>95</v>
      </c>
      <c r="O8" s="3">
        <f>N8</f>
        <v>95</v>
      </c>
      <c r="P8" s="3">
        <f t="shared" ref="P8:Q9" si="2">O8</f>
        <v>95</v>
      </c>
      <c r="Q8" s="3">
        <f t="shared" si="2"/>
        <v>95</v>
      </c>
    </row>
    <row r="9" spans="1:17" hidden="1" outlineLevel="1" x14ac:dyDescent="0.35">
      <c r="F9" s="1" t="s">
        <v>132</v>
      </c>
      <c r="H9" s="1" t="s">
        <v>19</v>
      </c>
      <c r="J9" s="15">
        <v>0.7</v>
      </c>
      <c r="K9" s="10">
        <f>J9</f>
        <v>0.7</v>
      </c>
      <c r="L9" s="10">
        <f t="shared" ref="L9:O9" si="3">K9</f>
        <v>0.7</v>
      </c>
      <c r="M9" s="10">
        <f t="shared" si="3"/>
        <v>0.7</v>
      </c>
      <c r="N9" s="10">
        <f t="shared" si="3"/>
        <v>0.7</v>
      </c>
      <c r="O9" s="10">
        <f t="shared" si="3"/>
        <v>0.7</v>
      </c>
      <c r="P9" s="10">
        <f t="shared" si="2"/>
        <v>0.7</v>
      </c>
      <c r="Q9" s="10">
        <f t="shared" si="2"/>
        <v>0.7</v>
      </c>
    </row>
    <row r="10" spans="1:17" collapsed="1" x14ac:dyDescent="0.35">
      <c r="E10" s="1" t="s">
        <v>67</v>
      </c>
      <c r="H10" s="1" t="s">
        <v>70</v>
      </c>
      <c r="J10" s="3">
        <f>SUM(J11:J12)</f>
        <v>19</v>
      </c>
      <c r="K10" s="3">
        <f t="shared" ref="K10:Q10" si="4">SUM(K11:K12)</f>
        <v>29</v>
      </c>
      <c r="L10" s="3">
        <f t="shared" si="4"/>
        <v>29</v>
      </c>
      <c r="M10" s="3">
        <f t="shared" si="4"/>
        <v>29</v>
      </c>
      <c r="N10" s="3">
        <f t="shared" si="4"/>
        <v>29</v>
      </c>
      <c r="O10" s="3">
        <f t="shared" si="4"/>
        <v>29</v>
      </c>
      <c r="P10" s="3">
        <f t="shared" si="4"/>
        <v>29</v>
      </c>
      <c r="Q10" s="3">
        <f t="shared" si="4"/>
        <v>29</v>
      </c>
    </row>
    <row r="11" spans="1:17" hidden="1" outlineLevel="1" x14ac:dyDescent="0.35">
      <c r="F11" s="1" t="s">
        <v>69</v>
      </c>
      <c r="H11" s="1" t="s">
        <v>70</v>
      </c>
      <c r="J11" s="16">
        <v>17</v>
      </c>
      <c r="K11" s="16">
        <v>22</v>
      </c>
      <c r="L11" s="3">
        <f t="shared" ref="L11:Q11" si="5">K11</f>
        <v>22</v>
      </c>
      <c r="M11" s="3">
        <f t="shared" si="5"/>
        <v>22</v>
      </c>
      <c r="N11" s="3">
        <f t="shared" si="5"/>
        <v>22</v>
      </c>
      <c r="O11" s="3">
        <f t="shared" si="5"/>
        <v>22</v>
      </c>
      <c r="P11" s="3">
        <f t="shared" si="5"/>
        <v>22</v>
      </c>
      <c r="Q11" s="3">
        <f t="shared" si="5"/>
        <v>22</v>
      </c>
    </row>
    <row r="12" spans="1:17" hidden="1" outlineLevel="1" x14ac:dyDescent="0.35">
      <c r="F12" s="1" t="s">
        <v>68</v>
      </c>
      <c r="H12" s="1" t="s">
        <v>70</v>
      </c>
      <c r="J12" s="16">
        <v>2</v>
      </c>
      <c r="K12" s="16">
        <v>7</v>
      </c>
      <c r="L12" s="3">
        <f t="shared" ref="L12" si="6">K12</f>
        <v>7</v>
      </c>
      <c r="M12" s="3">
        <f t="shared" ref="M12" si="7">L12</f>
        <v>7</v>
      </c>
      <c r="N12" s="3">
        <f t="shared" ref="N12:Q12" si="8">M12</f>
        <v>7</v>
      </c>
      <c r="O12" s="3">
        <f t="shared" si="8"/>
        <v>7</v>
      </c>
      <c r="P12" s="3">
        <f t="shared" si="8"/>
        <v>7</v>
      </c>
      <c r="Q12" s="3">
        <f t="shared" si="8"/>
        <v>7</v>
      </c>
    </row>
    <row r="13" spans="1:17" collapsed="1" x14ac:dyDescent="0.35">
      <c r="J13" s="3"/>
      <c r="K13" s="3"/>
      <c r="L13" s="3"/>
      <c r="M13" s="3"/>
      <c r="N13" s="3"/>
      <c r="O13" s="3"/>
      <c r="P13" s="3"/>
      <c r="Q13" s="3"/>
    </row>
    <row r="14" spans="1:17" x14ac:dyDescent="0.35">
      <c r="D14" s="2" t="s">
        <v>4</v>
      </c>
      <c r="H14" s="1" t="s">
        <v>45</v>
      </c>
      <c r="J14" s="7">
        <f>J15*J16</f>
        <v>399</v>
      </c>
      <c r="K14" s="7">
        <f t="shared" ref="K14:Q14" si="9">K15*K16</f>
        <v>730.8</v>
      </c>
      <c r="L14" s="7">
        <f t="shared" si="9"/>
        <v>852.6</v>
      </c>
      <c r="M14" s="7">
        <f t="shared" si="9"/>
        <v>1157.0999999999999</v>
      </c>
      <c r="N14" s="7">
        <f t="shared" si="9"/>
        <v>1157.0999999999999</v>
      </c>
      <c r="O14" s="7">
        <f t="shared" si="9"/>
        <v>1157.0999999999999</v>
      </c>
      <c r="P14" s="7">
        <f t="shared" si="9"/>
        <v>1157.0999999999999</v>
      </c>
      <c r="Q14" s="7">
        <f t="shared" si="9"/>
        <v>1157.0999999999999</v>
      </c>
    </row>
    <row r="15" spans="1:17" hidden="1" outlineLevel="1" x14ac:dyDescent="0.35">
      <c r="E15" s="4" t="s">
        <v>0</v>
      </c>
      <c r="H15" s="1" t="s">
        <v>45</v>
      </c>
      <c r="J15" s="3">
        <f t="shared" ref="J15:Q15" si="10">J6</f>
        <v>665</v>
      </c>
      <c r="K15" s="3">
        <f t="shared" si="10"/>
        <v>1218</v>
      </c>
      <c r="L15" s="3">
        <f t="shared" si="10"/>
        <v>1421</v>
      </c>
      <c r="M15" s="3">
        <f t="shared" si="10"/>
        <v>1928.5</v>
      </c>
      <c r="N15" s="3">
        <f t="shared" si="10"/>
        <v>1928.5</v>
      </c>
      <c r="O15" s="3">
        <f t="shared" si="10"/>
        <v>1928.5</v>
      </c>
      <c r="P15" s="3">
        <f t="shared" si="10"/>
        <v>1928.5</v>
      </c>
      <c r="Q15" s="3">
        <f t="shared" si="10"/>
        <v>1928.5</v>
      </c>
    </row>
    <row r="16" spans="1:17" hidden="1" outlineLevel="1" x14ac:dyDescent="0.35">
      <c r="E16" s="14" t="s">
        <v>44</v>
      </c>
      <c r="H16" s="1" t="s">
        <v>19</v>
      </c>
      <c r="J16" s="10">
        <f>J17-J18</f>
        <v>0.6</v>
      </c>
      <c r="K16" s="10">
        <f t="shared" ref="K16:Q16" si="11">K17-K18</f>
        <v>0.6</v>
      </c>
      <c r="L16" s="10">
        <f t="shared" si="11"/>
        <v>0.6</v>
      </c>
      <c r="M16" s="10">
        <f t="shared" si="11"/>
        <v>0.6</v>
      </c>
      <c r="N16" s="10">
        <f t="shared" si="11"/>
        <v>0.6</v>
      </c>
      <c r="O16" s="10">
        <f t="shared" si="11"/>
        <v>0.6</v>
      </c>
      <c r="P16" s="10">
        <f t="shared" si="11"/>
        <v>0.6</v>
      </c>
      <c r="Q16" s="10">
        <f t="shared" si="11"/>
        <v>0.6</v>
      </c>
    </row>
    <row r="17" spans="4:17" hidden="1" outlineLevel="2" x14ac:dyDescent="0.35">
      <c r="E17" s="12"/>
      <c r="F17" s="1" t="s">
        <v>74</v>
      </c>
      <c r="H17" s="1" t="s">
        <v>19</v>
      </c>
      <c r="J17" s="15">
        <v>0.65</v>
      </c>
      <c r="K17" s="10">
        <f>J17</f>
        <v>0.65</v>
      </c>
      <c r="L17" s="10">
        <f t="shared" ref="L17:Q17" si="12">K17</f>
        <v>0.65</v>
      </c>
      <c r="M17" s="10">
        <f t="shared" si="12"/>
        <v>0.65</v>
      </c>
      <c r="N17" s="10">
        <f t="shared" si="12"/>
        <v>0.65</v>
      </c>
      <c r="O17" s="10">
        <f t="shared" si="12"/>
        <v>0.65</v>
      </c>
      <c r="P17" s="10">
        <f t="shared" si="12"/>
        <v>0.65</v>
      </c>
      <c r="Q17" s="10">
        <f t="shared" si="12"/>
        <v>0.65</v>
      </c>
    </row>
    <row r="18" spans="4:17" hidden="1" outlineLevel="2" x14ac:dyDescent="0.35">
      <c r="E18" s="12"/>
      <c r="F18" s="1" t="s">
        <v>35</v>
      </c>
      <c r="H18" s="1" t="s">
        <v>19</v>
      </c>
      <c r="J18" s="15">
        <v>0.05</v>
      </c>
      <c r="K18" s="10">
        <f t="shared" ref="K18:Q18" si="13">J18</f>
        <v>0.05</v>
      </c>
      <c r="L18" s="10">
        <f t="shared" si="13"/>
        <v>0.05</v>
      </c>
      <c r="M18" s="10">
        <f t="shared" si="13"/>
        <v>0.05</v>
      </c>
      <c r="N18" s="10">
        <f t="shared" si="13"/>
        <v>0.05</v>
      </c>
      <c r="O18" s="10">
        <f t="shared" si="13"/>
        <v>0.05</v>
      </c>
      <c r="P18" s="10">
        <f t="shared" si="13"/>
        <v>0.05</v>
      </c>
      <c r="Q18" s="10">
        <f t="shared" si="13"/>
        <v>0.05</v>
      </c>
    </row>
    <row r="19" spans="4:17" collapsed="1" x14ac:dyDescent="0.35">
      <c r="J19" s="10"/>
      <c r="K19" s="3"/>
      <c r="L19" s="3"/>
      <c r="M19" s="3"/>
      <c r="N19" s="3"/>
      <c r="O19" s="3"/>
      <c r="P19" s="3"/>
      <c r="Q19" s="3"/>
    </row>
    <row r="20" spans="4:17" x14ac:dyDescent="0.35">
      <c r="D20" s="2" t="s">
        <v>5</v>
      </c>
      <c r="H20" s="1" t="s">
        <v>45</v>
      </c>
      <c r="J20" s="7">
        <f t="shared" ref="J20:Q20" si="14">J21+J24+J27+J30</f>
        <v>521.54999999999995</v>
      </c>
      <c r="K20" s="7">
        <f t="shared" si="14"/>
        <v>560.26</v>
      </c>
      <c r="L20" s="7">
        <f t="shared" si="14"/>
        <v>574.47</v>
      </c>
      <c r="M20" s="7">
        <f t="shared" si="14"/>
        <v>609.995</v>
      </c>
      <c r="N20" s="7">
        <f t="shared" si="14"/>
        <v>609.995</v>
      </c>
      <c r="O20" s="7">
        <f t="shared" si="14"/>
        <v>609.995</v>
      </c>
      <c r="P20" s="7">
        <f t="shared" si="14"/>
        <v>609.995</v>
      </c>
      <c r="Q20" s="7">
        <f t="shared" si="14"/>
        <v>609.995</v>
      </c>
    </row>
    <row r="21" spans="4:17" x14ac:dyDescent="0.35">
      <c r="E21" s="1" t="s">
        <v>6</v>
      </c>
      <c r="H21" s="1" t="s">
        <v>45</v>
      </c>
      <c r="J21" s="3">
        <f t="shared" ref="J21:Q21" si="15">J22*J23</f>
        <v>46.550000000000004</v>
      </c>
      <c r="K21" s="3">
        <f t="shared" si="15"/>
        <v>85.26</v>
      </c>
      <c r="L21" s="3">
        <f t="shared" si="15"/>
        <v>99.470000000000013</v>
      </c>
      <c r="M21" s="3">
        <f t="shared" si="15"/>
        <v>134.995</v>
      </c>
      <c r="N21" s="3">
        <f t="shared" si="15"/>
        <v>134.995</v>
      </c>
      <c r="O21" s="3">
        <f t="shared" si="15"/>
        <v>134.995</v>
      </c>
      <c r="P21" s="3">
        <f t="shared" si="15"/>
        <v>134.995</v>
      </c>
      <c r="Q21" s="3">
        <f t="shared" si="15"/>
        <v>134.995</v>
      </c>
    </row>
    <row r="22" spans="4:17" hidden="1" outlineLevel="2" x14ac:dyDescent="0.35">
      <c r="F22" s="1" t="s">
        <v>0</v>
      </c>
      <c r="H22" s="1" t="s">
        <v>45</v>
      </c>
      <c r="J22" s="3">
        <f t="shared" ref="J22:Q22" si="16">J6</f>
        <v>665</v>
      </c>
      <c r="K22" s="3">
        <f t="shared" si="16"/>
        <v>1218</v>
      </c>
      <c r="L22" s="3">
        <f t="shared" si="16"/>
        <v>1421</v>
      </c>
      <c r="M22" s="3">
        <f t="shared" si="16"/>
        <v>1928.5</v>
      </c>
      <c r="N22" s="3">
        <f t="shared" si="16"/>
        <v>1928.5</v>
      </c>
      <c r="O22" s="3">
        <f t="shared" si="16"/>
        <v>1928.5</v>
      </c>
      <c r="P22" s="3">
        <f t="shared" si="16"/>
        <v>1928.5</v>
      </c>
      <c r="Q22" s="3">
        <f t="shared" si="16"/>
        <v>1928.5</v>
      </c>
    </row>
    <row r="23" spans="4:17" hidden="1" outlineLevel="2" x14ac:dyDescent="0.35">
      <c r="F23" s="1" t="s">
        <v>14</v>
      </c>
      <c r="H23" s="1" t="s">
        <v>19</v>
      </c>
      <c r="J23" s="27">
        <v>7.0000000000000007E-2</v>
      </c>
      <c r="K23" s="27">
        <v>7.0000000000000007E-2</v>
      </c>
      <c r="L23" s="27">
        <v>7.0000000000000007E-2</v>
      </c>
      <c r="M23" s="6">
        <f t="shared" ref="M23:Q23" si="17">L23</f>
        <v>7.0000000000000007E-2</v>
      </c>
      <c r="N23" s="6">
        <f t="shared" si="17"/>
        <v>7.0000000000000007E-2</v>
      </c>
      <c r="O23" s="6">
        <f t="shared" si="17"/>
        <v>7.0000000000000007E-2</v>
      </c>
      <c r="P23" s="6">
        <f t="shared" si="17"/>
        <v>7.0000000000000007E-2</v>
      </c>
      <c r="Q23" s="6">
        <f t="shared" si="17"/>
        <v>7.0000000000000007E-2</v>
      </c>
    </row>
    <row r="24" spans="4:17" collapsed="1" x14ac:dyDescent="0.35">
      <c r="E24" s="1" t="s">
        <v>7</v>
      </c>
      <c r="H24" s="1" t="s">
        <v>45</v>
      </c>
      <c r="J24" s="3">
        <f t="shared" ref="J24:Q24" si="18">J25*J26/1000</f>
        <v>270</v>
      </c>
      <c r="K24" s="3">
        <f t="shared" si="18"/>
        <v>270</v>
      </c>
      <c r="L24" s="3">
        <f t="shared" si="18"/>
        <v>270</v>
      </c>
      <c r="M24" s="3">
        <f t="shared" si="18"/>
        <v>270</v>
      </c>
      <c r="N24" s="3">
        <f t="shared" si="18"/>
        <v>270</v>
      </c>
      <c r="O24" s="3">
        <f t="shared" si="18"/>
        <v>270</v>
      </c>
      <c r="P24" s="3">
        <f t="shared" si="18"/>
        <v>270</v>
      </c>
      <c r="Q24" s="3">
        <f t="shared" si="18"/>
        <v>270</v>
      </c>
    </row>
    <row r="25" spans="4:17" hidden="1" outlineLevel="2" x14ac:dyDescent="0.35">
      <c r="F25" s="1" t="s">
        <v>13</v>
      </c>
      <c r="H25" s="1" t="s">
        <v>46</v>
      </c>
      <c r="J25" s="16">
        <f>50*12</f>
        <v>600</v>
      </c>
      <c r="K25" s="16">
        <f>J25</f>
        <v>600</v>
      </c>
      <c r="L25" s="16">
        <f t="shared" ref="L25:Q26" si="19">K25</f>
        <v>600</v>
      </c>
      <c r="M25" s="16">
        <f t="shared" si="19"/>
        <v>600</v>
      </c>
      <c r="N25" s="16">
        <f t="shared" si="19"/>
        <v>600</v>
      </c>
      <c r="O25" s="16">
        <f t="shared" si="19"/>
        <v>600</v>
      </c>
      <c r="P25" s="16">
        <f t="shared" si="19"/>
        <v>600</v>
      </c>
      <c r="Q25" s="16">
        <f t="shared" si="19"/>
        <v>600</v>
      </c>
    </row>
    <row r="26" spans="4:17" hidden="1" outlineLevel="2" x14ac:dyDescent="0.35">
      <c r="F26" s="1" t="s">
        <v>3</v>
      </c>
      <c r="H26" s="1" t="s">
        <v>18</v>
      </c>
      <c r="J26" s="16">
        <v>450</v>
      </c>
      <c r="K26" s="3">
        <f>J26</f>
        <v>450</v>
      </c>
      <c r="L26" s="3">
        <f t="shared" si="19"/>
        <v>450</v>
      </c>
      <c r="M26" s="3">
        <f t="shared" si="19"/>
        <v>450</v>
      </c>
      <c r="N26" s="3">
        <f t="shared" si="19"/>
        <v>450</v>
      </c>
      <c r="O26" s="3">
        <f t="shared" si="19"/>
        <v>450</v>
      </c>
      <c r="P26" s="3">
        <f t="shared" si="19"/>
        <v>450</v>
      </c>
      <c r="Q26" s="3">
        <f t="shared" si="19"/>
        <v>450</v>
      </c>
    </row>
    <row r="27" spans="4:17" collapsed="1" x14ac:dyDescent="0.35">
      <c r="E27" s="1" t="s">
        <v>42</v>
      </c>
      <c r="H27" s="1" t="s">
        <v>45</v>
      </c>
      <c r="J27" s="3">
        <f t="shared" ref="J27:Q27" si="20">J28*J29</f>
        <v>175</v>
      </c>
      <c r="K27" s="3">
        <f t="shared" si="20"/>
        <v>175</v>
      </c>
      <c r="L27" s="3">
        <f t="shared" si="20"/>
        <v>175</v>
      </c>
      <c r="M27" s="3">
        <f t="shared" si="20"/>
        <v>175</v>
      </c>
      <c r="N27" s="3">
        <f t="shared" si="20"/>
        <v>175</v>
      </c>
      <c r="O27" s="3">
        <f t="shared" si="20"/>
        <v>175</v>
      </c>
      <c r="P27" s="3">
        <f t="shared" si="20"/>
        <v>175</v>
      </c>
      <c r="Q27" s="3">
        <f t="shared" si="20"/>
        <v>175</v>
      </c>
    </row>
    <row r="28" spans="4:17" hidden="1" outlineLevel="1" x14ac:dyDescent="0.35">
      <c r="F28" s="1" t="s">
        <v>10</v>
      </c>
      <c r="H28" s="1" t="s">
        <v>12</v>
      </c>
      <c r="J28" s="16">
        <v>7</v>
      </c>
      <c r="K28" s="3">
        <f t="shared" ref="K28:Q30" si="21">J28</f>
        <v>7</v>
      </c>
      <c r="L28" s="3">
        <f t="shared" si="21"/>
        <v>7</v>
      </c>
      <c r="M28" s="3">
        <f t="shared" si="21"/>
        <v>7</v>
      </c>
      <c r="N28" s="3">
        <f t="shared" si="21"/>
        <v>7</v>
      </c>
      <c r="O28" s="3">
        <f t="shared" si="21"/>
        <v>7</v>
      </c>
      <c r="P28" s="3">
        <f t="shared" si="21"/>
        <v>7</v>
      </c>
      <c r="Q28" s="3">
        <f t="shared" si="21"/>
        <v>7</v>
      </c>
    </row>
    <row r="29" spans="4:17" hidden="1" outlineLevel="1" x14ac:dyDescent="0.35">
      <c r="F29" s="1" t="s">
        <v>11</v>
      </c>
      <c r="H29" s="1" t="s">
        <v>47</v>
      </c>
      <c r="J29" s="16">
        <v>25</v>
      </c>
      <c r="K29" s="3">
        <f t="shared" si="21"/>
        <v>25</v>
      </c>
      <c r="L29" s="3">
        <f t="shared" si="21"/>
        <v>25</v>
      </c>
      <c r="M29" s="3">
        <f t="shared" si="21"/>
        <v>25</v>
      </c>
      <c r="N29" s="3">
        <f t="shared" si="21"/>
        <v>25</v>
      </c>
      <c r="O29" s="3">
        <f t="shared" si="21"/>
        <v>25</v>
      </c>
      <c r="P29" s="3">
        <f t="shared" si="21"/>
        <v>25</v>
      </c>
      <c r="Q29" s="3">
        <f t="shared" si="21"/>
        <v>25</v>
      </c>
    </row>
    <row r="30" spans="4:17" collapsed="1" x14ac:dyDescent="0.35">
      <c r="E30" s="1" t="s">
        <v>9</v>
      </c>
      <c r="H30" s="1" t="s">
        <v>45</v>
      </c>
      <c r="J30" s="26">
        <v>30</v>
      </c>
      <c r="K30" s="1">
        <f t="shared" si="21"/>
        <v>30</v>
      </c>
      <c r="L30" s="1">
        <f t="shared" si="21"/>
        <v>30</v>
      </c>
      <c r="M30" s="1">
        <f t="shared" si="21"/>
        <v>30</v>
      </c>
      <c r="N30" s="1">
        <f t="shared" si="21"/>
        <v>30</v>
      </c>
      <c r="O30" s="1">
        <f t="shared" si="21"/>
        <v>30</v>
      </c>
      <c r="P30" s="1">
        <f t="shared" si="21"/>
        <v>30</v>
      </c>
      <c r="Q30" s="1">
        <f t="shared" si="21"/>
        <v>30</v>
      </c>
    </row>
    <row r="32" spans="4:17" x14ac:dyDescent="0.35">
      <c r="D32" s="2" t="s">
        <v>20</v>
      </c>
      <c r="H32" s="1" t="s">
        <v>45</v>
      </c>
      <c r="J32" s="7">
        <f t="shared" ref="J32:Q32" si="22">J14-J20</f>
        <v>-122.54999999999995</v>
      </c>
      <c r="K32" s="7">
        <f t="shared" si="22"/>
        <v>170.53999999999996</v>
      </c>
      <c r="L32" s="7">
        <f t="shared" si="22"/>
        <v>278.13</v>
      </c>
      <c r="M32" s="7">
        <f t="shared" si="22"/>
        <v>547.1049999999999</v>
      </c>
      <c r="N32" s="7">
        <f t="shared" si="22"/>
        <v>547.1049999999999</v>
      </c>
      <c r="O32" s="7">
        <f t="shared" si="22"/>
        <v>547.1049999999999</v>
      </c>
      <c r="P32" s="7">
        <f t="shared" si="22"/>
        <v>547.1049999999999</v>
      </c>
      <c r="Q32" s="7">
        <f t="shared" si="22"/>
        <v>547.1049999999999</v>
      </c>
    </row>
    <row r="34" spans="4:17" x14ac:dyDescent="0.35">
      <c r="D34" s="2" t="s">
        <v>15</v>
      </c>
      <c r="H34" s="1" t="s">
        <v>45</v>
      </c>
      <c r="J34" s="7">
        <f>J35*J43/1000</f>
        <v>396</v>
      </c>
      <c r="K34" s="3"/>
    </row>
    <row r="35" spans="4:17" hidden="1" outlineLevel="1" x14ac:dyDescent="0.35">
      <c r="D35" s="2"/>
      <c r="E35" s="1" t="s">
        <v>40</v>
      </c>
      <c r="H35" s="1" t="s">
        <v>46</v>
      </c>
      <c r="J35" s="11">
        <f>SUM(J36:J42)</f>
        <v>880</v>
      </c>
      <c r="K35" s="3">
        <f>J35-300-220-80</f>
        <v>280</v>
      </c>
    </row>
    <row r="36" spans="4:17" hidden="1" outlineLevel="2" x14ac:dyDescent="0.35">
      <c r="F36" s="1" t="s">
        <v>16</v>
      </c>
      <c r="H36" s="1" t="s">
        <v>46</v>
      </c>
      <c r="J36" s="16">
        <v>40</v>
      </c>
      <c r="K36" s="3"/>
    </row>
    <row r="37" spans="4:17" hidden="1" outlineLevel="2" x14ac:dyDescent="0.35">
      <c r="F37" s="1" t="s">
        <v>21</v>
      </c>
      <c r="H37" s="1" t="s">
        <v>46</v>
      </c>
      <c r="J37" s="16">
        <v>250</v>
      </c>
    </row>
    <row r="38" spans="4:17" hidden="1" outlineLevel="2" x14ac:dyDescent="0.35">
      <c r="F38" s="1" t="s">
        <v>17</v>
      </c>
      <c r="H38" s="1" t="s">
        <v>46</v>
      </c>
      <c r="J38" s="16">
        <v>400</v>
      </c>
    </row>
    <row r="39" spans="4:17" hidden="1" outlineLevel="2" x14ac:dyDescent="0.35">
      <c r="F39" s="1" t="s">
        <v>22</v>
      </c>
      <c r="H39" s="1" t="s">
        <v>46</v>
      </c>
      <c r="J39" s="16">
        <v>60</v>
      </c>
    </row>
    <row r="40" spans="4:17" hidden="1" outlineLevel="2" x14ac:dyDescent="0.35">
      <c r="F40" s="1" t="s">
        <v>23</v>
      </c>
      <c r="H40" s="1" t="s">
        <v>46</v>
      </c>
      <c r="J40" s="16">
        <v>40</v>
      </c>
    </row>
    <row r="41" spans="4:17" hidden="1" outlineLevel="2" x14ac:dyDescent="0.35">
      <c r="F41" s="1" t="s">
        <v>24</v>
      </c>
      <c r="H41" s="1" t="s">
        <v>46</v>
      </c>
      <c r="J41" s="16">
        <v>70</v>
      </c>
    </row>
    <row r="42" spans="4:17" hidden="1" outlineLevel="2" x14ac:dyDescent="0.35">
      <c r="F42" s="1" t="s">
        <v>37</v>
      </c>
      <c r="H42" s="1" t="s">
        <v>46</v>
      </c>
      <c r="J42" s="16">
        <v>20</v>
      </c>
    </row>
    <row r="43" spans="4:17" hidden="1" outlineLevel="1" x14ac:dyDescent="0.35">
      <c r="E43" s="1" t="s">
        <v>41</v>
      </c>
      <c r="H43" s="1" t="s">
        <v>18</v>
      </c>
      <c r="J43" s="3">
        <f>J26</f>
        <v>450</v>
      </c>
    </row>
    <row r="44" spans="4:17" collapsed="1" x14ac:dyDescent="0.35">
      <c r="D44" s="2" t="s">
        <v>28</v>
      </c>
      <c r="H44" s="1" t="s">
        <v>45</v>
      </c>
      <c r="J44" s="7">
        <f>J45*J46/1000</f>
        <v>157.5</v>
      </c>
    </row>
    <row r="45" spans="4:17" hidden="1" outlineLevel="1" x14ac:dyDescent="0.35">
      <c r="E45" s="1" t="s">
        <v>29</v>
      </c>
      <c r="H45" s="1" t="s">
        <v>46</v>
      </c>
      <c r="J45" s="16">
        <v>350</v>
      </c>
    </row>
    <row r="46" spans="4:17" hidden="1" outlineLevel="1" x14ac:dyDescent="0.35">
      <c r="E46" s="1" t="s">
        <v>3</v>
      </c>
      <c r="H46" s="1" t="s">
        <v>18</v>
      </c>
      <c r="J46" s="3">
        <f>J26</f>
        <v>450</v>
      </c>
    </row>
    <row r="47" spans="4:17" collapsed="1" x14ac:dyDescent="0.35">
      <c r="D47" s="2" t="s">
        <v>82</v>
      </c>
      <c r="H47" s="1" t="s">
        <v>45</v>
      </c>
      <c r="J47" s="7">
        <f>J32-J34-J44</f>
        <v>-676.05</v>
      </c>
      <c r="K47" s="7">
        <f t="shared" ref="K47:N47" si="23">K32-K34</f>
        <v>170.53999999999996</v>
      </c>
      <c r="L47" s="7">
        <f t="shared" si="23"/>
        <v>278.13</v>
      </c>
      <c r="M47" s="7">
        <f t="shared" si="23"/>
        <v>547.1049999999999</v>
      </c>
      <c r="N47" s="7">
        <f t="shared" si="23"/>
        <v>547.1049999999999</v>
      </c>
      <c r="O47" s="7">
        <f t="shared" ref="O47:Q47" si="24">O32-O34</f>
        <v>547.1049999999999</v>
      </c>
      <c r="P47" s="7">
        <f t="shared" si="24"/>
        <v>547.1049999999999</v>
      </c>
      <c r="Q47" s="7">
        <f t="shared" si="24"/>
        <v>547.1049999999999</v>
      </c>
    </row>
    <row r="50" spans="4:19" x14ac:dyDescent="0.35">
      <c r="D50" s="2" t="s">
        <v>84</v>
      </c>
      <c r="H50" s="1" t="s">
        <v>45</v>
      </c>
      <c r="J50" s="7">
        <f>NPV(J51,J47:N47)</f>
        <v>672.23037355900487</v>
      </c>
    </row>
    <row r="51" spans="4:19" x14ac:dyDescent="0.35">
      <c r="D51" s="2"/>
      <c r="E51" s="1" t="s">
        <v>85</v>
      </c>
      <c r="H51" s="1" t="s">
        <v>19</v>
      </c>
      <c r="J51" s="23">
        <v>0.04</v>
      </c>
    </row>
    <row r="53" spans="4:19" x14ac:dyDescent="0.35">
      <c r="D53" s="2" t="s">
        <v>83</v>
      </c>
      <c r="H53" s="1" t="s">
        <v>19</v>
      </c>
      <c r="J53" s="5">
        <f>IRR(J47:N47)</f>
        <v>0.34238173026486129</v>
      </c>
    </row>
    <row r="55" spans="4:19" x14ac:dyDescent="0.35">
      <c r="D55" s="2" t="s">
        <v>32</v>
      </c>
      <c r="H55" s="1" t="s">
        <v>19</v>
      </c>
      <c r="J55" s="8">
        <f>J56/J57</f>
        <v>-0.18428571428571422</v>
      </c>
      <c r="K55" s="8">
        <f t="shared" ref="K55:Q55" si="25">K56/K57</f>
        <v>0.14001642036124792</v>
      </c>
      <c r="L55" s="8">
        <f t="shared" si="25"/>
        <v>0.19572836030964111</v>
      </c>
      <c r="M55" s="8">
        <f t="shared" si="25"/>
        <v>0.28369458128078812</v>
      </c>
      <c r="N55" s="8">
        <f t="shared" si="25"/>
        <v>0.28369458128078812</v>
      </c>
      <c r="O55" s="8">
        <f t="shared" si="25"/>
        <v>0.28369458128078812</v>
      </c>
      <c r="P55" s="8">
        <f t="shared" si="25"/>
        <v>0.28369458128078812</v>
      </c>
      <c r="Q55" s="8">
        <f t="shared" si="25"/>
        <v>0.28369458128078812</v>
      </c>
    </row>
    <row r="56" spans="4:19" hidden="1" outlineLevel="1" x14ac:dyDescent="0.35">
      <c r="E56" s="1" t="s">
        <v>20</v>
      </c>
      <c r="H56" s="1" t="s">
        <v>45</v>
      </c>
      <c r="J56" s="3">
        <f t="shared" ref="J56:Q56" si="26">J32</f>
        <v>-122.54999999999995</v>
      </c>
      <c r="K56" s="3">
        <f t="shared" si="26"/>
        <v>170.53999999999996</v>
      </c>
      <c r="L56" s="3">
        <f t="shared" si="26"/>
        <v>278.13</v>
      </c>
      <c r="M56" s="3">
        <f t="shared" si="26"/>
        <v>547.1049999999999</v>
      </c>
      <c r="N56" s="3">
        <f t="shared" si="26"/>
        <v>547.1049999999999</v>
      </c>
      <c r="O56" s="3">
        <f t="shared" si="26"/>
        <v>547.1049999999999</v>
      </c>
      <c r="P56" s="3">
        <f t="shared" si="26"/>
        <v>547.1049999999999</v>
      </c>
      <c r="Q56" s="3">
        <f t="shared" si="26"/>
        <v>547.1049999999999</v>
      </c>
    </row>
    <row r="57" spans="4:19" hidden="1" outlineLevel="1" x14ac:dyDescent="0.35">
      <c r="E57" s="1" t="s">
        <v>0</v>
      </c>
      <c r="H57" s="1" t="s">
        <v>45</v>
      </c>
      <c r="J57" s="3">
        <f t="shared" ref="J57:Q57" si="27">J6</f>
        <v>665</v>
      </c>
      <c r="K57" s="3">
        <f t="shared" si="27"/>
        <v>1218</v>
      </c>
      <c r="L57" s="3">
        <f t="shared" si="27"/>
        <v>1421</v>
      </c>
      <c r="M57" s="3">
        <f t="shared" si="27"/>
        <v>1928.5</v>
      </c>
      <c r="N57" s="3">
        <f t="shared" si="27"/>
        <v>1928.5</v>
      </c>
      <c r="O57" s="3">
        <f t="shared" si="27"/>
        <v>1928.5</v>
      </c>
      <c r="P57" s="3">
        <f t="shared" si="27"/>
        <v>1928.5</v>
      </c>
      <c r="Q57" s="3">
        <f t="shared" si="27"/>
        <v>1928.5</v>
      </c>
    </row>
    <row r="58" spans="4:19" collapsed="1" x14ac:dyDescent="0.35">
      <c r="D58" s="2" t="s">
        <v>38</v>
      </c>
      <c r="S58" s="1"/>
    </row>
    <row r="59" spans="4:19" x14ac:dyDescent="0.35">
      <c r="E59" s="1" t="s">
        <v>39</v>
      </c>
      <c r="H59" s="1" t="s">
        <v>19</v>
      </c>
      <c r="J59" s="10">
        <f>J60/J61</f>
        <v>0.40601503759398494</v>
      </c>
      <c r="K59" s="10">
        <f t="shared" ref="K59:Q59" si="28">K60/K61</f>
        <v>0.22167487684729065</v>
      </c>
      <c r="L59" s="10">
        <f t="shared" si="28"/>
        <v>0.19000703729767771</v>
      </c>
      <c r="M59" s="10">
        <f t="shared" si="28"/>
        <v>0.14000518537723619</v>
      </c>
      <c r="N59" s="10">
        <f t="shared" si="28"/>
        <v>0.14000518537723619</v>
      </c>
      <c r="O59" s="10">
        <f t="shared" si="28"/>
        <v>0.14000518537723619</v>
      </c>
      <c r="P59" s="10">
        <f t="shared" si="28"/>
        <v>0.14000518537723619</v>
      </c>
      <c r="Q59" s="10">
        <f t="shared" si="28"/>
        <v>0.14000518537723619</v>
      </c>
      <c r="S59" s="1"/>
    </row>
    <row r="60" spans="4:19" hidden="1" outlineLevel="1" x14ac:dyDescent="0.35">
      <c r="F60" s="1" t="s">
        <v>7</v>
      </c>
      <c r="H60" s="1" t="s">
        <v>45</v>
      </c>
      <c r="J60" s="3">
        <f t="shared" ref="J60:Q60" si="29">J24</f>
        <v>270</v>
      </c>
      <c r="K60" s="3">
        <f t="shared" si="29"/>
        <v>270</v>
      </c>
      <c r="L60" s="3">
        <f t="shared" si="29"/>
        <v>270</v>
      </c>
      <c r="M60" s="3">
        <f t="shared" si="29"/>
        <v>270</v>
      </c>
      <c r="N60" s="3">
        <f t="shared" si="29"/>
        <v>270</v>
      </c>
      <c r="O60" s="3">
        <f t="shared" si="29"/>
        <v>270</v>
      </c>
      <c r="P60" s="3">
        <f t="shared" si="29"/>
        <v>270</v>
      </c>
      <c r="Q60" s="3">
        <f t="shared" si="29"/>
        <v>270</v>
      </c>
      <c r="S60" s="1"/>
    </row>
    <row r="61" spans="4:19" hidden="1" outlineLevel="1" x14ac:dyDescent="0.35">
      <c r="F61" s="1" t="s">
        <v>36</v>
      </c>
      <c r="H61" s="1" t="s">
        <v>45</v>
      </c>
      <c r="J61" s="3">
        <f t="shared" ref="J61:Q61" si="30">J6</f>
        <v>665</v>
      </c>
      <c r="K61" s="3">
        <f t="shared" si="30"/>
        <v>1218</v>
      </c>
      <c r="L61" s="3">
        <f t="shared" si="30"/>
        <v>1421</v>
      </c>
      <c r="M61" s="3">
        <f t="shared" si="30"/>
        <v>1928.5</v>
      </c>
      <c r="N61" s="3">
        <f t="shared" si="30"/>
        <v>1928.5</v>
      </c>
      <c r="O61" s="3">
        <f t="shared" si="30"/>
        <v>1928.5</v>
      </c>
      <c r="P61" s="3">
        <f t="shared" si="30"/>
        <v>1928.5</v>
      </c>
      <c r="Q61" s="3">
        <f t="shared" si="30"/>
        <v>1928.5</v>
      </c>
      <c r="S61" s="1"/>
    </row>
    <row r="62" spans="4:19" collapsed="1" x14ac:dyDescent="0.35">
      <c r="E62" s="1" t="s">
        <v>43</v>
      </c>
      <c r="H62" s="1" t="s">
        <v>19</v>
      </c>
      <c r="J62" s="10">
        <f>J63/J64</f>
        <v>0.26315789473684209</v>
      </c>
      <c r="K62" s="10">
        <f t="shared" ref="K62:Q62" si="31">K63/K64</f>
        <v>0.14367816091954022</v>
      </c>
      <c r="L62" s="10">
        <f t="shared" si="31"/>
        <v>0.12315270935960591</v>
      </c>
      <c r="M62" s="10">
        <f t="shared" si="31"/>
        <v>9.0744101633393831E-2</v>
      </c>
      <c r="N62" s="10">
        <f t="shared" si="31"/>
        <v>9.0744101633393831E-2</v>
      </c>
      <c r="O62" s="10">
        <f t="shared" si="31"/>
        <v>9.0744101633393831E-2</v>
      </c>
      <c r="P62" s="10">
        <f t="shared" si="31"/>
        <v>9.0744101633393831E-2</v>
      </c>
      <c r="Q62" s="10">
        <f t="shared" si="31"/>
        <v>9.0744101633393831E-2</v>
      </c>
      <c r="S62" s="1"/>
    </row>
    <row r="63" spans="4:19" hidden="1" outlineLevel="1" x14ac:dyDescent="0.35">
      <c r="F63" s="1" t="s">
        <v>8</v>
      </c>
      <c r="H63" s="1" t="s">
        <v>45</v>
      </c>
      <c r="J63" s="3">
        <f>J27</f>
        <v>175</v>
      </c>
      <c r="K63" s="3">
        <f t="shared" ref="K63:Q63" si="32">K27</f>
        <v>175</v>
      </c>
      <c r="L63" s="3">
        <f t="shared" si="32"/>
        <v>175</v>
      </c>
      <c r="M63" s="3">
        <f t="shared" si="32"/>
        <v>175</v>
      </c>
      <c r="N63" s="3">
        <f t="shared" si="32"/>
        <v>175</v>
      </c>
      <c r="O63" s="3">
        <f t="shared" si="32"/>
        <v>175</v>
      </c>
      <c r="P63" s="3">
        <f t="shared" si="32"/>
        <v>175</v>
      </c>
      <c r="Q63" s="3">
        <f t="shared" si="32"/>
        <v>175</v>
      </c>
      <c r="S63" s="1"/>
    </row>
    <row r="64" spans="4:19" hidden="1" outlineLevel="1" x14ac:dyDescent="0.35">
      <c r="F64" s="1" t="s">
        <v>36</v>
      </c>
      <c r="H64" s="1" t="s">
        <v>45</v>
      </c>
      <c r="J64" s="3">
        <f>J$6</f>
        <v>665</v>
      </c>
      <c r="K64" s="3">
        <f t="shared" ref="K64:Q64" si="33">K$6</f>
        <v>1218</v>
      </c>
      <c r="L64" s="3">
        <f t="shared" si="33"/>
        <v>1421</v>
      </c>
      <c r="M64" s="3">
        <f t="shared" si="33"/>
        <v>1928.5</v>
      </c>
      <c r="N64" s="3">
        <f t="shared" si="33"/>
        <v>1928.5</v>
      </c>
      <c r="O64" s="3">
        <f t="shared" si="33"/>
        <v>1928.5</v>
      </c>
      <c r="P64" s="3">
        <f t="shared" si="33"/>
        <v>1928.5</v>
      </c>
      <c r="Q64" s="3">
        <f t="shared" si="33"/>
        <v>1928.5</v>
      </c>
      <c r="S64" s="1"/>
    </row>
    <row r="65" collapsed="1" x14ac:dyDescent="0.35"/>
  </sheetData>
  <hyperlinks>
    <hyperlink ref="Q2" location="Master!A1" display="Bac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W41"/>
  <sheetViews>
    <sheetView zoomScale="70" zoomScaleNormal="70" workbookViewId="0">
      <pane xSplit="9" ySplit="4" topLeftCell="J5" activePane="bottomRight" state="frozen"/>
      <selection activeCell="O2" sqref="O2"/>
      <selection pane="topRight" activeCell="O2" sqref="O2"/>
      <selection pane="bottomLeft" activeCell="O2" sqref="O2"/>
      <selection pane="bottomRight" activeCell="L7" sqref="L7:P7"/>
    </sheetView>
  </sheetViews>
  <sheetFormatPr defaultColWidth="9.1796875" defaultRowHeight="14.5" x14ac:dyDescent="0.35"/>
  <cols>
    <col min="1" max="1" width="4.08984375" style="1" customWidth="1"/>
    <col min="2" max="2" width="3.6328125" style="1" customWidth="1"/>
    <col min="3" max="3" width="3.81640625" style="1" customWidth="1"/>
    <col min="4" max="4" width="5.1796875" style="1" customWidth="1"/>
    <col min="5" max="5" width="5.54296875" style="1" customWidth="1"/>
    <col min="6" max="6" width="9.1796875" style="1"/>
    <col min="7" max="7" width="2.54296875" style="1" customWidth="1"/>
    <col min="8" max="8" width="21.81640625" style="1" customWidth="1"/>
    <col min="9" max="9" width="10" style="1" bestFit="1" customWidth="1"/>
    <col min="10" max="16384" width="9.1796875" style="1"/>
  </cols>
  <sheetData>
    <row r="1" spans="1:23" x14ac:dyDescent="0.35">
      <c r="A1" s="2" t="s">
        <v>136</v>
      </c>
      <c r="B1" s="2"/>
      <c r="C1" s="2"/>
      <c r="D1" s="2"/>
    </row>
    <row r="2" spans="1:23" x14ac:dyDescent="0.35">
      <c r="J2" s="35" t="s">
        <v>130</v>
      </c>
      <c r="K2" s="3"/>
      <c r="L2" s="3"/>
      <c r="M2" s="3"/>
      <c r="N2" s="3"/>
      <c r="O2" s="3"/>
      <c r="P2" s="3"/>
      <c r="Q2" s="36"/>
      <c r="R2" s="3"/>
      <c r="S2" s="3"/>
      <c r="T2" s="3"/>
      <c r="U2" s="3"/>
      <c r="V2" s="35" t="s">
        <v>130</v>
      </c>
    </row>
    <row r="4" spans="1:23" x14ac:dyDescent="0.35">
      <c r="J4" s="2">
        <f>Parameteres!J16</f>
        <v>2023</v>
      </c>
      <c r="K4" s="2">
        <f>J4+1</f>
        <v>2024</v>
      </c>
      <c r="L4" s="2">
        <f t="shared" ref="L4:P4" si="0">K4+1</f>
        <v>2025</v>
      </c>
      <c r="M4" s="2">
        <f t="shared" si="0"/>
        <v>2026</v>
      </c>
      <c r="N4" s="2">
        <f t="shared" si="0"/>
        <v>2027</v>
      </c>
      <c r="O4" s="2">
        <f t="shared" si="0"/>
        <v>2028</v>
      </c>
      <c r="P4" s="2">
        <f t="shared" si="0"/>
        <v>2029</v>
      </c>
    </row>
    <row r="6" spans="1:23" s="2" customFormat="1" x14ac:dyDescent="0.35">
      <c r="E6" s="2" t="s">
        <v>174</v>
      </c>
      <c r="I6" s="2" t="s">
        <v>138</v>
      </c>
      <c r="J6" s="2">
        <f>J7</f>
        <v>10</v>
      </c>
      <c r="K6" s="2">
        <f t="shared" ref="K6:P6" si="1">J6+K7</f>
        <v>30</v>
      </c>
      <c r="L6" s="2">
        <f t="shared" si="1"/>
        <v>50</v>
      </c>
      <c r="M6" s="2">
        <f t="shared" si="1"/>
        <v>70</v>
      </c>
      <c r="N6" s="2">
        <f t="shared" si="1"/>
        <v>90</v>
      </c>
      <c r="O6" s="2">
        <f t="shared" si="1"/>
        <v>110</v>
      </c>
      <c r="P6" s="2">
        <f t="shared" si="1"/>
        <v>130</v>
      </c>
    </row>
    <row r="7" spans="1:23" x14ac:dyDescent="0.35">
      <c r="F7" s="52" t="s">
        <v>142</v>
      </c>
      <c r="I7" s="1" t="s">
        <v>138</v>
      </c>
      <c r="J7" s="26">
        <v>10</v>
      </c>
      <c r="K7" s="26">
        <v>20</v>
      </c>
      <c r="L7" s="26">
        <v>20</v>
      </c>
      <c r="M7" s="26">
        <v>20</v>
      </c>
      <c r="N7" s="26">
        <v>20</v>
      </c>
      <c r="O7" s="26">
        <v>20</v>
      </c>
      <c r="P7" s="26">
        <v>20</v>
      </c>
    </row>
    <row r="10" spans="1:23" x14ac:dyDescent="0.35">
      <c r="E10" s="2" t="s">
        <v>49</v>
      </c>
      <c r="I10" s="1" t="s">
        <v>143</v>
      </c>
      <c r="J10" s="7">
        <f>SUM(J11:J17)</f>
        <v>6.65</v>
      </c>
      <c r="K10" s="7">
        <f t="shared" ref="K10:P10" si="2">SUM(K11:K17)</f>
        <v>25.48</v>
      </c>
      <c r="L10" s="7">
        <f t="shared" si="2"/>
        <v>51.870000000000005</v>
      </c>
      <c r="M10" s="7">
        <f t="shared" si="2"/>
        <v>85.364999999999995</v>
      </c>
      <c r="N10" s="7">
        <f t="shared" si="2"/>
        <v>123.935</v>
      </c>
      <c r="O10" s="7">
        <f t="shared" si="2"/>
        <v>162.50500000000002</v>
      </c>
      <c r="P10" s="7">
        <f t="shared" si="2"/>
        <v>201.07500000000005</v>
      </c>
    </row>
    <row r="11" spans="1:23" x14ac:dyDescent="0.35">
      <c r="E11" s="2"/>
      <c r="F11" s="1">
        <f>$J$4</f>
        <v>2023</v>
      </c>
      <c r="I11" s="1" t="s">
        <v>143</v>
      </c>
      <c r="J11" s="3">
        <f>SUMIFS(Shop!$J$6:$Q$6,Shop!$J$4:$Q$4,MATCH(J$4-$F11+1,Shop!$J$4:$Q$4))*SUMIFS($J$7:$P$7,$J$4:$P$4,$F11)/1000</f>
        <v>6.65</v>
      </c>
      <c r="K11" s="3">
        <f>SUMIFS(Shop!$J$6:$Q$6,Shop!$J$4:$Q$4,MATCH(K$4-$F11+1,Shop!$J$4:$Q$4))*SUMIFS($J$7:$P$7,$J$4:$P$4,$F11)/1000</f>
        <v>12.18</v>
      </c>
      <c r="L11" s="3">
        <f>SUMIFS(Shop!$J$6:$Q$6,Shop!$J$4:$Q$4,MATCH(L$4-$F11+1,Shop!$J$4:$Q$4))*SUMIFS($J$7:$P$7,$J$4:$P$4,$F11)/1000</f>
        <v>14.21</v>
      </c>
      <c r="M11" s="3">
        <f>SUMIFS(Shop!$J$6:$Q$6,Shop!$J$4:$Q$4,MATCH(M$4-$F11+1,Shop!$J$4:$Q$4))*SUMIFS($J$7:$P$7,$J$4:$P$4,$F11)/1000</f>
        <v>19.285</v>
      </c>
      <c r="N11" s="3">
        <f>SUMIFS(Shop!$J$6:$Q$6,Shop!$J$4:$Q$4,MATCH(N$4-$F11+1,Shop!$J$4:$Q$4))*SUMIFS($J$7:$P$7,$J$4:$P$4,$F11)/1000</f>
        <v>19.285</v>
      </c>
      <c r="O11" s="3">
        <f>SUMIFS(Shop!$J$6:$Q$6,Shop!$J$4:$Q$4,MATCH(O$4-$F11+1,Shop!$J$4:$Q$4))*SUMIFS($J$7:$P$7,$J$4:$P$4,$F11)/1000</f>
        <v>19.285</v>
      </c>
      <c r="P11" s="3">
        <f>SUMIFS(Shop!$J$6:$Q$6,Shop!$J$4:$Q$4,MATCH(P$4-$F11+1,Shop!$J$4:$Q$4))*SUMIFS($J$7:$P$7,$J$4:$P$4,$F11)/1000</f>
        <v>19.285</v>
      </c>
      <c r="Q11" s="3"/>
    </row>
    <row r="12" spans="1:23" x14ac:dyDescent="0.35">
      <c r="F12" s="4">
        <f>$K$4</f>
        <v>2024</v>
      </c>
      <c r="I12" s="1" t="s">
        <v>143</v>
      </c>
      <c r="J12" s="3">
        <f>SUMIFS(Shop!$J$6:$Q$6,Shop!$J$4:$Q$4,MATCH(J$4-$F12+1,Shop!$J$4:$Q$4))*SUMIFS($J$7:$P$7,$J$4:$P$4,$F12)/1000</f>
        <v>0</v>
      </c>
      <c r="K12" s="3">
        <f>SUMIFS(Shop!$J$6:$Q$6,Shop!$J$4:$Q$4,MATCH(K$4-$F12+1,Shop!$J$4:$Q$4))*SUMIFS($J$7:$P$7,$J$4:$P$4,$F12)/1000</f>
        <v>13.3</v>
      </c>
      <c r="L12" s="3">
        <f>SUMIFS(Shop!$J$6:$Q$6,Shop!$J$4:$Q$4,MATCH(L$4-$F12+1,Shop!$J$4:$Q$4))*SUMIFS($J$7:$P$7,$J$4:$P$4,$F12)/1000</f>
        <v>24.36</v>
      </c>
      <c r="M12" s="3">
        <f>SUMIFS(Shop!$J$6:$Q$6,Shop!$J$4:$Q$4,MATCH(M$4-$F12+1,Shop!$J$4:$Q$4))*SUMIFS($J$7:$P$7,$J$4:$P$4,$F12)/1000</f>
        <v>28.42</v>
      </c>
      <c r="N12" s="3">
        <f>SUMIFS(Shop!$J$6:$Q$6,Shop!$J$4:$Q$4,MATCH(N$4-$F12+1,Shop!$J$4:$Q$4))*SUMIFS($J$7:$P$7,$J$4:$P$4,$F12)/1000</f>
        <v>38.57</v>
      </c>
      <c r="O12" s="3">
        <f>SUMIFS(Shop!$J$6:$Q$6,Shop!$J$4:$Q$4,MATCH(O$4-$F12+1,Shop!$J$4:$Q$4))*SUMIFS($J$7:$P$7,$J$4:$P$4,$F12)/1000</f>
        <v>38.57</v>
      </c>
      <c r="P12" s="3">
        <f>SUMIFS(Shop!$J$6:$Q$6,Shop!$J$4:$Q$4,MATCH(P$4-$F12+1,Shop!$J$4:$Q$4))*SUMIFS($J$7:$P$7,$J$4:$P$4,$F12)/1000</f>
        <v>38.57</v>
      </c>
      <c r="Q12" s="3"/>
      <c r="R12" s="3"/>
      <c r="S12" s="3"/>
      <c r="T12" s="3"/>
      <c r="U12" s="3"/>
    </row>
    <row r="13" spans="1:23" x14ac:dyDescent="0.35">
      <c r="F13" s="1">
        <f>$L$4</f>
        <v>2025</v>
      </c>
      <c r="I13" s="1" t="s">
        <v>143</v>
      </c>
      <c r="J13" s="3">
        <f>SUMIFS(Shop!$J$6:$Q$6,Shop!$J$4:$Q$4,MATCH(J$4-$F13+1,Shop!$J$4:$Q$4))*SUMIFS($J$7:$P$7,$J$4:$P$4,$F13)/1000</f>
        <v>0</v>
      </c>
      <c r="K13" s="3">
        <f>SUMIFS(Shop!$J$6:$Q$6,Shop!$J$4:$Q$4,MATCH(K$4-$F13+1,Shop!$J$4:$Q$4))*SUMIFS($J$7:$P$7,$J$4:$P$4,$F13)/1000</f>
        <v>0</v>
      </c>
      <c r="L13" s="3">
        <f>SUMIFS(Shop!$J$6:$Q$6,Shop!$J$4:$Q$4,MATCH(L$4-$F13+1,Shop!$J$4:$Q$4))*SUMIFS($J$7:$P$7,$J$4:$P$4,$F13)/1000</f>
        <v>13.3</v>
      </c>
      <c r="M13" s="3">
        <f>SUMIFS(Shop!$J$6:$Q$6,Shop!$J$4:$Q$4,MATCH(M$4-$F13+1,Shop!$J$4:$Q$4))*SUMIFS($J$7:$P$7,$J$4:$P$4,$F13)/1000</f>
        <v>24.36</v>
      </c>
      <c r="N13" s="3">
        <f>SUMIFS(Shop!$J$6:$Q$6,Shop!$J$4:$Q$4,MATCH(N$4-$F13+1,Shop!$J$4:$Q$4))*SUMIFS($J$7:$P$7,$J$4:$P$4,$F13)/1000</f>
        <v>28.42</v>
      </c>
      <c r="O13" s="3">
        <f>SUMIFS(Shop!$J$6:$Q$6,Shop!$J$4:$Q$4,MATCH(O$4-$F13+1,Shop!$J$4:$Q$4))*SUMIFS($J$7:$P$7,$J$4:$P$4,$F13)/1000</f>
        <v>38.57</v>
      </c>
      <c r="P13" s="3">
        <f>SUMIFS(Shop!$J$6:$Q$6,Shop!$J$4:$Q$4,MATCH(P$4-$F13+1,Shop!$J$4:$Q$4))*SUMIFS($J$7:$P$7,$J$4:$P$4,$F13)/1000</f>
        <v>38.57</v>
      </c>
      <c r="U13" s="3"/>
      <c r="V13" s="3"/>
      <c r="W13" s="3"/>
    </row>
    <row r="14" spans="1:23" x14ac:dyDescent="0.35">
      <c r="F14" s="4">
        <f>M$4</f>
        <v>2026</v>
      </c>
      <c r="I14" s="1" t="s">
        <v>143</v>
      </c>
      <c r="J14" s="3">
        <f>SUMIFS(Shop!$J$6:$Q$6,Shop!$J$4:$Q$4,MATCH(J$4-$F14+1,Shop!$J$4:$Q$4))*SUMIFS($J$7:$P$7,$J$4:$P$4,$F14)/1000</f>
        <v>0</v>
      </c>
      <c r="K14" s="3">
        <f>SUMIFS(Shop!$J$6:$Q$6,Shop!$J$4:$Q$4,MATCH(K$4-$F14+1,Shop!$J$4:$Q$4))*SUMIFS($J$7:$P$7,$J$4:$P$4,$F14)/1000</f>
        <v>0</v>
      </c>
      <c r="L14" s="3">
        <f>SUMIFS(Shop!$J$6:$Q$6,Shop!$J$4:$Q$4,MATCH(L$4-$F14+1,Shop!$J$4:$Q$4))*SUMIFS($J$7:$P$7,$J$4:$P$4,$F14)/1000</f>
        <v>0</v>
      </c>
      <c r="M14" s="3">
        <f>SUMIFS(Shop!$J$6:$Q$6,Shop!$J$4:$Q$4,MATCH(M$4-$F14+1,Shop!$J$4:$Q$4))*SUMIFS($J$7:$P$7,$J$4:$P$4,$F14)/1000</f>
        <v>13.3</v>
      </c>
      <c r="N14" s="3">
        <f>SUMIFS(Shop!$J$6:$Q$6,Shop!$J$4:$Q$4,MATCH(N$4-$F14+1,Shop!$J$4:$Q$4))*SUMIFS($J$7:$P$7,$J$4:$P$4,$F14)/1000</f>
        <v>24.36</v>
      </c>
      <c r="O14" s="3">
        <f>SUMIFS(Shop!$J$6:$Q$6,Shop!$J$4:$Q$4,MATCH(O$4-$F14+1,Shop!$J$4:$Q$4))*SUMIFS($J$7:$P$7,$J$4:$P$4,$F14)/1000</f>
        <v>28.42</v>
      </c>
      <c r="P14" s="3">
        <f>SUMIFS(Shop!$J$6:$Q$6,Shop!$J$4:$Q$4,MATCH(P$4-$F14+1,Shop!$J$4:$Q$4))*SUMIFS($J$7:$P$7,$J$4:$P$4,$F14)/1000</f>
        <v>38.57</v>
      </c>
    </row>
    <row r="15" spans="1:23" x14ac:dyDescent="0.35">
      <c r="F15" s="1">
        <f>$N$4</f>
        <v>2027</v>
      </c>
      <c r="I15" s="1" t="s">
        <v>143</v>
      </c>
      <c r="J15" s="3">
        <f>SUMIFS(Shop!$J$6:$Q$6,Shop!$J$4:$Q$4,MATCH(J$4-$F15+1,Shop!$J$4:$Q$4))*SUMIFS($J$7:$P$7,$J$4:$P$4,$F15)/1000</f>
        <v>0</v>
      </c>
      <c r="K15" s="3">
        <f>SUMIFS(Shop!$J$6:$Q$6,Shop!$J$4:$Q$4,MATCH(K$4-$F15+1,Shop!$J$4:$Q$4))*SUMIFS($J$7:$P$7,$J$4:$P$4,$F15)/1000</f>
        <v>0</v>
      </c>
      <c r="L15" s="3">
        <f>SUMIFS(Shop!$J$6:$Q$6,Shop!$J$4:$Q$4,MATCH(L$4-$F15+1,Shop!$J$4:$Q$4))*SUMIFS($J$7:$P$7,$J$4:$P$4,$F15)/1000</f>
        <v>0</v>
      </c>
      <c r="M15" s="3">
        <f>SUMIFS(Shop!$J$6:$Q$6,Shop!$J$4:$Q$4,MATCH(M$4-$F15+1,Shop!$J$4:$Q$4))*SUMIFS($J$7:$P$7,$J$4:$P$4,$F15)/1000</f>
        <v>0</v>
      </c>
      <c r="N15" s="3">
        <f>SUMIFS(Shop!$J$6:$Q$6,Shop!$J$4:$Q$4,MATCH(N$4-$F15+1,Shop!$J$4:$Q$4))*SUMIFS($J$7:$P$7,$J$4:$P$4,$F15)/1000</f>
        <v>13.3</v>
      </c>
      <c r="O15" s="3">
        <f>SUMIFS(Shop!$J$6:$Q$6,Shop!$J$4:$Q$4,MATCH(O$4-$F15+1,Shop!$J$4:$Q$4))*SUMIFS($J$7:$P$7,$J$4:$P$4,$F15)/1000</f>
        <v>24.36</v>
      </c>
      <c r="P15" s="3">
        <f>SUMIFS(Shop!$J$6:$Q$6,Shop!$J$4:$Q$4,MATCH(P$4-$F15+1,Shop!$J$4:$Q$4))*SUMIFS($J$7:$P$7,$J$4:$P$4,$F15)/1000</f>
        <v>28.42</v>
      </c>
    </row>
    <row r="16" spans="1:23" x14ac:dyDescent="0.35">
      <c r="E16" s="2"/>
      <c r="F16" s="4">
        <f>$O$4</f>
        <v>2028</v>
      </c>
      <c r="I16" s="1" t="s">
        <v>143</v>
      </c>
      <c r="J16" s="3">
        <f>SUMIFS(Shop!$J$6:$Q$6,Shop!$J$4:$Q$4,MATCH(J$4-$F16+1,Shop!$J$4:$Q$4))*SUMIFS($J$7:$P$7,$J$4:$P$4,$F16)/1000</f>
        <v>0</v>
      </c>
      <c r="K16" s="3">
        <f>SUMIFS(Shop!$J$6:$Q$6,Shop!$J$4:$Q$4,MATCH(K$4-$F16+1,Shop!$J$4:$Q$4))*SUMIFS($J$7:$P$7,$J$4:$P$4,$F16)/1000</f>
        <v>0</v>
      </c>
      <c r="L16" s="3">
        <f>SUMIFS(Shop!$J$6:$Q$6,Shop!$J$4:$Q$4,MATCH(L$4-$F16+1,Shop!$J$4:$Q$4))*SUMIFS($J$7:$P$7,$J$4:$P$4,$F16)/1000</f>
        <v>0</v>
      </c>
      <c r="M16" s="3">
        <f>SUMIFS(Shop!$J$6:$Q$6,Shop!$J$4:$Q$4,MATCH(M$4-$F16+1,Shop!$J$4:$Q$4))*SUMIFS($J$7:$P$7,$J$4:$P$4,$F16)/1000</f>
        <v>0</v>
      </c>
      <c r="N16" s="3">
        <f>SUMIFS(Shop!$J$6:$Q$6,Shop!$J$4:$Q$4,MATCH(N$4-$F16+1,Shop!$J$4:$Q$4))*SUMIFS($J$7:$P$7,$J$4:$P$4,$F16)/1000</f>
        <v>0</v>
      </c>
      <c r="O16" s="3">
        <f>SUMIFS(Shop!$J$6:$Q$6,Shop!$J$4:$Q$4,MATCH(O$4-$F16+1,Shop!$J$4:$Q$4))*SUMIFS($J$7:$P$7,$J$4:$P$4,$F16)/1000</f>
        <v>13.3</v>
      </c>
      <c r="P16" s="3">
        <f>SUMIFS(Shop!$J$6:$Q$6,Shop!$J$4:$Q$4,MATCH(P$4-$F16+1,Shop!$J$4:$Q$4))*SUMIFS($J$7:$P$7,$J$4:$P$4,$F16)/1000</f>
        <v>24.36</v>
      </c>
    </row>
    <row r="17" spans="5:18" x14ac:dyDescent="0.35">
      <c r="F17" s="1">
        <f>$P$4</f>
        <v>2029</v>
      </c>
      <c r="I17" s="1" t="s">
        <v>143</v>
      </c>
      <c r="J17" s="3">
        <f>SUMIFS(Shop!$J$6:$Q$6,Shop!$J$4:$Q$4,MATCH(J$4-$F17+1,Shop!$J$4:$Q$4))*SUMIFS($J$7:$P$7,$J$4:$P$4,$F17)/1000</f>
        <v>0</v>
      </c>
      <c r="K17" s="3">
        <f>SUMIFS(Shop!$J$6:$Q$6,Shop!$J$4:$Q$4,MATCH(K$4-$F17+1,Shop!$J$4:$Q$4))*SUMIFS($J$7:$P$7,$J$4:$P$4,$F17)/1000</f>
        <v>0</v>
      </c>
      <c r="L17" s="3">
        <f>SUMIFS(Shop!$J$6:$Q$6,Shop!$J$4:$Q$4,MATCH(L$4-$F17+1,Shop!$J$4:$Q$4))*SUMIFS($J$7:$P$7,$J$4:$P$4,$F17)/1000</f>
        <v>0</v>
      </c>
      <c r="M17" s="3">
        <f>SUMIFS(Shop!$J$6:$Q$6,Shop!$J$4:$Q$4,MATCH(M$4-$F17+1,Shop!$J$4:$Q$4))*SUMIFS($J$7:$P$7,$J$4:$P$4,$F17)/1000</f>
        <v>0</v>
      </c>
      <c r="N17" s="3">
        <f>SUMIFS(Shop!$J$6:$Q$6,Shop!$J$4:$Q$4,MATCH(N$4-$F17+1,Shop!$J$4:$Q$4))*SUMIFS($J$7:$P$7,$J$4:$P$4,$F17)/1000</f>
        <v>0</v>
      </c>
      <c r="O17" s="3">
        <f>SUMIFS(Shop!$J$6:$Q$6,Shop!$J$4:$Q$4,MATCH(O$4-$F17+1,Shop!$J$4:$Q$4))*SUMIFS($J$7:$P$7,$J$4:$P$4,$F17)/1000</f>
        <v>0</v>
      </c>
      <c r="P17" s="3">
        <f>SUMIFS(Shop!$J$6:$Q$6,Shop!$J$4:$Q$4,MATCH(P$4-$F17+1,Shop!$J$4:$Q$4))*SUMIFS($J$7:$P$7,$J$4:$P$4,$F17)/1000</f>
        <v>13.3</v>
      </c>
    </row>
    <row r="18" spans="5:18" x14ac:dyDescent="0.35">
      <c r="J18" s="3"/>
      <c r="K18" s="3"/>
      <c r="L18" s="3"/>
      <c r="M18" s="3"/>
      <c r="N18" s="3"/>
      <c r="O18" s="3"/>
      <c r="P18" s="3"/>
    </row>
    <row r="19" spans="5:18" x14ac:dyDescent="0.35">
      <c r="E19" s="2" t="s">
        <v>95</v>
      </c>
      <c r="I19" s="1" t="s">
        <v>143</v>
      </c>
      <c r="J19" s="7">
        <f>SUM(J20:J26)</f>
        <v>3.99</v>
      </c>
      <c r="K19" s="7">
        <f t="shared" ref="K19:P19" si="3">SUM(K20:K26)</f>
        <v>15.288</v>
      </c>
      <c r="L19" s="7">
        <f t="shared" si="3"/>
        <v>31.122</v>
      </c>
      <c r="M19" s="7">
        <f t="shared" si="3"/>
        <v>51.218999999999994</v>
      </c>
      <c r="N19" s="7">
        <f t="shared" si="3"/>
        <v>74.361000000000004</v>
      </c>
      <c r="O19" s="7">
        <f t="shared" si="3"/>
        <v>97.503000000000014</v>
      </c>
      <c r="P19" s="7">
        <f t="shared" si="3"/>
        <v>120.64500000000001</v>
      </c>
    </row>
    <row r="20" spans="5:18" x14ac:dyDescent="0.35">
      <c r="E20" s="2"/>
      <c r="F20" s="1">
        <f>$J$4</f>
        <v>2023</v>
      </c>
      <c r="I20" s="1" t="s">
        <v>143</v>
      </c>
      <c r="J20" s="3">
        <f>SUMIFS(Shop!$J$14:$Q$14,Shop!$J$4:$Q$4,MATCH(J$4-$F20+1,Shop!$J$4:$Q$4))*SUMIFS($J$7:$P$7,$J$4:$P$4,$F20)/1000</f>
        <v>3.99</v>
      </c>
      <c r="K20" s="3">
        <f>SUMIFS(Shop!$J$14:$Q$14,Shop!$J$4:$Q$4,MATCH(K$4-$F20+1,Shop!$J$4:$Q$4))*SUMIFS($J$7:$P$7,$J$4:$P$4,$F20)/1000</f>
        <v>7.3079999999999998</v>
      </c>
      <c r="L20" s="3">
        <f>SUMIFS(Shop!$J$14:$Q$14,Shop!$J$4:$Q$4,MATCH(L$4-$F20+1,Shop!$J$4:$Q$4))*SUMIFS($J$7:$P$7,$J$4:$P$4,$F20)/1000</f>
        <v>8.5259999999999998</v>
      </c>
      <c r="M20" s="3">
        <f>SUMIFS(Shop!$J$14:$Q$14,Shop!$J$4:$Q$4,MATCH(M$4-$F20+1,Shop!$J$4:$Q$4))*SUMIFS($J$7:$P$7,$J$4:$P$4,$F20)/1000</f>
        <v>11.571</v>
      </c>
      <c r="N20" s="3">
        <f>SUMIFS(Shop!$J$14:$Q$14,Shop!$J$4:$Q$4,MATCH(N$4-$F20+1,Shop!$J$4:$Q$4))*SUMIFS($J$7:$P$7,$J$4:$P$4,$F20)/1000</f>
        <v>11.571</v>
      </c>
      <c r="O20" s="3">
        <f>SUMIFS(Shop!$J$14:$Q$14,Shop!$J$4:$Q$4,MATCH(O$4-$F20+1,Shop!$J$4:$Q$4))*SUMIFS($J$7:$P$7,$J$4:$P$4,$F20)/1000</f>
        <v>11.571</v>
      </c>
      <c r="P20" s="3">
        <f>SUMIFS(Shop!$J$14:$Q$14,Shop!$J$4:$Q$4,MATCH(P$4-$F20+1,Shop!$J$4:$Q$4))*SUMIFS($J$7:$P$7,$J$4:$P$4,$F20)/1000</f>
        <v>11.571</v>
      </c>
      <c r="Q20" s="3"/>
      <c r="R20" s="3"/>
    </row>
    <row r="21" spans="5:18" x14ac:dyDescent="0.35">
      <c r="F21" s="4">
        <f>$K$4</f>
        <v>2024</v>
      </c>
      <c r="I21" s="1" t="s">
        <v>143</v>
      </c>
      <c r="J21" s="3">
        <f>SUMIFS(Shop!$J$14:$Q$14,Shop!$J$4:$Q$4,MATCH(J$4-$F21+1,Shop!$J$4:$Q$4))*SUMIFS($J$7:$P$7,$J$4:$P$4,$F21)/1000</f>
        <v>0</v>
      </c>
      <c r="K21" s="3">
        <f>SUMIFS(Shop!$J$14:$Q$14,Shop!$J$4:$Q$4,MATCH(K$4-$F21+1,Shop!$J$4:$Q$4))*SUMIFS($J$7:$P$7,$J$4:$P$4,$F21)/1000</f>
        <v>7.98</v>
      </c>
      <c r="L21" s="3">
        <f>SUMIFS(Shop!$J$14:$Q$14,Shop!$J$4:$Q$4,MATCH(L$4-$F21+1,Shop!$J$4:$Q$4))*SUMIFS($J$7:$P$7,$J$4:$P$4,$F21)/1000</f>
        <v>14.616</v>
      </c>
      <c r="M21" s="3">
        <f>SUMIFS(Shop!$J$14:$Q$14,Shop!$J$4:$Q$4,MATCH(M$4-$F21+1,Shop!$J$4:$Q$4))*SUMIFS($J$7:$P$7,$J$4:$P$4,$F21)/1000</f>
        <v>17.052</v>
      </c>
      <c r="N21" s="3">
        <f>SUMIFS(Shop!$J$14:$Q$14,Shop!$J$4:$Q$4,MATCH(N$4-$F21+1,Shop!$J$4:$Q$4))*SUMIFS($J$7:$P$7,$J$4:$P$4,$F21)/1000</f>
        <v>23.141999999999999</v>
      </c>
      <c r="O21" s="3">
        <f>SUMIFS(Shop!$J$14:$Q$14,Shop!$J$4:$Q$4,MATCH(O$4-$F21+1,Shop!$J$4:$Q$4))*SUMIFS($J$7:$P$7,$J$4:$P$4,$F21)/1000</f>
        <v>23.141999999999999</v>
      </c>
      <c r="P21" s="3">
        <f>SUMIFS(Shop!$J$14:$Q$14,Shop!$J$4:$Q$4,MATCH(P$4-$F21+1,Shop!$J$4:$Q$4))*SUMIFS($J$7:$P$7,$J$4:$P$4,$F21)/1000</f>
        <v>23.141999999999999</v>
      </c>
      <c r="Q21" s="3"/>
      <c r="R21" s="3"/>
    </row>
    <row r="22" spans="5:18" x14ac:dyDescent="0.35">
      <c r="F22" s="1">
        <f>$L$4</f>
        <v>2025</v>
      </c>
      <c r="I22" s="1" t="s">
        <v>143</v>
      </c>
      <c r="J22" s="3">
        <f>SUMIFS(Shop!$J$14:$Q$14,Shop!$J$4:$Q$4,MATCH(J$4-$F22+1,Shop!$J$4:$Q$4))*SUMIFS($J$7:$P$7,$J$4:$P$4,$F22)/1000</f>
        <v>0</v>
      </c>
      <c r="K22" s="3">
        <f>SUMIFS(Shop!$J$14:$Q$14,Shop!$J$4:$Q$4,MATCH(K$4-$F22+1,Shop!$J$4:$Q$4))*SUMIFS($J$7:$P$7,$J$4:$P$4,$F22)/1000</f>
        <v>0</v>
      </c>
      <c r="L22" s="3">
        <f>SUMIFS(Shop!$J$14:$Q$14,Shop!$J$4:$Q$4,MATCH(L$4-$F22+1,Shop!$J$4:$Q$4))*SUMIFS($J$7:$P$7,$J$4:$P$4,$F22)/1000</f>
        <v>7.98</v>
      </c>
      <c r="M22" s="3">
        <f>SUMIFS(Shop!$J$14:$Q$14,Shop!$J$4:$Q$4,MATCH(M$4-$F22+1,Shop!$J$4:$Q$4))*SUMIFS($J$7:$P$7,$J$4:$P$4,$F22)/1000</f>
        <v>14.616</v>
      </c>
      <c r="N22" s="3">
        <f>SUMIFS(Shop!$J$14:$Q$14,Shop!$J$4:$Q$4,MATCH(N$4-$F22+1,Shop!$J$4:$Q$4))*SUMIFS($J$7:$P$7,$J$4:$P$4,$F22)/1000</f>
        <v>17.052</v>
      </c>
      <c r="O22" s="3">
        <f>SUMIFS(Shop!$J$14:$Q$14,Shop!$J$4:$Q$4,MATCH(O$4-$F22+1,Shop!$J$4:$Q$4))*SUMIFS($J$7:$P$7,$J$4:$P$4,$F22)/1000</f>
        <v>23.141999999999999</v>
      </c>
      <c r="P22" s="3">
        <f>SUMIFS(Shop!$J$14:$Q$14,Shop!$J$4:$Q$4,MATCH(P$4-$F22+1,Shop!$J$4:$Q$4))*SUMIFS($J$7:$P$7,$J$4:$P$4,$F22)/1000</f>
        <v>23.141999999999999</v>
      </c>
      <c r="Q22" s="3"/>
      <c r="R22" s="3"/>
    </row>
    <row r="23" spans="5:18" x14ac:dyDescent="0.35">
      <c r="F23" s="4">
        <f>M$4</f>
        <v>2026</v>
      </c>
      <c r="I23" s="1" t="s">
        <v>143</v>
      </c>
      <c r="J23" s="3">
        <f>SUMIFS(Shop!$J$14:$Q$14,Shop!$J$4:$Q$4,MATCH(J$4-$F23+1,Shop!$J$4:$Q$4))*SUMIFS($J$7:$P$7,$J$4:$P$4,$F23)/1000</f>
        <v>0</v>
      </c>
      <c r="K23" s="3">
        <f>SUMIFS(Shop!$J$14:$Q$14,Shop!$J$4:$Q$4,MATCH(K$4-$F23+1,Shop!$J$4:$Q$4))*SUMIFS($J$7:$P$7,$J$4:$P$4,$F23)/1000</f>
        <v>0</v>
      </c>
      <c r="L23" s="3">
        <f>SUMIFS(Shop!$J$14:$Q$14,Shop!$J$4:$Q$4,MATCH(L$4-$F23+1,Shop!$J$4:$Q$4))*SUMIFS($J$7:$P$7,$J$4:$P$4,$F23)/1000</f>
        <v>0</v>
      </c>
      <c r="M23" s="3">
        <f>SUMIFS(Shop!$J$14:$Q$14,Shop!$J$4:$Q$4,MATCH(M$4-$F23+1,Shop!$J$4:$Q$4))*SUMIFS($J$7:$P$7,$J$4:$P$4,$F23)/1000</f>
        <v>7.98</v>
      </c>
      <c r="N23" s="3">
        <f>SUMIFS(Shop!$J$14:$Q$14,Shop!$J$4:$Q$4,MATCH(N$4-$F23+1,Shop!$J$4:$Q$4))*SUMIFS($J$7:$P$7,$J$4:$P$4,$F23)/1000</f>
        <v>14.616</v>
      </c>
      <c r="O23" s="3">
        <f>SUMIFS(Shop!$J$14:$Q$14,Shop!$J$4:$Q$4,MATCH(O$4-$F23+1,Shop!$J$4:$Q$4))*SUMIFS($J$7:$P$7,$J$4:$P$4,$F23)/1000</f>
        <v>17.052</v>
      </c>
      <c r="P23" s="3">
        <f>SUMIFS(Shop!$J$14:$Q$14,Shop!$J$4:$Q$4,MATCH(P$4-$F23+1,Shop!$J$4:$Q$4))*SUMIFS($J$7:$P$7,$J$4:$P$4,$F23)/1000</f>
        <v>23.141999999999999</v>
      </c>
      <c r="Q23" s="3"/>
      <c r="R23" s="3"/>
    </row>
    <row r="24" spans="5:18" x14ac:dyDescent="0.35">
      <c r="F24" s="1">
        <f>$N$4</f>
        <v>2027</v>
      </c>
      <c r="I24" s="1" t="s">
        <v>143</v>
      </c>
      <c r="J24" s="3">
        <f>SUMIFS(Shop!$J$14:$Q$14,Shop!$J$4:$Q$4,MATCH(J$4-$F24+1,Shop!$J$4:$Q$4))*SUMIFS($J$7:$P$7,$J$4:$P$4,$F24)/1000</f>
        <v>0</v>
      </c>
      <c r="K24" s="3">
        <f>SUMIFS(Shop!$J$14:$Q$14,Shop!$J$4:$Q$4,MATCH(K$4-$F24+1,Shop!$J$4:$Q$4))*SUMIFS($J$7:$P$7,$J$4:$P$4,$F24)/1000</f>
        <v>0</v>
      </c>
      <c r="L24" s="3">
        <f>SUMIFS(Shop!$J$14:$Q$14,Shop!$J$4:$Q$4,MATCH(L$4-$F24+1,Shop!$J$4:$Q$4))*SUMIFS($J$7:$P$7,$J$4:$P$4,$F24)/1000</f>
        <v>0</v>
      </c>
      <c r="M24" s="3">
        <f>SUMIFS(Shop!$J$14:$Q$14,Shop!$J$4:$Q$4,MATCH(M$4-$F24+1,Shop!$J$4:$Q$4))*SUMIFS($J$7:$P$7,$J$4:$P$4,$F24)/1000</f>
        <v>0</v>
      </c>
      <c r="N24" s="3">
        <f>SUMIFS(Shop!$J$14:$Q$14,Shop!$J$4:$Q$4,MATCH(N$4-$F24+1,Shop!$J$4:$Q$4))*SUMIFS($J$7:$P$7,$J$4:$P$4,$F24)/1000</f>
        <v>7.98</v>
      </c>
      <c r="O24" s="3">
        <f>SUMIFS(Shop!$J$14:$Q$14,Shop!$J$4:$Q$4,MATCH(O$4-$F24+1,Shop!$J$4:$Q$4))*SUMIFS($J$7:$P$7,$J$4:$P$4,$F24)/1000</f>
        <v>14.616</v>
      </c>
      <c r="P24" s="3">
        <f>SUMIFS(Shop!$J$14:$Q$14,Shop!$J$4:$Q$4,MATCH(P$4-$F24+1,Shop!$J$4:$Q$4))*SUMIFS($J$7:$P$7,$J$4:$P$4,$F24)/1000</f>
        <v>17.052</v>
      </c>
      <c r="Q24" s="3"/>
      <c r="R24" s="3"/>
    </row>
    <row r="25" spans="5:18" x14ac:dyDescent="0.35">
      <c r="E25" s="2"/>
      <c r="F25" s="4">
        <f>$O$4</f>
        <v>2028</v>
      </c>
      <c r="I25" s="1" t="s">
        <v>143</v>
      </c>
      <c r="J25" s="3">
        <f>SUMIFS(Shop!$J$14:$Q$14,Shop!$J$4:$Q$4,MATCH(J$4-$F25+1,Shop!$J$4:$Q$4))*SUMIFS($J$7:$P$7,$J$4:$P$4,$F25)/1000</f>
        <v>0</v>
      </c>
      <c r="K25" s="3">
        <f>SUMIFS(Shop!$J$14:$Q$14,Shop!$J$4:$Q$4,MATCH(K$4-$F25+1,Shop!$J$4:$Q$4))*SUMIFS($J$7:$P$7,$J$4:$P$4,$F25)/1000</f>
        <v>0</v>
      </c>
      <c r="L25" s="3">
        <f>SUMIFS(Shop!$J$14:$Q$14,Shop!$J$4:$Q$4,MATCH(L$4-$F25+1,Shop!$J$4:$Q$4))*SUMIFS($J$7:$P$7,$J$4:$P$4,$F25)/1000</f>
        <v>0</v>
      </c>
      <c r="M25" s="3">
        <f>SUMIFS(Shop!$J$14:$Q$14,Shop!$J$4:$Q$4,MATCH(M$4-$F25+1,Shop!$J$4:$Q$4))*SUMIFS($J$7:$P$7,$J$4:$P$4,$F25)/1000</f>
        <v>0</v>
      </c>
      <c r="N25" s="3">
        <f>SUMIFS(Shop!$J$14:$Q$14,Shop!$J$4:$Q$4,MATCH(N$4-$F25+1,Shop!$J$4:$Q$4))*SUMIFS($J$7:$P$7,$J$4:$P$4,$F25)/1000</f>
        <v>0</v>
      </c>
      <c r="O25" s="3">
        <f>SUMIFS(Shop!$J$14:$Q$14,Shop!$J$4:$Q$4,MATCH(O$4-$F25+1,Shop!$J$4:$Q$4))*SUMIFS($J$7:$P$7,$J$4:$P$4,$F25)/1000</f>
        <v>7.98</v>
      </c>
      <c r="P25" s="3">
        <f>SUMIFS(Shop!$J$14:$Q$14,Shop!$J$4:$Q$4,MATCH(P$4-$F25+1,Shop!$J$4:$Q$4))*SUMIFS($J$7:$P$7,$J$4:$P$4,$F25)/1000</f>
        <v>14.616</v>
      </c>
      <c r="Q25" s="3"/>
      <c r="R25" s="3"/>
    </row>
    <row r="26" spans="5:18" x14ac:dyDescent="0.35">
      <c r="F26" s="1">
        <f>$P$4</f>
        <v>2029</v>
      </c>
      <c r="I26" s="1" t="s">
        <v>143</v>
      </c>
      <c r="J26" s="3">
        <f>SUMIFS(Shop!$J$14:$Q$14,Shop!$J$4:$Q$4,MATCH(J$4-$F26+1,Shop!$J$4:$Q$4))*SUMIFS($J$7:$P$7,$J$4:$P$4,$F26)/1000</f>
        <v>0</v>
      </c>
      <c r="K26" s="3">
        <f>SUMIFS(Shop!$J$14:$Q$14,Shop!$J$4:$Q$4,MATCH(K$4-$F26+1,Shop!$J$4:$Q$4))*SUMIFS($J$7:$P$7,$J$4:$P$4,$F26)/1000</f>
        <v>0</v>
      </c>
      <c r="L26" s="3">
        <f>SUMIFS(Shop!$J$14:$Q$14,Shop!$J$4:$Q$4,MATCH(L$4-$F26+1,Shop!$J$4:$Q$4))*SUMIFS($J$7:$P$7,$J$4:$P$4,$F26)/1000</f>
        <v>0</v>
      </c>
      <c r="M26" s="3">
        <f>SUMIFS(Shop!$J$14:$Q$14,Shop!$J$4:$Q$4,MATCH(M$4-$F26+1,Shop!$J$4:$Q$4))*SUMIFS($J$7:$P$7,$J$4:$P$4,$F26)/1000</f>
        <v>0</v>
      </c>
      <c r="N26" s="3">
        <f>SUMIFS(Shop!$J$14:$Q$14,Shop!$J$4:$Q$4,MATCH(N$4-$F26+1,Shop!$J$4:$Q$4))*SUMIFS($J$7:$P$7,$J$4:$P$4,$F26)/1000</f>
        <v>0</v>
      </c>
      <c r="O26" s="3">
        <f>SUMIFS(Shop!$J$14:$Q$14,Shop!$J$4:$Q$4,MATCH(O$4-$F26+1,Shop!$J$4:$Q$4))*SUMIFS($J$7:$P$7,$J$4:$P$4,$F26)/1000</f>
        <v>0</v>
      </c>
      <c r="P26" s="3">
        <f>SUMIFS(Shop!$J$14:$Q$14,Shop!$J$4:$Q$4,MATCH(P$4-$F26+1,Shop!$J$4:$Q$4))*SUMIFS($J$7:$P$7,$J$4:$P$4,$F26)/1000</f>
        <v>7.98</v>
      </c>
      <c r="Q26" s="3"/>
      <c r="R26" s="3"/>
    </row>
    <row r="27" spans="5:18" x14ac:dyDescent="0.35">
      <c r="J27" s="3"/>
      <c r="K27" s="3"/>
      <c r="L27" s="3"/>
      <c r="M27" s="3"/>
      <c r="N27" s="3"/>
      <c r="O27" s="3"/>
      <c r="P27" s="3"/>
    </row>
    <row r="28" spans="5:18" x14ac:dyDescent="0.35">
      <c r="E28" s="2" t="s">
        <v>33</v>
      </c>
      <c r="I28" s="1" t="s">
        <v>143</v>
      </c>
      <c r="J28" s="7">
        <f>SUM(J29:J35)</f>
        <v>-1.2254999999999996</v>
      </c>
      <c r="K28" s="7">
        <f t="shared" ref="K28:P28" si="4">SUM(K29:K35)</f>
        <v>-0.7455999999999996</v>
      </c>
      <c r="L28" s="7">
        <f t="shared" si="4"/>
        <v>3.7411000000000008</v>
      </c>
      <c r="M28" s="7">
        <f t="shared" si="4"/>
        <v>11.993450000000001</v>
      </c>
      <c r="N28" s="7">
        <f t="shared" si="4"/>
        <v>22.935549999999996</v>
      </c>
      <c r="O28" s="7">
        <f t="shared" si="4"/>
        <v>33.877650000000003</v>
      </c>
      <c r="P28" s="7">
        <f t="shared" si="4"/>
        <v>44.819749999999999</v>
      </c>
    </row>
    <row r="29" spans="5:18" x14ac:dyDescent="0.35">
      <c r="E29" s="2"/>
      <c r="F29" s="1">
        <f>$J$4</f>
        <v>2023</v>
      </c>
      <c r="I29" s="1" t="s">
        <v>143</v>
      </c>
      <c r="J29" s="3">
        <f>SUMIFS(Shop!$J$32:$Q$32,Shop!$J$4:$Q$4,MATCH(J$4-$F29+1,Shop!$J$4:$Q$4))*SUMIFS($J$7:$P$7,$J$4:$P$4,$F29)/1000</f>
        <v>-1.2254999999999996</v>
      </c>
      <c r="K29" s="3">
        <f>SUMIFS(Shop!$J$32:$Q$32,Shop!$J$4:$Q$4,MATCH(K$4-$F29+1,Shop!$J$4:$Q$4))*SUMIFS($J$7:$P$7,$J$4:$P$4,$F29)/1000</f>
        <v>1.7053999999999996</v>
      </c>
      <c r="L29" s="3">
        <f>SUMIFS(Shop!$J$32:$Q$32,Shop!$J$4:$Q$4,MATCH(L$4-$F29+1,Shop!$J$4:$Q$4))*SUMIFS($J$7:$P$7,$J$4:$P$4,$F29)/1000</f>
        <v>2.7813000000000003</v>
      </c>
      <c r="M29" s="3">
        <f>SUMIFS(Shop!$J$32:$Q$32,Shop!$J$4:$Q$4,MATCH(M$4-$F29+1,Shop!$J$4:$Q$4))*SUMIFS($J$7:$P$7,$J$4:$P$4,$F29)/1000</f>
        <v>5.4710499999999991</v>
      </c>
      <c r="N29" s="3">
        <f>SUMIFS(Shop!$J$32:$Q$32,Shop!$J$4:$Q$4,MATCH(N$4-$F29+1,Shop!$J$4:$Q$4))*SUMIFS($J$7:$P$7,$J$4:$P$4,$F29)/1000</f>
        <v>5.4710499999999991</v>
      </c>
      <c r="O29" s="3">
        <f>SUMIFS(Shop!$J$32:$Q$32,Shop!$J$4:$Q$4,MATCH(O$4-$F29+1,Shop!$J$4:$Q$4))*SUMIFS($J$7:$P$7,$J$4:$P$4,$F29)/1000</f>
        <v>5.4710499999999991</v>
      </c>
      <c r="P29" s="3">
        <f>SUMIFS(Shop!$J$32:$Q$32,Shop!$J$4:$Q$4,MATCH(P$4-$F29+1,Shop!$J$4:$Q$4))*SUMIFS($J$7:$P$7,$J$4:$P$4,$F29)/1000</f>
        <v>5.4710499999999991</v>
      </c>
      <c r="Q29" s="3"/>
      <c r="R29" s="3"/>
    </row>
    <row r="30" spans="5:18" x14ac:dyDescent="0.35">
      <c r="F30" s="4">
        <f>$K$4</f>
        <v>2024</v>
      </c>
      <c r="I30" s="1" t="s">
        <v>143</v>
      </c>
      <c r="J30" s="3">
        <f>SUMIFS(Shop!$J$32:$Q$32,Shop!$J$4:$Q$4,MATCH(J$4-$F30+1,Shop!$J$4:$Q$4))*SUMIFS($J$7:$P$7,$J$4:$P$4,$F30)/1000</f>
        <v>0</v>
      </c>
      <c r="K30" s="3">
        <f>SUMIFS(Shop!$J$32:$Q$32,Shop!$J$4:$Q$4,MATCH(K$4-$F30+1,Shop!$J$4:$Q$4))*SUMIFS($J$7:$P$7,$J$4:$P$4,$F30)/1000</f>
        <v>-2.4509999999999992</v>
      </c>
      <c r="L30" s="3">
        <f>SUMIFS(Shop!$J$32:$Q$32,Shop!$J$4:$Q$4,MATCH(L$4-$F30+1,Shop!$J$4:$Q$4))*SUMIFS($J$7:$P$7,$J$4:$P$4,$F30)/1000</f>
        <v>3.4107999999999992</v>
      </c>
      <c r="M30" s="3">
        <f>SUMIFS(Shop!$J$32:$Q$32,Shop!$J$4:$Q$4,MATCH(M$4-$F30+1,Shop!$J$4:$Q$4))*SUMIFS($J$7:$P$7,$J$4:$P$4,$F30)/1000</f>
        <v>5.5626000000000007</v>
      </c>
      <c r="N30" s="3">
        <f>SUMIFS(Shop!$J$32:$Q$32,Shop!$J$4:$Q$4,MATCH(N$4-$F30+1,Shop!$J$4:$Q$4))*SUMIFS($J$7:$P$7,$J$4:$P$4,$F30)/1000</f>
        <v>10.942099999999998</v>
      </c>
      <c r="O30" s="3">
        <f>SUMIFS(Shop!$J$32:$Q$32,Shop!$J$4:$Q$4,MATCH(O$4-$F30+1,Shop!$J$4:$Q$4))*SUMIFS($J$7:$P$7,$J$4:$P$4,$F30)/1000</f>
        <v>10.942099999999998</v>
      </c>
      <c r="P30" s="3">
        <f>SUMIFS(Shop!$J$32:$Q$32,Shop!$J$4:$Q$4,MATCH(P$4-$F30+1,Shop!$J$4:$Q$4))*SUMIFS($J$7:$P$7,$J$4:$P$4,$F30)/1000</f>
        <v>10.942099999999998</v>
      </c>
      <c r="Q30" s="3"/>
      <c r="R30" s="3"/>
    </row>
    <row r="31" spans="5:18" x14ac:dyDescent="0.35">
      <c r="F31" s="1">
        <f>$L$4</f>
        <v>2025</v>
      </c>
      <c r="I31" s="1" t="s">
        <v>143</v>
      </c>
      <c r="J31" s="3">
        <f>SUMIFS(Shop!$J$32:$Q$32,Shop!$J$4:$Q$4,MATCH(J$4-$F31+1,Shop!$J$4:$Q$4))*SUMIFS($J$7:$P$7,$J$4:$P$4,$F31)/1000</f>
        <v>0</v>
      </c>
      <c r="K31" s="3">
        <f>SUMIFS(Shop!$J$32:$Q$32,Shop!$J$4:$Q$4,MATCH(K$4-$F31+1,Shop!$J$4:$Q$4))*SUMIFS($J$7:$P$7,$J$4:$P$4,$F31)/1000</f>
        <v>0</v>
      </c>
      <c r="L31" s="3">
        <f>SUMIFS(Shop!$J$32:$Q$32,Shop!$J$4:$Q$4,MATCH(L$4-$F31+1,Shop!$J$4:$Q$4))*SUMIFS($J$7:$P$7,$J$4:$P$4,$F31)/1000</f>
        <v>-2.4509999999999992</v>
      </c>
      <c r="M31" s="3">
        <f>SUMIFS(Shop!$J$32:$Q$32,Shop!$J$4:$Q$4,MATCH(M$4-$F31+1,Shop!$J$4:$Q$4))*SUMIFS($J$7:$P$7,$J$4:$P$4,$F31)/1000</f>
        <v>3.4107999999999992</v>
      </c>
      <c r="N31" s="3">
        <f>SUMIFS(Shop!$J$32:$Q$32,Shop!$J$4:$Q$4,MATCH(N$4-$F31+1,Shop!$J$4:$Q$4))*SUMIFS($J$7:$P$7,$J$4:$P$4,$F31)/1000</f>
        <v>5.5626000000000007</v>
      </c>
      <c r="O31" s="3">
        <f>SUMIFS(Shop!$J$32:$Q$32,Shop!$J$4:$Q$4,MATCH(O$4-$F31+1,Shop!$J$4:$Q$4))*SUMIFS($J$7:$P$7,$J$4:$P$4,$F31)/1000</f>
        <v>10.942099999999998</v>
      </c>
      <c r="P31" s="3">
        <f>SUMIFS(Shop!$J$32:$Q$32,Shop!$J$4:$Q$4,MATCH(P$4-$F31+1,Shop!$J$4:$Q$4))*SUMIFS($J$7:$P$7,$J$4:$P$4,$F31)/1000</f>
        <v>10.942099999999998</v>
      </c>
      <c r="Q31" s="3"/>
      <c r="R31" s="3"/>
    </row>
    <row r="32" spans="5:18" x14ac:dyDescent="0.35">
      <c r="F32" s="4">
        <f>M$4</f>
        <v>2026</v>
      </c>
      <c r="I32" s="1" t="s">
        <v>143</v>
      </c>
      <c r="J32" s="3">
        <f>SUMIFS(Shop!$J$32:$Q$32,Shop!$J$4:$Q$4,MATCH(J$4-$F32+1,Shop!$J$4:$Q$4))*SUMIFS($J$7:$P$7,$J$4:$P$4,$F32)/1000</f>
        <v>0</v>
      </c>
      <c r="K32" s="3">
        <f>SUMIFS(Shop!$J$32:$Q$32,Shop!$J$4:$Q$4,MATCH(K$4-$F32+1,Shop!$J$4:$Q$4))*SUMIFS($J$7:$P$7,$J$4:$P$4,$F32)/1000</f>
        <v>0</v>
      </c>
      <c r="L32" s="3">
        <f>SUMIFS(Shop!$J$32:$Q$32,Shop!$J$4:$Q$4,MATCH(L$4-$F32+1,Shop!$J$4:$Q$4))*SUMIFS($J$7:$P$7,$J$4:$P$4,$F32)/1000</f>
        <v>0</v>
      </c>
      <c r="M32" s="3">
        <f>SUMIFS(Shop!$J$32:$Q$32,Shop!$J$4:$Q$4,MATCH(M$4-$F32+1,Shop!$J$4:$Q$4))*SUMIFS($J$7:$P$7,$J$4:$P$4,$F32)/1000</f>
        <v>-2.4509999999999992</v>
      </c>
      <c r="N32" s="3">
        <f>SUMIFS(Shop!$J$32:$Q$32,Shop!$J$4:$Q$4,MATCH(N$4-$F32+1,Shop!$J$4:$Q$4))*SUMIFS($J$7:$P$7,$J$4:$P$4,$F32)/1000</f>
        <v>3.4107999999999992</v>
      </c>
      <c r="O32" s="3">
        <f>SUMIFS(Shop!$J$32:$Q$32,Shop!$J$4:$Q$4,MATCH(O$4-$F32+1,Shop!$J$4:$Q$4))*SUMIFS($J$7:$P$7,$J$4:$P$4,$F32)/1000</f>
        <v>5.5626000000000007</v>
      </c>
      <c r="P32" s="3">
        <f>SUMIFS(Shop!$J$32:$Q$32,Shop!$J$4:$Q$4,MATCH(P$4-$F32+1,Shop!$J$4:$Q$4))*SUMIFS($J$7:$P$7,$J$4:$P$4,$F32)/1000</f>
        <v>10.942099999999998</v>
      </c>
      <c r="Q32" s="3"/>
      <c r="R32" s="3"/>
    </row>
    <row r="33" spans="5:18" x14ac:dyDescent="0.35">
      <c r="F33" s="1">
        <f>$N$4</f>
        <v>2027</v>
      </c>
      <c r="I33" s="1" t="s">
        <v>143</v>
      </c>
      <c r="J33" s="3">
        <f>SUMIFS(Shop!$J$32:$Q$32,Shop!$J$4:$Q$4,MATCH(J$4-$F33+1,Shop!$J$4:$Q$4))*SUMIFS($J$7:$P$7,$J$4:$P$4,$F33)/1000</f>
        <v>0</v>
      </c>
      <c r="K33" s="3">
        <f>SUMIFS(Shop!$J$32:$Q$32,Shop!$J$4:$Q$4,MATCH(K$4-$F33+1,Shop!$J$4:$Q$4))*SUMIFS($J$7:$P$7,$J$4:$P$4,$F33)/1000</f>
        <v>0</v>
      </c>
      <c r="L33" s="3">
        <f>SUMIFS(Shop!$J$32:$Q$32,Shop!$J$4:$Q$4,MATCH(L$4-$F33+1,Shop!$J$4:$Q$4))*SUMIFS($J$7:$P$7,$J$4:$P$4,$F33)/1000</f>
        <v>0</v>
      </c>
      <c r="M33" s="3">
        <f>SUMIFS(Shop!$J$32:$Q$32,Shop!$J$4:$Q$4,MATCH(M$4-$F33+1,Shop!$J$4:$Q$4))*SUMIFS($J$7:$P$7,$J$4:$P$4,$F33)/1000</f>
        <v>0</v>
      </c>
      <c r="N33" s="3">
        <f>SUMIFS(Shop!$J$32:$Q$32,Shop!$J$4:$Q$4,MATCH(N$4-$F33+1,Shop!$J$4:$Q$4))*SUMIFS($J$7:$P$7,$J$4:$P$4,$F33)/1000</f>
        <v>-2.4509999999999992</v>
      </c>
      <c r="O33" s="3">
        <f>SUMIFS(Shop!$J$32:$Q$32,Shop!$J$4:$Q$4,MATCH(O$4-$F33+1,Shop!$J$4:$Q$4))*SUMIFS($J$7:$P$7,$J$4:$P$4,$F33)/1000</f>
        <v>3.4107999999999992</v>
      </c>
      <c r="P33" s="3">
        <f>SUMIFS(Shop!$J$32:$Q$32,Shop!$J$4:$Q$4,MATCH(P$4-$F33+1,Shop!$J$4:$Q$4))*SUMIFS($J$7:$P$7,$J$4:$P$4,$F33)/1000</f>
        <v>5.5626000000000007</v>
      </c>
      <c r="Q33" s="3"/>
      <c r="R33" s="3"/>
    </row>
    <row r="34" spans="5:18" x14ac:dyDescent="0.35">
      <c r="E34" s="2"/>
      <c r="F34" s="4">
        <f>$O$4</f>
        <v>2028</v>
      </c>
      <c r="I34" s="1" t="s">
        <v>143</v>
      </c>
      <c r="J34" s="3">
        <f>SUMIFS(Shop!$J$32:$Q$32,Shop!$J$4:$Q$4,MATCH(J$4-$F34+1,Shop!$J$4:$Q$4))*SUMIFS($J$7:$P$7,$J$4:$P$4,$F34)/1000</f>
        <v>0</v>
      </c>
      <c r="K34" s="3">
        <f>SUMIFS(Shop!$J$32:$Q$32,Shop!$J$4:$Q$4,MATCH(K$4-$F34+1,Shop!$J$4:$Q$4))*SUMIFS($J$7:$P$7,$J$4:$P$4,$F34)/1000</f>
        <v>0</v>
      </c>
      <c r="L34" s="3">
        <f>SUMIFS(Shop!$J$32:$Q$32,Shop!$J$4:$Q$4,MATCH(L$4-$F34+1,Shop!$J$4:$Q$4))*SUMIFS($J$7:$P$7,$J$4:$P$4,$F34)/1000</f>
        <v>0</v>
      </c>
      <c r="M34" s="3">
        <f>SUMIFS(Shop!$J$32:$Q$32,Shop!$J$4:$Q$4,MATCH(M$4-$F34+1,Shop!$J$4:$Q$4))*SUMIFS($J$7:$P$7,$J$4:$P$4,$F34)/1000</f>
        <v>0</v>
      </c>
      <c r="N34" s="3">
        <f>SUMIFS(Shop!$J$32:$Q$32,Shop!$J$4:$Q$4,MATCH(N$4-$F34+1,Shop!$J$4:$Q$4))*SUMIFS($J$7:$P$7,$J$4:$P$4,$F34)/1000</f>
        <v>0</v>
      </c>
      <c r="O34" s="3">
        <f>SUMIFS(Shop!$J$32:$Q$32,Shop!$J$4:$Q$4,MATCH(O$4-$F34+1,Shop!$J$4:$Q$4))*SUMIFS($J$7:$P$7,$J$4:$P$4,$F34)/1000</f>
        <v>-2.4509999999999992</v>
      </c>
      <c r="P34" s="3">
        <f>SUMIFS(Shop!$J$32:$Q$32,Shop!$J$4:$Q$4,MATCH(P$4-$F34+1,Shop!$J$4:$Q$4))*SUMIFS($J$7:$P$7,$J$4:$P$4,$F34)/1000</f>
        <v>3.4107999999999992</v>
      </c>
      <c r="Q34" s="3"/>
      <c r="R34" s="3"/>
    </row>
    <row r="35" spans="5:18" x14ac:dyDescent="0.35">
      <c r="F35" s="1">
        <f>$P$4</f>
        <v>2029</v>
      </c>
      <c r="I35" s="1" t="s">
        <v>143</v>
      </c>
      <c r="J35" s="3">
        <f>SUMIFS(Shop!$J$32:$Q$32,Shop!$J$4:$Q$4,MATCH(J$4-$F35+1,Shop!$J$4:$Q$4))*SUMIFS($J$7:$P$7,$J$4:$P$4,$F35)/1000</f>
        <v>0</v>
      </c>
      <c r="K35" s="3">
        <f>SUMIFS(Shop!$J$32:$Q$32,Shop!$J$4:$Q$4,MATCH(K$4-$F35+1,Shop!$J$4:$Q$4))*SUMIFS($J$7:$P$7,$J$4:$P$4,$F35)/1000</f>
        <v>0</v>
      </c>
      <c r="L35" s="3">
        <f>SUMIFS(Shop!$J$32:$Q$32,Shop!$J$4:$Q$4,MATCH(L$4-$F35+1,Shop!$J$4:$Q$4))*SUMIFS($J$7:$P$7,$J$4:$P$4,$F35)/1000</f>
        <v>0</v>
      </c>
      <c r="M35" s="3">
        <f>SUMIFS(Shop!$J$32:$Q$32,Shop!$J$4:$Q$4,MATCH(M$4-$F35+1,Shop!$J$4:$Q$4))*SUMIFS($J$7:$P$7,$J$4:$P$4,$F35)/1000</f>
        <v>0</v>
      </c>
      <c r="N35" s="3">
        <f>SUMIFS(Shop!$J$32:$Q$32,Shop!$J$4:$Q$4,MATCH(N$4-$F35+1,Shop!$J$4:$Q$4))*SUMIFS($J$7:$P$7,$J$4:$P$4,$F35)/1000</f>
        <v>0</v>
      </c>
      <c r="O35" s="3">
        <f>SUMIFS(Shop!$J$32:$Q$32,Shop!$J$4:$Q$4,MATCH(O$4-$F35+1,Shop!$J$4:$Q$4))*SUMIFS($J$7:$P$7,$J$4:$P$4,$F35)/1000</f>
        <v>0</v>
      </c>
      <c r="P35" s="3">
        <f>SUMIFS(Shop!$J$32:$Q$32,Shop!$J$4:$Q$4,MATCH(P$4-$F35+1,Shop!$J$4:$Q$4))*SUMIFS($J$7:$P$7,$J$4:$P$4,$F35)/1000</f>
        <v>-2.4509999999999992</v>
      </c>
      <c r="Q35" s="3"/>
      <c r="R35" s="3"/>
    </row>
    <row r="36" spans="5:18" x14ac:dyDescent="0.35">
      <c r="J36" s="3"/>
      <c r="K36" s="3"/>
      <c r="L36" s="3"/>
      <c r="M36" s="3"/>
      <c r="N36" s="3"/>
      <c r="O36" s="3"/>
      <c r="P36" s="3"/>
      <c r="Q36" s="3"/>
      <c r="R36" s="3"/>
    </row>
    <row r="37" spans="5:18" x14ac:dyDescent="0.35">
      <c r="J37" s="3"/>
      <c r="K37" s="3"/>
      <c r="L37" s="3"/>
      <c r="M37" s="3"/>
      <c r="N37" s="3"/>
      <c r="O37" s="3"/>
      <c r="P37" s="3"/>
      <c r="Q37" s="3"/>
      <c r="R37" s="3"/>
    </row>
    <row r="38" spans="5:18" x14ac:dyDescent="0.35">
      <c r="E38" s="2" t="s">
        <v>34</v>
      </c>
      <c r="I38" s="1" t="s">
        <v>143</v>
      </c>
      <c r="J38" s="17">
        <f>J39-J40</f>
        <v>-2.0177499999999995</v>
      </c>
      <c r="K38" s="17">
        <f t="shared" ref="K38:P38" si="5">K39-K40</f>
        <v>-2.9417999999999993</v>
      </c>
      <c r="L38" s="17">
        <f t="shared" si="5"/>
        <v>-0.41044999999999954</v>
      </c>
      <c r="M38" s="17">
        <f t="shared" si="5"/>
        <v>5.5447250000000015</v>
      </c>
      <c r="N38" s="17">
        <f t="shared" si="5"/>
        <v>13.679774999999996</v>
      </c>
      <c r="O38" s="17">
        <f t="shared" si="5"/>
        <v>21.994824999999999</v>
      </c>
      <c r="P38" s="17">
        <f t="shared" si="5"/>
        <v>30.189874999999997</v>
      </c>
      <c r="Q38" s="3"/>
      <c r="R38" s="3"/>
    </row>
    <row r="39" spans="5:18" x14ac:dyDescent="0.35">
      <c r="E39" s="2"/>
      <c r="F39" s="24" t="s">
        <v>33</v>
      </c>
      <c r="I39" s="1" t="s">
        <v>143</v>
      </c>
      <c r="J39" s="25">
        <f t="shared" ref="J39:P39" si="6">J28</f>
        <v>-1.2254999999999996</v>
      </c>
      <c r="K39" s="25">
        <f t="shared" si="6"/>
        <v>-0.7455999999999996</v>
      </c>
      <c r="L39" s="25">
        <f t="shared" si="6"/>
        <v>3.7411000000000008</v>
      </c>
      <c r="M39" s="25">
        <f t="shared" si="6"/>
        <v>11.993450000000001</v>
      </c>
      <c r="N39" s="25">
        <f t="shared" si="6"/>
        <v>22.935549999999996</v>
      </c>
      <c r="O39" s="25">
        <f t="shared" si="6"/>
        <v>33.877650000000003</v>
      </c>
      <c r="P39" s="25">
        <f t="shared" si="6"/>
        <v>44.819749999999999</v>
      </c>
      <c r="Q39" s="3"/>
      <c r="R39" s="3"/>
    </row>
    <row r="40" spans="5:18" x14ac:dyDescent="0.35">
      <c r="E40" s="2"/>
      <c r="F40" s="30" t="s">
        <v>86</v>
      </c>
      <c r="I40" s="1" t="s">
        <v>143</v>
      </c>
      <c r="J40" s="25">
        <f>HQ!J23</f>
        <v>0.79225000000000012</v>
      </c>
      <c r="K40" s="25">
        <f>HQ!K23</f>
        <v>2.1961999999999997</v>
      </c>
      <c r="L40" s="25">
        <f>HQ!L23</f>
        <v>4.1515500000000003</v>
      </c>
      <c r="M40" s="25">
        <f>HQ!M23</f>
        <v>6.4487249999999996</v>
      </c>
      <c r="N40" s="25">
        <f>HQ!N23</f>
        <v>9.2557749999999999</v>
      </c>
      <c r="O40" s="25">
        <f>HQ!O23</f>
        <v>11.882825000000002</v>
      </c>
      <c r="P40" s="25">
        <f>HQ!P23</f>
        <v>14.629875000000002</v>
      </c>
      <c r="Q40" s="3"/>
      <c r="R40" s="3"/>
    </row>
    <row r="41" spans="5:18" x14ac:dyDescent="0.35">
      <c r="E41" s="2"/>
      <c r="J41" s="17"/>
      <c r="K41" s="17"/>
      <c r="L41" s="17"/>
      <c r="M41" s="17"/>
      <c r="N41" s="17"/>
      <c r="O41" s="17"/>
      <c r="P41" s="17"/>
      <c r="Q41" s="3"/>
      <c r="R41" s="3"/>
    </row>
  </sheetData>
  <hyperlinks>
    <hyperlink ref="V2" location="Master!A1" display="back"/>
    <hyperlink ref="J2" location="Master!A1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U47"/>
  <sheetViews>
    <sheetView zoomScale="70" zoomScaleNormal="70" workbookViewId="0">
      <pane xSplit="9" ySplit="4" topLeftCell="J5" activePane="bottomRight" state="frozen"/>
      <selection activeCell="O2" sqref="O2"/>
      <selection pane="topRight" activeCell="O2" sqref="O2"/>
      <selection pane="bottomLeft" activeCell="O2" sqref="O2"/>
      <selection pane="bottomRight" activeCell="J21" sqref="J21"/>
    </sheetView>
  </sheetViews>
  <sheetFormatPr defaultColWidth="9.1796875" defaultRowHeight="14.5" outlineLevelRow="1" x14ac:dyDescent="0.35"/>
  <cols>
    <col min="1" max="3" width="1.26953125" style="1" customWidth="1"/>
    <col min="4" max="5" width="2.54296875" style="1" customWidth="1"/>
    <col min="6" max="6" width="4.26953125" style="1" customWidth="1"/>
    <col min="7" max="7" width="2.54296875" style="1" customWidth="1"/>
    <col min="8" max="8" width="21.81640625" style="1" customWidth="1"/>
    <col min="9" max="9" width="10" style="1" bestFit="1" customWidth="1"/>
    <col min="10" max="16384" width="9.1796875" style="1"/>
  </cols>
  <sheetData>
    <row r="1" spans="1:16" x14ac:dyDescent="0.35">
      <c r="A1" s="2" t="s">
        <v>96</v>
      </c>
      <c r="C1" s="2"/>
    </row>
    <row r="2" spans="1:16" ht="15.5" x14ac:dyDescent="0.35">
      <c r="P2" s="22" t="s">
        <v>73</v>
      </c>
    </row>
    <row r="4" spans="1:16" x14ac:dyDescent="0.35">
      <c r="J4" s="2">
        <f>'Total Chain'!J$4</f>
        <v>2023</v>
      </c>
      <c r="K4" s="2">
        <f>'Total Chain'!K$4</f>
        <v>2024</v>
      </c>
      <c r="L4" s="2">
        <f>'Total Chain'!L$4</f>
        <v>2025</v>
      </c>
      <c r="M4" s="2">
        <f>'Total Chain'!M$4</f>
        <v>2026</v>
      </c>
      <c r="N4" s="2">
        <f>'Total Chain'!N$4</f>
        <v>2027</v>
      </c>
      <c r="O4" s="2">
        <f>'Total Chain'!O$4</f>
        <v>2028</v>
      </c>
      <c r="P4" s="2">
        <f>'Total Chain'!P$4</f>
        <v>2029</v>
      </c>
    </row>
    <row r="5" spans="1:16" x14ac:dyDescent="0.35">
      <c r="J5" s="2"/>
      <c r="K5" s="2"/>
      <c r="L5" s="2"/>
      <c r="M5" s="2"/>
      <c r="N5" s="2"/>
      <c r="O5" s="2"/>
      <c r="P5" s="2"/>
    </row>
    <row r="6" spans="1:16" x14ac:dyDescent="0.35">
      <c r="D6" s="2" t="s">
        <v>142</v>
      </c>
      <c r="E6" s="2"/>
      <c r="J6" s="2">
        <f>'Total Chain'!J7</f>
        <v>10</v>
      </c>
      <c r="K6" s="2">
        <f>'Total Chain'!K7</f>
        <v>20</v>
      </c>
      <c r="L6" s="2">
        <f>'Total Chain'!L7</f>
        <v>20</v>
      </c>
      <c r="M6" s="2">
        <f>'Total Chain'!M7</f>
        <v>20</v>
      </c>
      <c r="N6" s="2">
        <f>'Total Chain'!N7</f>
        <v>20</v>
      </c>
      <c r="O6" s="2">
        <f>'Total Chain'!O7</f>
        <v>20</v>
      </c>
      <c r="P6" s="2">
        <f>'Total Chain'!P7</f>
        <v>20</v>
      </c>
    </row>
    <row r="7" spans="1:16" x14ac:dyDescent="0.35">
      <c r="D7" s="2"/>
      <c r="E7" s="2"/>
      <c r="J7" s="2"/>
      <c r="K7" s="2"/>
      <c r="L7" s="2"/>
      <c r="M7" s="2"/>
      <c r="N7" s="2"/>
      <c r="O7" s="2"/>
      <c r="P7" s="2"/>
    </row>
    <row r="8" spans="1:16" x14ac:dyDescent="0.35">
      <c r="D8" s="2" t="s">
        <v>174</v>
      </c>
      <c r="E8" s="2"/>
      <c r="J8" s="2">
        <f>'Total Chain'!J$6</f>
        <v>10</v>
      </c>
      <c r="K8" s="2">
        <f>'Total Chain'!K$6</f>
        <v>30</v>
      </c>
      <c r="L8" s="2">
        <f>'Total Chain'!L$6</f>
        <v>50</v>
      </c>
      <c r="M8" s="2">
        <f>'Total Chain'!M$6</f>
        <v>70</v>
      </c>
      <c r="N8" s="2">
        <f>'Total Chain'!N$6</f>
        <v>90</v>
      </c>
      <c r="O8" s="2">
        <f>'Total Chain'!O$6</f>
        <v>110</v>
      </c>
      <c r="P8" s="2">
        <f>'Total Chain'!P$6</f>
        <v>130</v>
      </c>
    </row>
    <row r="9" spans="1:16" x14ac:dyDescent="0.35">
      <c r="J9" s="2"/>
      <c r="K9" s="2"/>
      <c r="L9" s="2"/>
      <c r="M9" s="2"/>
      <c r="N9" s="2"/>
      <c r="O9" s="2"/>
      <c r="P9" s="2"/>
    </row>
    <row r="10" spans="1:16" x14ac:dyDescent="0.35">
      <c r="D10" s="2" t="s">
        <v>161</v>
      </c>
      <c r="E10" s="2"/>
      <c r="I10" s="1" t="s">
        <v>12</v>
      </c>
      <c r="J10" s="2">
        <f>SUM(J11:J17)</f>
        <v>6</v>
      </c>
      <c r="K10" s="2">
        <f t="shared" ref="K10:P10" si="0">SUM(K11:K17)</f>
        <v>9</v>
      </c>
      <c r="L10" s="2">
        <f t="shared" si="0"/>
        <v>13</v>
      </c>
      <c r="M10" s="2">
        <f t="shared" si="0"/>
        <v>15</v>
      </c>
      <c r="N10" s="2">
        <f t="shared" si="0"/>
        <v>20</v>
      </c>
      <c r="O10" s="2">
        <f t="shared" si="0"/>
        <v>22</v>
      </c>
      <c r="P10" s="2">
        <f t="shared" si="0"/>
        <v>26</v>
      </c>
    </row>
    <row r="11" spans="1:16" x14ac:dyDescent="0.35">
      <c r="F11" s="1" t="s">
        <v>58</v>
      </c>
      <c r="I11" s="1" t="s">
        <v>12</v>
      </c>
      <c r="J11" s="40">
        <v>1</v>
      </c>
      <c r="K11" s="30">
        <f>J11</f>
        <v>1</v>
      </c>
      <c r="L11" s="30">
        <f>K11</f>
        <v>1</v>
      </c>
      <c r="M11" s="30">
        <f t="shared" ref="M11:P11" si="1">L11</f>
        <v>1</v>
      </c>
      <c r="N11" s="30">
        <f t="shared" si="1"/>
        <v>1</v>
      </c>
      <c r="O11" s="30">
        <f t="shared" si="1"/>
        <v>1</v>
      </c>
      <c r="P11" s="30">
        <f t="shared" si="1"/>
        <v>1</v>
      </c>
    </row>
    <row r="12" spans="1:16" x14ac:dyDescent="0.35">
      <c r="F12" s="1" t="s">
        <v>163</v>
      </c>
      <c r="I12" s="1" t="s">
        <v>12</v>
      </c>
      <c r="J12" s="30"/>
      <c r="K12" s="40">
        <v>1</v>
      </c>
      <c r="L12" s="30">
        <f>K12</f>
        <v>1</v>
      </c>
      <c r="M12" s="30">
        <f t="shared" ref="M12:P12" si="2">L12</f>
        <v>1</v>
      </c>
      <c r="N12" s="30">
        <f t="shared" si="2"/>
        <v>1</v>
      </c>
      <c r="O12" s="30">
        <f t="shared" si="2"/>
        <v>1</v>
      </c>
      <c r="P12" s="30">
        <f t="shared" si="2"/>
        <v>1</v>
      </c>
    </row>
    <row r="13" spans="1:16" x14ac:dyDescent="0.35">
      <c r="F13" s="1" t="s">
        <v>162</v>
      </c>
      <c r="I13" s="1" t="s">
        <v>12</v>
      </c>
      <c r="J13" s="31">
        <f>ROUNDUP(J$8/Parameteres!$J$6,0)</f>
        <v>1</v>
      </c>
      <c r="K13" s="31">
        <f>ROUNDUP(K$8/Parameteres!$J$6,0)</f>
        <v>1</v>
      </c>
      <c r="L13" s="31">
        <f>ROUNDUP(L$8/Parameteres!$J$6,0)</f>
        <v>2</v>
      </c>
      <c r="M13" s="31">
        <f>ROUNDUP(M$8/Parameteres!$J$6,0)</f>
        <v>2</v>
      </c>
      <c r="N13" s="31">
        <f>ROUNDUP(N$8/Parameteres!$J$6,0)</f>
        <v>3</v>
      </c>
      <c r="O13" s="31">
        <f>ROUNDUP(O$8/Parameteres!$J$6,0)</f>
        <v>3</v>
      </c>
      <c r="P13" s="31">
        <f>ROUNDUP(P$8/Parameteres!$J$6,0)</f>
        <v>4</v>
      </c>
    </row>
    <row r="14" spans="1:16" x14ac:dyDescent="0.35">
      <c r="F14" s="1" t="s">
        <v>50</v>
      </c>
      <c r="I14" s="1" t="s">
        <v>12</v>
      </c>
      <c r="J14" s="31">
        <f>ROUNDUP(J$8/Parameteres!$J$8,0)</f>
        <v>1</v>
      </c>
      <c r="K14" s="31">
        <f>ROUNDUP(K$8/Parameteres!$J$8,0)</f>
        <v>1</v>
      </c>
      <c r="L14" s="31">
        <f>ROUNDUP(L$8/Parameteres!$J$8,0)</f>
        <v>2</v>
      </c>
      <c r="M14" s="31">
        <f>ROUNDUP(M$8/Parameteres!$J$8,0)</f>
        <v>2</v>
      </c>
      <c r="N14" s="31">
        <f>ROUNDUP(N$8/Parameteres!$J$8,0)</f>
        <v>3</v>
      </c>
      <c r="O14" s="31">
        <f>ROUNDUP(O$8/Parameteres!$J$8,0)</f>
        <v>3</v>
      </c>
      <c r="P14" s="31">
        <f>ROUNDUP(P$8/Parameteres!$J$8,0)</f>
        <v>4</v>
      </c>
    </row>
    <row r="15" spans="1:16" x14ac:dyDescent="0.35">
      <c r="F15" s="1" t="s">
        <v>51</v>
      </c>
      <c r="I15" s="1" t="s">
        <v>12</v>
      </c>
      <c r="J15" s="31">
        <f>ROUNDUP(J$8/Parameteres!$J$10,0)</f>
        <v>1</v>
      </c>
      <c r="K15" s="31">
        <f>ROUNDUP(K$8/Parameteres!$J$10,0)</f>
        <v>1</v>
      </c>
      <c r="L15" s="31">
        <f>ROUNDUP(L$8/Parameteres!$J$10,0)</f>
        <v>1</v>
      </c>
      <c r="M15" s="31">
        <f>ROUNDUP(M$8/Parameteres!$J$10,0)</f>
        <v>1</v>
      </c>
      <c r="N15" s="31">
        <f>ROUNDUP(N$8/Parameteres!$J$10,0)</f>
        <v>2</v>
      </c>
      <c r="O15" s="31">
        <f>ROUNDUP(O$8/Parameteres!$J$10,0)</f>
        <v>2</v>
      </c>
      <c r="P15" s="31">
        <f>ROUNDUP(P$8/Parameteres!$J$10,0)</f>
        <v>2</v>
      </c>
    </row>
    <row r="16" spans="1:16" x14ac:dyDescent="0.35">
      <c r="F16" s="1" t="s">
        <v>52</v>
      </c>
      <c r="I16" s="1" t="s">
        <v>12</v>
      </c>
      <c r="J16" s="31">
        <f>ROUNDUP(J$6/Parameteres!$J$12,0)</f>
        <v>1</v>
      </c>
      <c r="K16" s="31">
        <f>ROUNDUP(K$6/Parameteres!$J$12,0)</f>
        <v>1</v>
      </c>
      <c r="L16" s="31">
        <f>ROUNDUP(L$6/Parameteres!$J$12,0)</f>
        <v>1</v>
      </c>
      <c r="M16" s="31">
        <f>ROUNDUP(M$6/Parameteres!$J$12,0)</f>
        <v>1</v>
      </c>
      <c r="N16" s="31">
        <f>ROUNDUP(N$6/Parameteres!$J$12,0)</f>
        <v>1</v>
      </c>
      <c r="O16" s="31">
        <f>ROUNDUP(O$6/Parameteres!$J$12,0)</f>
        <v>1</v>
      </c>
      <c r="P16" s="31">
        <f>ROUNDUP(P$6/Parameteres!$J$12,0)</f>
        <v>1</v>
      </c>
    </row>
    <row r="17" spans="4:21" x14ac:dyDescent="0.35">
      <c r="F17" s="1" t="s">
        <v>175</v>
      </c>
      <c r="I17" s="1" t="s">
        <v>12</v>
      </c>
      <c r="J17" s="31">
        <f>ROUNDUP(J$8/Parameteres!$J$14,0)</f>
        <v>1</v>
      </c>
      <c r="K17" s="31">
        <f>ROUNDUP(K$8/Parameteres!$J$14,0)</f>
        <v>3</v>
      </c>
      <c r="L17" s="31">
        <f>ROUNDUP(L$8/Parameteres!$J$14,0)</f>
        <v>5</v>
      </c>
      <c r="M17" s="31">
        <f>ROUNDUP(M$8/Parameteres!$J$14,0)</f>
        <v>7</v>
      </c>
      <c r="N17" s="31">
        <f>ROUNDUP(N$8/Parameteres!$J$14,0)</f>
        <v>9</v>
      </c>
      <c r="O17" s="31">
        <f>ROUNDUP(O$8/Parameteres!$J$14,0)</f>
        <v>11</v>
      </c>
      <c r="P17" s="31">
        <f>ROUNDUP(P$8/Parameteres!$J$14,0)</f>
        <v>13</v>
      </c>
    </row>
    <row r="18" spans="4:21" x14ac:dyDescent="0.35">
      <c r="J18" s="2"/>
      <c r="K18" s="2"/>
      <c r="L18" s="2"/>
      <c r="M18" s="2"/>
      <c r="N18" s="2"/>
      <c r="O18" s="2"/>
      <c r="P18" s="2"/>
    </row>
    <row r="19" spans="4:21" x14ac:dyDescent="0.35">
      <c r="D19" s="2" t="s">
        <v>164</v>
      </c>
      <c r="E19" s="2"/>
      <c r="I19" s="1" t="s">
        <v>63</v>
      </c>
      <c r="J19" s="7">
        <f>J20*J21</f>
        <v>120</v>
      </c>
      <c r="K19" s="7">
        <f>K20*K21</f>
        <v>180</v>
      </c>
      <c r="L19" s="7">
        <f t="shared" ref="L19:P19" si="3">L20*L21</f>
        <v>260</v>
      </c>
      <c r="M19" s="7">
        <f t="shared" si="3"/>
        <v>300</v>
      </c>
      <c r="N19" s="7">
        <f t="shared" si="3"/>
        <v>400</v>
      </c>
      <c r="O19" s="7">
        <f t="shared" si="3"/>
        <v>440</v>
      </c>
      <c r="P19" s="7">
        <f t="shared" si="3"/>
        <v>520</v>
      </c>
      <c r="Q19" s="7"/>
      <c r="R19" s="7"/>
    </row>
    <row r="20" spans="4:21" x14ac:dyDescent="0.35">
      <c r="F20" s="1" t="s">
        <v>165</v>
      </c>
      <c r="I20" s="1" t="s">
        <v>166</v>
      </c>
      <c r="J20" s="56">
        <v>20</v>
      </c>
      <c r="K20" s="30">
        <f>J20</f>
        <v>20</v>
      </c>
      <c r="L20" s="30">
        <f t="shared" ref="L20:P20" si="4">K20</f>
        <v>20</v>
      </c>
      <c r="M20" s="30">
        <f t="shared" si="4"/>
        <v>20</v>
      </c>
      <c r="N20" s="30">
        <f t="shared" si="4"/>
        <v>20</v>
      </c>
      <c r="O20" s="30">
        <f t="shared" si="4"/>
        <v>20</v>
      </c>
      <c r="P20" s="30">
        <f t="shared" si="4"/>
        <v>20</v>
      </c>
      <c r="Q20" s="30"/>
      <c r="R20" s="30"/>
    </row>
    <row r="21" spans="4:21" x14ac:dyDescent="0.35">
      <c r="F21" s="30" t="s">
        <v>167</v>
      </c>
      <c r="I21" s="1" t="s">
        <v>12</v>
      </c>
      <c r="J21" s="30">
        <f t="shared" ref="J21:P21" si="5">J10</f>
        <v>6</v>
      </c>
      <c r="K21" s="30">
        <f t="shared" si="5"/>
        <v>9</v>
      </c>
      <c r="L21" s="30">
        <f t="shared" si="5"/>
        <v>13</v>
      </c>
      <c r="M21" s="30">
        <f t="shared" si="5"/>
        <v>15</v>
      </c>
      <c r="N21" s="30">
        <f t="shared" si="5"/>
        <v>20</v>
      </c>
      <c r="O21" s="30">
        <f t="shared" si="5"/>
        <v>22</v>
      </c>
      <c r="P21" s="30">
        <f t="shared" si="5"/>
        <v>26</v>
      </c>
      <c r="Q21" s="30"/>
      <c r="R21" s="30"/>
    </row>
    <row r="22" spans="4:21" x14ac:dyDescent="0.35">
      <c r="F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4:21" x14ac:dyDescent="0.35">
      <c r="D23" s="2" t="s">
        <v>86</v>
      </c>
      <c r="E23" s="2"/>
      <c r="I23" s="1" t="s">
        <v>143</v>
      </c>
      <c r="J23" s="39">
        <f>J24+J30+J33+J36+J39+J27</f>
        <v>0.79225000000000012</v>
      </c>
      <c r="K23" s="39">
        <f t="shared" ref="K23:P23" si="6">K24+K30+K33+K36+K39+K27</f>
        <v>2.1961999999999997</v>
      </c>
      <c r="L23" s="39">
        <f t="shared" si="6"/>
        <v>4.1515500000000003</v>
      </c>
      <c r="M23" s="39">
        <f t="shared" si="6"/>
        <v>6.4487249999999996</v>
      </c>
      <c r="N23" s="39">
        <f t="shared" si="6"/>
        <v>9.2557749999999999</v>
      </c>
      <c r="O23" s="39">
        <f t="shared" si="6"/>
        <v>11.882825000000002</v>
      </c>
      <c r="P23" s="39">
        <f t="shared" si="6"/>
        <v>14.629875000000002</v>
      </c>
      <c r="Q23" s="3"/>
      <c r="R23" s="3"/>
    </row>
    <row r="24" spans="4:21" x14ac:dyDescent="0.35">
      <c r="F24" s="30" t="s">
        <v>179</v>
      </c>
      <c r="I24" s="1" t="s">
        <v>143</v>
      </c>
      <c r="J24" s="46">
        <f>J25*J26/1000</f>
        <v>0.3</v>
      </c>
      <c r="K24" s="46">
        <f t="shared" ref="K24:P24" si="7">K25*K26/1000</f>
        <v>0.45</v>
      </c>
      <c r="L24" s="46">
        <f t="shared" si="7"/>
        <v>0.65</v>
      </c>
      <c r="M24" s="46">
        <f t="shared" si="7"/>
        <v>0.75</v>
      </c>
      <c r="N24" s="46">
        <f t="shared" si="7"/>
        <v>1</v>
      </c>
      <c r="O24" s="46">
        <f t="shared" si="7"/>
        <v>1.1000000000000001</v>
      </c>
      <c r="P24" s="46">
        <f t="shared" si="7"/>
        <v>1.3</v>
      </c>
      <c r="Q24" s="31"/>
      <c r="R24" s="31"/>
      <c r="S24" s="31"/>
      <c r="T24" s="31"/>
      <c r="U24" s="31"/>
    </row>
    <row r="25" spans="4:21" hidden="1" outlineLevel="1" x14ac:dyDescent="0.35">
      <c r="F25" s="30"/>
      <c r="G25" s="1" t="s">
        <v>177</v>
      </c>
      <c r="I25" s="1" t="s">
        <v>12</v>
      </c>
      <c r="J25" s="30">
        <f>J10</f>
        <v>6</v>
      </c>
      <c r="K25" s="30">
        <f t="shared" ref="K25:P25" si="8">K10</f>
        <v>9</v>
      </c>
      <c r="L25" s="30">
        <f t="shared" si="8"/>
        <v>13</v>
      </c>
      <c r="M25" s="30">
        <f t="shared" si="8"/>
        <v>15</v>
      </c>
      <c r="N25" s="30">
        <f t="shared" si="8"/>
        <v>20</v>
      </c>
      <c r="O25" s="30">
        <f t="shared" si="8"/>
        <v>22</v>
      </c>
      <c r="P25" s="30">
        <f t="shared" si="8"/>
        <v>26</v>
      </c>
      <c r="Q25" s="30"/>
      <c r="R25" s="30"/>
      <c r="S25" s="30"/>
      <c r="T25" s="30"/>
      <c r="U25" s="30"/>
    </row>
    <row r="26" spans="4:21" hidden="1" outlineLevel="1" x14ac:dyDescent="0.35">
      <c r="F26" s="30"/>
      <c r="G26" s="1" t="s">
        <v>178</v>
      </c>
      <c r="I26" s="1" t="s">
        <v>47</v>
      </c>
      <c r="J26" s="40">
        <v>50</v>
      </c>
      <c r="K26" s="30">
        <f t="shared" ref="K26:P26" si="9">J26</f>
        <v>50</v>
      </c>
      <c r="L26" s="30">
        <f t="shared" si="9"/>
        <v>50</v>
      </c>
      <c r="M26" s="30">
        <f t="shared" si="9"/>
        <v>50</v>
      </c>
      <c r="N26" s="30">
        <f t="shared" si="9"/>
        <v>50</v>
      </c>
      <c r="O26" s="30">
        <f t="shared" si="9"/>
        <v>50</v>
      </c>
      <c r="P26" s="30">
        <f t="shared" si="9"/>
        <v>50</v>
      </c>
      <c r="Q26" s="30"/>
      <c r="R26" s="30"/>
      <c r="S26" s="30"/>
      <c r="T26" s="30"/>
      <c r="U26" s="30"/>
    </row>
    <row r="27" spans="4:21" collapsed="1" x14ac:dyDescent="0.35">
      <c r="F27" s="1" t="s">
        <v>59</v>
      </c>
      <c r="I27" s="1" t="s">
        <v>143</v>
      </c>
      <c r="J27" s="13">
        <f>J28*J29/1000000</f>
        <v>0.06</v>
      </c>
      <c r="K27" s="13">
        <f t="shared" ref="K27:P27" si="10">K28*K29/1000000</f>
        <v>0.09</v>
      </c>
      <c r="L27" s="13">
        <f t="shared" si="10"/>
        <v>0.13</v>
      </c>
      <c r="M27" s="13">
        <f t="shared" si="10"/>
        <v>0.15</v>
      </c>
      <c r="N27" s="13">
        <f t="shared" si="10"/>
        <v>0.2</v>
      </c>
      <c r="O27" s="13">
        <f t="shared" si="10"/>
        <v>0.22</v>
      </c>
      <c r="P27" s="13">
        <f t="shared" si="10"/>
        <v>0.26</v>
      </c>
      <c r="Q27" s="3"/>
      <c r="R27" s="3"/>
    </row>
    <row r="28" spans="4:21" hidden="1" outlineLevel="1" x14ac:dyDescent="0.35">
      <c r="G28" s="1" t="s">
        <v>60</v>
      </c>
      <c r="I28" s="1" t="s">
        <v>62</v>
      </c>
      <c r="J28" s="16">
        <v>500</v>
      </c>
      <c r="K28" s="3">
        <f>J28</f>
        <v>500</v>
      </c>
      <c r="L28" s="3">
        <f>K28</f>
        <v>500</v>
      </c>
      <c r="M28" s="3">
        <f>L28</f>
        <v>500</v>
      </c>
      <c r="N28" s="3">
        <f t="shared" ref="N28:P28" si="11">M28</f>
        <v>500</v>
      </c>
      <c r="O28" s="3">
        <f t="shared" si="11"/>
        <v>500</v>
      </c>
      <c r="P28" s="3">
        <f t="shared" si="11"/>
        <v>500</v>
      </c>
      <c r="Q28" s="3"/>
      <c r="R28" s="3"/>
    </row>
    <row r="29" spans="4:21" hidden="1" outlineLevel="1" x14ac:dyDescent="0.35">
      <c r="G29" s="1" t="s">
        <v>61</v>
      </c>
      <c r="I29" s="1" t="s">
        <v>63</v>
      </c>
      <c r="J29" s="3">
        <f>J19</f>
        <v>120</v>
      </c>
      <c r="K29" s="3">
        <f t="shared" ref="K29:P29" si="12">K19</f>
        <v>180</v>
      </c>
      <c r="L29" s="3">
        <f t="shared" si="12"/>
        <v>260</v>
      </c>
      <c r="M29" s="3">
        <f t="shared" si="12"/>
        <v>300</v>
      </c>
      <c r="N29" s="3">
        <f t="shared" si="12"/>
        <v>400</v>
      </c>
      <c r="O29" s="3">
        <f t="shared" si="12"/>
        <v>440</v>
      </c>
      <c r="P29" s="3">
        <f t="shared" si="12"/>
        <v>520</v>
      </c>
      <c r="Q29" s="3"/>
      <c r="R29" s="3"/>
    </row>
    <row r="30" spans="4:21" collapsed="1" x14ac:dyDescent="0.35">
      <c r="F30" s="1" t="s">
        <v>53</v>
      </c>
      <c r="I30" s="1" t="s">
        <v>143</v>
      </c>
      <c r="J30" s="13">
        <f>J31*J32</f>
        <v>0.19950000000000001</v>
      </c>
      <c r="K30" s="13">
        <f t="shared" ref="K30:P30" si="13">K31*K32</f>
        <v>0.76439999999999997</v>
      </c>
      <c r="L30" s="13">
        <f t="shared" si="13"/>
        <v>1.5561</v>
      </c>
      <c r="M30" s="13">
        <f t="shared" si="13"/>
        <v>2.5609499999999996</v>
      </c>
      <c r="N30" s="13">
        <f t="shared" si="13"/>
        <v>3.7180499999999999</v>
      </c>
      <c r="O30" s="13">
        <f t="shared" si="13"/>
        <v>4.8751500000000005</v>
      </c>
      <c r="P30" s="13">
        <f t="shared" si="13"/>
        <v>6.0322500000000012</v>
      </c>
      <c r="Q30" s="3"/>
      <c r="R30" s="3"/>
    </row>
    <row r="31" spans="4:21" hidden="1" outlineLevel="1" x14ac:dyDescent="0.35">
      <c r="G31" s="1" t="s">
        <v>54</v>
      </c>
      <c r="I31" s="1" t="s">
        <v>19</v>
      </c>
      <c r="J31" s="15">
        <v>0.03</v>
      </c>
      <c r="K31" s="10">
        <f>J31</f>
        <v>0.03</v>
      </c>
      <c r="L31" s="10">
        <f t="shared" ref="L31:P31" si="14">K31</f>
        <v>0.03</v>
      </c>
      <c r="M31" s="10">
        <f t="shared" si="14"/>
        <v>0.03</v>
      </c>
      <c r="N31" s="10">
        <f t="shared" si="14"/>
        <v>0.03</v>
      </c>
      <c r="O31" s="10">
        <f t="shared" si="14"/>
        <v>0.03</v>
      </c>
      <c r="P31" s="10">
        <f t="shared" si="14"/>
        <v>0.03</v>
      </c>
      <c r="Q31" s="3"/>
      <c r="R31" s="3"/>
    </row>
    <row r="32" spans="4:21" hidden="1" outlineLevel="1" x14ac:dyDescent="0.35">
      <c r="G32" s="1" t="s">
        <v>0</v>
      </c>
      <c r="I32" s="1" t="s">
        <v>45</v>
      </c>
      <c r="J32" s="3">
        <f>'Total Chain'!J$10</f>
        <v>6.65</v>
      </c>
      <c r="K32" s="3">
        <f>'Total Chain'!K$10</f>
        <v>25.48</v>
      </c>
      <c r="L32" s="3">
        <f>'Total Chain'!L$10</f>
        <v>51.870000000000005</v>
      </c>
      <c r="M32" s="3">
        <f>'Total Chain'!M$10</f>
        <v>85.364999999999995</v>
      </c>
      <c r="N32" s="3">
        <f>'Total Chain'!N$10</f>
        <v>123.935</v>
      </c>
      <c r="O32" s="3">
        <f>'Total Chain'!O$10</f>
        <v>162.50500000000002</v>
      </c>
      <c r="P32" s="3">
        <f>'Total Chain'!P$10</f>
        <v>201.07500000000005</v>
      </c>
      <c r="Q32" s="3"/>
      <c r="R32" s="3"/>
    </row>
    <row r="33" spans="4:18" collapsed="1" x14ac:dyDescent="0.35">
      <c r="F33" s="1" t="s">
        <v>55</v>
      </c>
      <c r="I33" s="1" t="s">
        <v>143</v>
      </c>
      <c r="J33" s="13">
        <f>J34*J35</f>
        <v>3.3250000000000002E-2</v>
      </c>
      <c r="K33" s="13">
        <f t="shared" ref="K33:P33" si="15">K34*K35</f>
        <v>0.12740000000000001</v>
      </c>
      <c r="L33" s="13">
        <f t="shared" si="15"/>
        <v>0.25935000000000002</v>
      </c>
      <c r="M33" s="13">
        <f t="shared" si="15"/>
        <v>0.42682500000000001</v>
      </c>
      <c r="N33" s="13">
        <f t="shared" si="15"/>
        <v>0.61967499999999998</v>
      </c>
      <c r="O33" s="13">
        <f t="shared" si="15"/>
        <v>0.81252500000000016</v>
      </c>
      <c r="P33" s="13">
        <f t="shared" si="15"/>
        <v>1.0053750000000004</v>
      </c>
      <c r="Q33" s="3"/>
      <c r="R33" s="3"/>
    </row>
    <row r="34" spans="4:18" hidden="1" outlineLevel="1" x14ac:dyDescent="0.35">
      <c r="G34" s="1" t="s">
        <v>54</v>
      </c>
      <c r="I34" s="1" t="s">
        <v>19</v>
      </c>
      <c r="J34" s="15">
        <v>5.0000000000000001E-3</v>
      </c>
      <c r="K34" s="10">
        <f>J34</f>
        <v>5.0000000000000001E-3</v>
      </c>
      <c r="L34" s="10">
        <f t="shared" ref="L34:P34" si="16">K34</f>
        <v>5.0000000000000001E-3</v>
      </c>
      <c r="M34" s="10">
        <f t="shared" si="16"/>
        <v>5.0000000000000001E-3</v>
      </c>
      <c r="N34" s="10">
        <f t="shared" si="16"/>
        <v>5.0000000000000001E-3</v>
      </c>
      <c r="O34" s="10">
        <f t="shared" si="16"/>
        <v>5.0000000000000001E-3</v>
      </c>
      <c r="P34" s="10">
        <f t="shared" si="16"/>
        <v>5.0000000000000001E-3</v>
      </c>
      <c r="Q34" s="3"/>
      <c r="R34" s="3"/>
    </row>
    <row r="35" spans="4:18" hidden="1" outlineLevel="1" x14ac:dyDescent="0.35">
      <c r="G35" s="1" t="s">
        <v>0</v>
      </c>
      <c r="I35" s="1" t="s">
        <v>45</v>
      </c>
      <c r="J35" s="3">
        <f>'Total Chain'!J$10</f>
        <v>6.65</v>
      </c>
      <c r="K35" s="3">
        <f>'Total Chain'!K$10</f>
        <v>25.48</v>
      </c>
      <c r="L35" s="3">
        <f>'Total Chain'!L$10</f>
        <v>51.870000000000005</v>
      </c>
      <c r="M35" s="3">
        <f>'Total Chain'!M$10</f>
        <v>85.364999999999995</v>
      </c>
      <c r="N35" s="3">
        <f>'Total Chain'!N$10</f>
        <v>123.935</v>
      </c>
      <c r="O35" s="3">
        <f>'Total Chain'!O$10</f>
        <v>162.50500000000002</v>
      </c>
      <c r="P35" s="3">
        <f>'Total Chain'!P$10</f>
        <v>201.07500000000005</v>
      </c>
      <c r="Q35" s="3"/>
      <c r="R35" s="3"/>
    </row>
    <row r="36" spans="4:18" collapsed="1" x14ac:dyDescent="0.35">
      <c r="F36" s="1" t="s">
        <v>56</v>
      </c>
      <c r="I36" s="1" t="s">
        <v>143</v>
      </c>
      <c r="J36" s="13">
        <f>J37*J38</f>
        <v>9.9750000000000005E-2</v>
      </c>
      <c r="K36" s="13">
        <f t="shared" ref="K36:P36" si="17">K37*K38</f>
        <v>0.38219999999999998</v>
      </c>
      <c r="L36" s="13">
        <f t="shared" si="17"/>
        <v>0.77805000000000002</v>
      </c>
      <c r="M36" s="13">
        <f t="shared" si="17"/>
        <v>1.2804749999999998</v>
      </c>
      <c r="N36" s="13">
        <f t="shared" si="17"/>
        <v>1.8590249999999999</v>
      </c>
      <c r="O36" s="13">
        <f t="shared" si="17"/>
        <v>2.4375750000000003</v>
      </c>
      <c r="P36" s="13">
        <f t="shared" si="17"/>
        <v>3.0161250000000006</v>
      </c>
      <c r="Q36" s="3"/>
      <c r="R36" s="3"/>
    </row>
    <row r="37" spans="4:18" hidden="1" outlineLevel="1" x14ac:dyDescent="0.35">
      <c r="G37" s="1" t="s">
        <v>54</v>
      </c>
      <c r="I37" s="1" t="s">
        <v>19</v>
      </c>
      <c r="J37" s="15">
        <v>1.4999999999999999E-2</v>
      </c>
      <c r="K37" s="10">
        <f>J37</f>
        <v>1.4999999999999999E-2</v>
      </c>
      <c r="L37" s="10">
        <f t="shared" ref="L37:P37" si="18">K37</f>
        <v>1.4999999999999999E-2</v>
      </c>
      <c r="M37" s="10">
        <f t="shared" si="18"/>
        <v>1.4999999999999999E-2</v>
      </c>
      <c r="N37" s="10">
        <f t="shared" si="18"/>
        <v>1.4999999999999999E-2</v>
      </c>
      <c r="O37" s="10">
        <f t="shared" si="18"/>
        <v>1.4999999999999999E-2</v>
      </c>
      <c r="P37" s="10">
        <f t="shared" si="18"/>
        <v>1.4999999999999999E-2</v>
      </c>
      <c r="Q37" s="3"/>
      <c r="R37" s="3"/>
    </row>
    <row r="38" spans="4:18" hidden="1" outlineLevel="1" x14ac:dyDescent="0.35">
      <c r="G38" s="1" t="s">
        <v>0</v>
      </c>
      <c r="I38" s="1" t="s">
        <v>45</v>
      </c>
      <c r="J38" s="3">
        <f>'Total Chain'!J$10</f>
        <v>6.65</v>
      </c>
      <c r="K38" s="3">
        <f>'Total Chain'!K$10</f>
        <v>25.48</v>
      </c>
      <c r="L38" s="3">
        <f>'Total Chain'!L$10</f>
        <v>51.870000000000005</v>
      </c>
      <c r="M38" s="3">
        <f>'Total Chain'!M$10</f>
        <v>85.364999999999995</v>
      </c>
      <c r="N38" s="3">
        <f>'Total Chain'!N$10</f>
        <v>123.935</v>
      </c>
      <c r="O38" s="3">
        <f>'Total Chain'!O$10</f>
        <v>162.50500000000002</v>
      </c>
      <c r="P38" s="3">
        <f>'Total Chain'!P$10</f>
        <v>201.07500000000005</v>
      </c>
      <c r="Q38" s="3"/>
      <c r="R38" s="3"/>
    </row>
    <row r="39" spans="4:18" collapsed="1" x14ac:dyDescent="0.35">
      <c r="F39" s="1" t="s">
        <v>57</v>
      </c>
      <c r="I39" s="1" t="s">
        <v>143</v>
      </c>
      <c r="J39" s="13">
        <f>J40*J41</f>
        <v>9.9750000000000005E-2</v>
      </c>
      <c r="K39" s="13">
        <f t="shared" ref="K39:P39" si="19">K40*K41</f>
        <v>0.38219999999999998</v>
      </c>
      <c r="L39" s="13">
        <f t="shared" si="19"/>
        <v>0.77805000000000002</v>
      </c>
      <c r="M39" s="13">
        <f t="shared" si="19"/>
        <v>1.2804749999999998</v>
      </c>
      <c r="N39" s="13">
        <f t="shared" si="19"/>
        <v>1.8590249999999999</v>
      </c>
      <c r="O39" s="13">
        <f t="shared" si="19"/>
        <v>2.4375750000000003</v>
      </c>
      <c r="P39" s="13">
        <f t="shared" si="19"/>
        <v>3.0161250000000006</v>
      </c>
      <c r="Q39" s="3"/>
      <c r="R39" s="3"/>
    </row>
    <row r="40" spans="4:18" hidden="1" outlineLevel="1" x14ac:dyDescent="0.35">
      <c r="G40" s="1" t="s">
        <v>54</v>
      </c>
      <c r="I40" s="1" t="s">
        <v>19</v>
      </c>
      <c r="J40" s="15">
        <v>1.4999999999999999E-2</v>
      </c>
      <c r="K40" s="10">
        <f>J40</f>
        <v>1.4999999999999999E-2</v>
      </c>
      <c r="L40" s="10">
        <f t="shared" ref="L40:P40" si="20">K40</f>
        <v>1.4999999999999999E-2</v>
      </c>
      <c r="M40" s="10">
        <f t="shared" si="20"/>
        <v>1.4999999999999999E-2</v>
      </c>
      <c r="N40" s="10">
        <f t="shared" si="20"/>
        <v>1.4999999999999999E-2</v>
      </c>
      <c r="O40" s="10">
        <f t="shared" si="20"/>
        <v>1.4999999999999999E-2</v>
      </c>
      <c r="P40" s="10">
        <f t="shared" si="20"/>
        <v>1.4999999999999999E-2</v>
      </c>
      <c r="Q40" s="3"/>
      <c r="R40" s="3"/>
    </row>
    <row r="41" spans="4:18" hidden="1" outlineLevel="1" x14ac:dyDescent="0.35">
      <c r="G41" s="1" t="s">
        <v>0</v>
      </c>
      <c r="I41" s="1" t="s">
        <v>45</v>
      </c>
      <c r="J41" s="3">
        <f>'Total Chain'!J$10</f>
        <v>6.65</v>
      </c>
      <c r="K41" s="3">
        <f>'Total Chain'!K$10</f>
        <v>25.48</v>
      </c>
      <c r="L41" s="3">
        <f>'Total Chain'!L$10</f>
        <v>51.870000000000005</v>
      </c>
      <c r="M41" s="3">
        <f>'Total Chain'!M$10</f>
        <v>85.364999999999995</v>
      </c>
      <c r="N41" s="3">
        <f>'Total Chain'!N$10</f>
        <v>123.935</v>
      </c>
      <c r="O41" s="3">
        <f>'Total Chain'!O$10</f>
        <v>162.50500000000002</v>
      </c>
      <c r="P41" s="3">
        <f>'Total Chain'!P$10</f>
        <v>201.07500000000005</v>
      </c>
      <c r="Q41" s="3"/>
      <c r="R41" s="3"/>
    </row>
    <row r="42" spans="4:18" collapsed="1" x14ac:dyDescent="0.35"/>
    <row r="45" spans="4:18" x14ac:dyDescent="0.35">
      <c r="J45" s="3"/>
      <c r="K45" s="3"/>
      <c r="L45" s="3"/>
      <c r="M45" s="3"/>
      <c r="N45" s="3"/>
      <c r="O45" s="3"/>
      <c r="P45" s="3"/>
      <c r="Q45" s="3"/>
      <c r="R45" s="3"/>
    </row>
    <row r="46" spans="4:18" x14ac:dyDescent="0.35">
      <c r="D46" s="2"/>
      <c r="E46" s="2"/>
      <c r="F46" s="2"/>
      <c r="J46" s="3"/>
      <c r="K46" s="3"/>
      <c r="L46" s="3"/>
      <c r="M46" s="3"/>
      <c r="N46" s="3"/>
      <c r="O46" s="3"/>
      <c r="P46" s="3"/>
      <c r="Q46" s="3"/>
      <c r="R46" s="3"/>
    </row>
    <row r="47" spans="4:18" x14ac:dyDescent="0.35">
      <c r="J47" s="3"/>
      <c r="K47" s="3"/>
      <c r="L47" s="3"/>
      <c r="M47" s="3"/>
      <c r="N47" s="3"/>
      <c r="O47" s="3"/>
      <c r="P47" s="3"/>
      <c r="Q47" s="3"/>
      <c r="R47" s="3"/>
    </row>
  </sheetData>
  <hyperlinks>
    <hyperlink ref="P2" location="Master!A1" display="Ba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51"/>
  <sheetViews>
    <sheetView tabSelected="1"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D23" sqref="D23"/>
    </sheetView>
  </sheetViews>
  <sheetFormatPr defaultColWidth="8.7265625" defaultRowHeight="14.5" x14ac:dyDescent="0.35"/>
  <cols>
    <col min="1" max="1" width="4.453125" style="3" customWidth="1"/>
    <col min="2" max="2" width="3.36328125" style="3" customWidth="1"/>
    <col min="3" max="3" width="3.08984375" style="17" customWidth="1"/>
    <col min="4" max="4" width="3.453125" style="7" customWidth="1"/>
    <col min="5" max="5" width="5.1796875" style="3" customWidth="1"/>
    <col min="6" max="6" width="4.08984375" style="7" customWidth="1"/>
    <col min="7" max="7" width="5.08984375" style="3" customWidth="1"/>
    <col min="8" max="8" width="23.453125" style="3" customWidth="1"/>
    <col min="9" max="9" width="20.1796875" style="3" customWidth="1"/>
    <col min="10" max="16" width="9.54296875" style="3" customWidth="1"/>
    <col min="17" max="17" width="9.54296875" style="29" customWidth="1"/>
    <col min="18" max="21" width="9.54296875" style="3" customWidth="1"/>
    <col min="22" max="27" width="8.81640625" style="3" customWidth="1"/>
    <col min="28" max="16384" width="8.7265625" style="3"/>
  </cols>
  <sheetData>
    <row r="1" spans="1:22" x14ac:dyDescent="0.35">
      <c r="A1" s="7" t="s">
        <v>105</v>
      </c>
      <c r="J1" s="35" t="s">
        <v>130</v>
      </c>
      <c r="Q1" s="36"/>
      <c r="V1" s="35" t="s">
        <v>130</v>
      </c>
    </row>
    <row r="4" spans="1:22" x14ac:dyDescent="0.35">
      <c r="J4" s="2">
        <f>'Total Chain'!J$4</f>
        <v>2023</v>
      </c>
      <c r="K4" s="2">
        <f>'Total Chain'!K$4</f>
        <v>2024</v>
      </c>
      <c r="L4" s="2">
        <f>'Total Chain'!L$4</f>
        <v>2025</v>
      </c>
      <c r="M4" s="2">
        <f>'Total Chain'!M$4</f>
        <v>2026</v>
      </c>
      <c r="N4" s="2">
        <f>'Total Chain'!N$4</f>
        <v>2027</v>
      </c>
      <c r="O4" s="2">
        <f>'Total Chain'!O$4</f>
        <v>2028</v>
      </c>
      <c r="P4" s="2">
        <f>'Total Chain'!P$4</f>
        <v>2029</v>
      </c>
      <c r="Q4" s="32"/>
      <c r="R4" s="32"/>
      <c r="S4" s="32"/>
      <c r="T4" s="32"/>
      <c r="U4" s="32"/>
      <c r="V4" s="7"/>
    </row>
    <row r="5" spans="1:22" x14ac:dyDescent="0.35"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2" x14ac:dyDescent="0.35">
      <c r="C6" s="17" t="s">
        <v>131</v>
      </c>
      <c r="I6" s="3" t="s">
        <v>63</v>
      </c>
      <c r="J6" s="32">
        <f>MAX(J7*J8,J9)</f>
        <v>10000</v>
      </c>
      <c r="K6" s="32">
        <f t="shared" ref="K6:P6" si="0">MAX(K7*K8,K9)</f>
        <v>10000</v>
      </c>
      <c r="L6" s="32">
        <f t="shared" si="0"/>
        <v>10000</v>
      </c>
      <c r="M6" s="32">
        <f t="shared" si="0"/>
        <v>10000</v>
      </c>
      <c r="N6" s="32">
        <f t="shared" si="0"/>
        <v>11250</v>
      </c>
      <c r="O6" s="32">
        <f t="shared" si="0"/>
        <v>13750</v>
      </c>
      <c r="P6" s="32">
        <f t="shared" si="0"/>
        <v>16250</v>
      </c>
      <c r="Q6" s="32"/>
      <c r="R6" s="32"/>
      <c r="S6" s="32"/>
      <c r="T6" s="32"/>
      <c r="U6" s="32"/>
    </row>
    <row r="7" spans="1:22" x14ac:dyDescent="0.35">
      <c r="D7" s="31" t="s">
        <v>133</v>
      </c>
      <c r="I7" s="3" t="s">
        <v>138</v>
      </c>
      <c r="J7" s="33">
        <f>'Total Chain'!J6</f>
        <v>10</v>
      </c>
      <c r="K7" s="33">
        <f>'Total Chain'!K6</f>
        <v>30</v>
      </c>
      <c r="L7" s="33">
        <f>'Total Chain'!L6</f>
        <v>50</v>
      </c>
      <c r="M7" s="33">
        <f>'Total Chain'!M6</f>
        <v>70</v>
      </c>
      <c r="N7" s="33">
        <f>'Total Chain'!N6</f>
        <v>90</v>
      </c>
      <c r="O7" s="33">
        <f>'Total Chain'!O6</f>
        <v>110</v>
      </c>
      <c r="P7" s="33">
        <f>'Total Chain'!P6</f>
        <v>130</v>
      </c>
      <c r="Q7" s="32"/>
      <c r="R7" s="32"/>
      <c r="S7" s="32"/>
      <c r="T7" s="32"/>
      <c r="U7" s="32"/>
    </row>
    <row r="8" spans="1:22" x14ac:dyDescent="0.35">
      <c r="D8" s="31" t="s">
        <v>134</v>
      </c>
      <c r="I8" s="3" t="s">
        <v>135</v>
      </c>
      <c r="J8" s="34">
        <f>50000/400</f>
        <v>125</v>
      </c>
      <c r="K8" s="33">
        <f t="shared" ref="K8:P9" si="1">J8</f>
        <v>125</v>
      </c>
      <c r="L8" s="33">
        <f t="shared" si="1"/>
        <v>125</v>
      </c>
      <c r="M8" s="33">
        <f t="shared" si="1"/>
        <v>125</v>
      </c>
      <c r="N8" s="33">
        <f t="shared" si="1"/>
        <v>125</v>
      </c>
      <c r="O8" s="33">
        <f t="shared" si="1"/>
        <v>125</v>
      </c>
      <c r="P8" s="33">
        <f t="shared" si="1"/>
        <v>125</v>
      </c>
      <c r="Q8" s="33"/>
      <c r="R8" s="33"/>
      <c r="S8" s="33"/>
      <c r="T8" s="33"/>
      <c r="U8" s="33"/>
    </row>
    <row r="9" spans="1:22" x14ac:dyDescent="0.35">
      <c r="D9" s="31" t="s">
        <v>137</v>
      </c>
      <c r="I9" s="3" t="s">
        <v>63</v>
      </c>
      <c r="J9" s="34">
        <v>10000</v>
      </c>
      <c r="K9" s="33">
        <f t="shared" si="1"/>
        <v>10000</v>
      </c>
      <c r="L9" s="33">
        <f t="shared" si="1"/>
        <v>10000</v>
      </c>
      <c r="M9" s="33">
        <f t="shared" si="1"/>
        <v>10000</v>
      </c>
      <c r="N9" s="33">
        <f t="shared" si="1"/>
        <v>10000</v>
      </c>
      <c r="O9" s="33">
        <f t="shared" si="1"/>
        <v>10000</v>
      </c>
      <c r="P9" s="33">
        <f t="shared" si="1"/>
        <v>10000</v>
      </c>
      <c r="Q9" s="33"/>
      <c r="R9" s="33"/>
      <c r="S9" s="33"/>
      <c r="T9" s="33"/>
      <c r="U9" s="33"/>
    </row>
    <row r="11" spans="1:22" x14ac:dyDescent="0.35">
      <c r="C11" s="17" t="s">
        <v>140</v>
      </c>
      <c r="I11" s="30" t="s">
        <v>143</v>
      </c>
      <c r="J11" s="37">
        <f>J12*J13/1000</f>
        <v>3.96</v>
      </c>
      <c r="K11" s="37">
        <f t="shared" ref="K11:P11" si="2">K12*K13/1000</f>
        <v>7.92</v>
      </c>
      <c r="L11" s="37">
        <f t="shared" si="2"/>
        <v>7.92</v>
      </c>
      <c r="M11" s="37">
        <f t="shared" si="2"/>
        <v>7.92</v>
      </c>
      <c r="N11" s="37">
        <f t="shared" si="2"/>
        <v>7.92</v>
      </c>
      <c r="O11" s="37">
        <f t="shared" si="2"/>
        <v>7.92</v>
      </c>
      <c r="P11" s="37">
        <f t="shared" si="2"/>
        <v>7.92</v>
      </c>
      <c r="Q11" s="32"/>
      <c r="R11" s="32"/>
      <c r="S11" s="32"/>
      <c r="T11" s="32"/>
      <c r="U11" s="32"/>
    </row>
    <row r="12" spans="1:22" x14ac:dyDescent="0.35">
      <c r="D12" s="31" t="s">
        <v>142</v>
      </c>
      <c r="I12" s="3" t="s">
        <v>63</v>
      </c>
      <c r="J12" s="33">
        <f>'Total Chain'!J7</f>
        <v>10</v>
      </c>
      <c r="K12" s="33">
        <f>'Total Chain'!K7</f>
        <v>20</v>
      </c>
      <c r="L12" s="33">
        <f>'Total Chain'!L7</f>
        <v>20</v>
      </c>
      <c r="M12" s="33">
        <f>'Total Chain'!M7</f>
        <v>20</v>
      </c>
      <c r="N12" s="33">
        <f>'Total Chain'!N7</f>
        <v>20</v>
      </c>
      <c r="O12" s="33">
        <f>'Total Chain'!O7</f>
        <v>20</v>
      </c>
      <c r="P12" s="33">
        <f>'Total Chain'!P7</f>
        <v>20</v>
      </c>
      <c r="Q12" s="33"/>
      <c r="R12" s="33"/>
      <c r="S12" s="33"/>
      <c r="T12" s="33"/>
      <c r="U12" s="33"/>
    </row>
    <row r="13" spans="1:22" x14ac:dyDescent="0.35">
      <c r="D13" s="31" t="s">
        <v>141</v>
      </c>
      <c r="I13" s="30" t="s">
        <v>139</v>
      </c>
      <c r="J13" s="33">
        <f>Shop!$J$34</f>
        <v>396</v>
      </c>
      <c r="K13" s="33">
        <f>Shop!$J$34</f>
        <v>396</v>
      </c>
      <c r="L13" s="33">
        <f>Shop!$J$34</f>
        <v>396</v>
      </c>
      <c r="M13" s="33">
        <f>Shop!$J$34</f>
        <v>396</v>
      </c>
      <c r="N13" s="33">
        <f>Shop!$J$34</f>
        <v>396</v>
      </c>
      <c r="O13" s="33">
        <f>Shop!$J$34</f>
        <v>396</v>
      </c>
      <c r="P13" s="33">
        <f>Shop!$J$34</f>
        <v>396</v>
      </c>
      <c r="Q13" s="33"/>
      <c r="R13" s="33"/>
      <c r="S13" s="33"/>
      <c r="T13" s="33"/>
      <c r="U13" s="33"/>
    </row>
    <row r="14" spans="1:22" x14ac:dyDescent="0.35"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2" x14ac:dyDescent="0.35">
      <c r="C15" s="17" t="s">
        <v>128</v>
      </c>
      <c r="I15" s="30" t="s">
        <v>143</v>
      </c>
      <c r="J15" s="37">
        <f>(J16-J17)*J18/1000</f>
        <v>5</v>
      </c>
      <c r="K15" s="37">
        <f t="shared" ref="K15:P15" si="3">(K16-K17)*K18/1000</f>
        <v>0</v>
      </c>
      <c r="L15" s="37">
        <f t="shared" si="3"/>
        <v>0</v>
      </c>
      <c r="M15" s="37">
        <f t="shared" si="3"/>
        <v>0</v>
      </c>
      <c r="N15" s="37">
        <f t="shared" si="3"/>
        <v>0.625</v>
      </c>
      <c r="O15" s="37">
        <f t="shared" si="3"/>
        <v>1.25</v>
      </c>
      <c r="P15" s="37">
        <f t="shared" si="3"/>
        <v>1.25</v>
      </c>
      <c r="Q15" s="32"/>
      <c r="R15" s="32"/>
      <c r="S15" s="32"/>
      <c r="T15" s="32"/>
      <c r="U15" s="32"/>
    </row>
    <row r="16" spans="1:22" x14ac:dyDescent="0.35">
      <c r="D16" s="31" t="s">
        <v>144</v>
      </c>
      <c r="I16" s="3" t="s">
        <v>63</v>
      </c>
      <c r="J16" s="33">
        <f t="shared" ref="J16:P16" si="4">J6</f>
        <v>10000</v>
      </c>
      <c r="K16" s="33">
        <f t="shared" si="4"/>
        <v>10000</v>
      </c>
      <c r="L16" s="33">
        <f t="shared" si="4"/>
        <v>10000</v>
      </c>
      <c r="M16" s="33">
        <f t="shared" si="4"/>
        <v>10000</v>
      </c>
      <c r="N16" s="33">
        <f t="shared" si="4"/>
        <v>11250</v>
      </c>
      <c r="O16" s="33">
        <f t="shared" si="4"/>
        <v>13750</v>
      </c>
      <c r="P16" s="33">
        <f t="shared" si="4"/>
        <v>16250</v>
      </c>
      <c r="Q16" s="33"/>
      <c r="R16" s="33"/>
      <c r="S16" s="33"/>
      <c r="T16" s="33"/>
      <c r="U16" s="33"/>
    </row>
    <row r="17" spans="1:22" x14ac:dyDescent="0.35">
      <c r="D17" s="31" t="s">
        <v>145</v>
      </c>
      <c r="I17" s="3" t="s">
        <v>63</v>
      </c>
      <c r="J17" s="34">
        <v>0</v>
      </c>
      <c r="K17" s="33">
        <f t="shared" ref="K17:P17" si="5">J6</f>
        <v>10000</v>
      </c>
      <c r="L17" s="33">
        <f t="shared" si="5"/>
        <v>10000</v>
      </c>
      <c r="M17" s="33">
        <f t="shared" si="5"/>
        <v>10000</v>
      </c>
      <c r="N17" s="33">
        <f t="shared" si="5"/>
        <v>10000</v>
      </c>
      <c r="O17" s="33">
        <f t="shared" si="5"/>
        <v>11250</v>
      </c>
      <c r="P17" s="33">
        <f t="shared" si="5"/>
        <v>13750</v>
      </c>
      <c r="Q17" s="33"/>
      <c r="R17" s="33"/>
      <c r="S17" s="33"/>
      <c r="T17" s="33"/>
      <c r="U17" s="33"/>
    </row>
    <row r="18" spans="1:22" x14ac:dyDescent="0.35">
      <c r="D18" s="31" t="s">
        <v>146</v>
      </c>
      <c r="I18" s="30" t="s">
        <v>139</v>
      </c>
      <c r="J18" s="47">
        <v>0.5</v>
      </c>
      <c r="K18" s="48">
        <f t="shared" ref="K18:P18" si="6">J18</f>
        <v>0.5</v>
      </c>
      <c r="L18" s="48">
        <f t="shared" si="6"/>
        <v>0.5</v>
      </c>
      <c r="M18" s="48">
        <f t="shared" si="6"/>
        <v>0.5</v>
      </c>
      <c r="N18" s="48">
        <f t="shared" si="6"/>
        <v>0.5</v>
      </c>
      <c r="O18" s="48">
        <f t="shared" si="6"/>
        <v>0.5</v>
      </c>
      <c r="P18" s="48">
        <f t="shared" si="6"/>
        <v>0.5</v>
      </c>
      <c r="Q18" s="33"/>
      <c r="R18" s="33"/>
      <c r="S18" s="33"/>
      <c r="T18" s="33"/>
      <c r="U18" s="33"/>
    </row>
    <row r="19" spans="1:22" x14ac:dyDescent="0.35"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2" s="7" customFormat="1" x14ac:dyDescent="0.35">
      <c r="A20" s="3"/>
      <c r="B20" s="3"/>
      <c r="C20" s="2" t="s">
        <v>105</v>
      </c>
      <c r="D20" s="1"/>
      <c r="E20" s="1"/>
      <c r="F20" s="1"/>
      <c r="H20" s="1"/>
      <c r="I20" s="2" t="s">
        <v>143</v>
      </c>
      <c r="J20" s="7">
        <f t="shared" ref="J20:P20" si="7">SUM(J21:J25)</f>
        <v>20.96</v>
      </c>
      <c r="K20" s="7">
        <f t="shared" si="7"/>
        <v>14.297599999999999</v>
      </c>
      <c r="L20" s="7">
        <f t="shared" si="7"/>
        <v>15.155455999999999</v>
      </c>
      <c r="M20" s="7">
        <f t="shared" si="7"/>
        <v>16.06478336</v>
      </c>
      <c r="N20" s="7">
        <f t="shared" si="7"/>
        <v>17.6536703616</v>
      </c>
      <c r="O20" s="7">
        <f t="shared" si="7"/>
        <v>19.337890583296002</v>
      </c>
      <c r="P20" s="7">
        <f t="shared" si="7"/>
        <v>20.49816401829376</v>
      </c>
    </row>
    <row r="21" spans="1:22" s="7" customFormat="1" x14ac:dyDescent="0.35">
      <c r="A21" s="3"/>
      <c r="B21" s="3"/>
      <c r="C21" s="1"/>
      <c r="D21" s="1" t="s">
        <v>217</v>
      </c>
      <c r="E21" s="1"/>
      <c r="F21" s="1"/>
      <c r="H21" s="1"/>
      <c r="I21" s="30" t="s">
        <v>143</v>
      </c>
      <c r="J21" s="3">
        <f t="shared" ref="J21:P21" si="8">J11</f>
        <v>3.96</v>
      </c>
      <c r="K21" s="3">
        <f t="shared" si="8"/>
        <v>7.92</v>
      </c>
      <c r="L21" s="3">
        <f t="shared" si="8"/>
        <v>7.92</v>
      </c>
      <c r="M21" s="3">
        <f t="shared" si="8"/>
        <v>7.92</v>
      </c>
      <c r="N21" s="3">
        <f t="shared" si="8"/>
        <v>7.92</v>
      </c>
      <c r="O21" s="3">
        <f t="shared" si="8"/>
        <v>7.92</v>
      </c>
      <c r="P21" s="3">
        <f t="shared" si="8"/>
        <v>7.92</v>
      </c>
      <c r="Q21" s="3"/>
      <c r="R21" s="3"/>
      <c r="S21" s="3"/>
      <c r="T21" s="3"/>
      <c r="U21" s="3"/>
      <c r="V21" s="3"/>
    </row>
    <row r="22" spans="1:22" s="7" customFormat="1" x14ac:dyDescent="0.35">
      <c r="A22" s="3"/>
      <c r="B22" s="3"/>
      <c r="C22" s="1"/>
      <c r="D22" s="1" t="s">
        <v>218</v>
      </c>
      <c r="E22" s="1"/>
      <c r="F22" s="1"/>
      <c r="H22" s="1"/>
      <c r="I22" s="30" t="s">
        <v>143</v>
      </c>
      <c r="J22" s="16">
        <v>10</v>
      </c>
      <c r="K22" s="16">
        <v>3</v>
      </c>
      <c r="L22" s="3">
        <f>K22</f>
        <v>3</v>
      </c>
      <c r="M22" s="3">
        <f>L22</f>
        <v>3</v>
      </c>
      <c r="N22" s="3">
        <f>M22</f>
        <v>3</v>
      </c>
      <c r="O22" s="3">
        <f>N22</f>
        <v>3</v>
      </c>
      <c r="P22" s="3">
        <f>O22</f>
        <v>3</v>
      </c>
      <c r="Q22" s="3"/>
      <c r="R22" s="3"/>
      <c r="S22" s="3"/>
      <c r="T22" s="3"/>
      <c r="U22" s="3"/>
      <c r="V22" s="3"/>
    </row>
    <row r="23" spans="1:22" s="7" customFormat="1" x14ac:dyDescent="0.35">
      <c r="A23" s="3"/>
      <c r="B23" s="3"/>
      <c r="C23" s="1"/>
      <c r="D23" s="1" t="s">
        <v>127</v>
      </c>
      <c r="E23" s="1"/>
      <c r="F23" s="1"/>
      <c r="H23" s="1"/>
      <c r="I23" s="30" t="s">
        <v>143</v>
      </c>
      <c r="J23" s="3">
        <f t="shared" ref="J23:P23" si="9">J15</f>
        <v>5</v>
      </c>
      <c r="K23" s="3">
        <f t="shared" si="9"/>
        <v>0</v>
      </c>
      <c r="L23" s="3">
        <f t="shared" si="9"/>
        <v>0</v>
      </c>
      <c r="M23" s="3">
        <f t="shared" si="9"/>
        <v>0</v>
      </c>
      <c r="N23" s="3">
        <f t="shared" si="9"/>
        <v>0.625</v>
      </c>
      <c r="O23" s="3">
        <f t="shared" si="9"/>
        <v>1.25</v>
      </c>
      <c r="P23" s="3">
        <f t="shared" si="9"/>
        <v>1.25</v>
      </c>
      <c r="Q23" s="3"/>
      <c r="R23" s="3"/>
      <c r="S23" s="3"/>
      <c r="T23" s="3"/>
      <c r="U23" s="3"/>
      <c r="V23" s="3"/>
    </row>
    <row r="24" spans="1:22" s="7" customFormat="1" x14ac:dyDescent="0.35">
      <c r="A24" s="3"/>
      <c r="B24" s="3"/>
      <c r="C24" s="1"/>
      <c r="D24" s="1" t="s">
        <v>126</v>
      </c>
      <c r="E24" s="1"/>
      <c r="F24" s="1"/>
      <c r="H24" s="1"/>
      <c r="I24" s="30" t="s">
        <v>143</v>
      </c>
      <c r="J24" s="30"/>
      <c r="K24" s="31">
        <f t="shared" ref="K24:P24" si="10">J31</f>
        <v>1.3775999999999999</v>
      </c>
      <c r="L24" s="31">
        <f t="shared" si="10"/>
        <v>2.2354559999999997</v>
      </c>
      <c r="M24" s="31">
        <f t="shared" si="10"/>
        <v>3.1447833599999999</v>
      </c>
      <c r="N24" s="31">
        <f t="shared" si="10"/>
        <v>4.1086703615999989</v>
      </c>
      <c r="O24" s="31">
        <f t="shared" si="10"/>
        <v>5.1678905832959998</v>
      </c>
      <c r="P24" s="31">
        <f t="shared" si="10"/>
        <v>6.3281640182937595</v>
      </c>
      <c r="Q24" s="31"/>
      <c r="R24" s="31"/>
      <c r="S24" s="31"/>
      <c r="T24" s="31"/>
      <c r="U24" s="31"/>
      <c r="V24" s="3"/>
    </row>
    <row r="25" spans="1:22" x14ac:dyDescent="0.35">
      <c r="C25" s="1"/>
      <c r="D25" s="30" t="s">
        <v>37</v>
      </c>
      <c r="E25" s="1"/>
      <c r="F25" s="1"/>
      <c r="H25" s="1"/>
      <c r="I25" s="30" t="s">
        <v>143</v>
      </c>
      <c r="J25" s="16">
        <v>2</v>
      </c>
      <c r="K25" s="3">
        <f t="shared" ref="K25:P25" si="11">J25</f>
        <v>2</v>
      </c>
      <c r="L25" s="3">
        <f t="shared" si="11"/>
        <v>2</v>
      </c>
      <c r="M25" s="3">
        <f t="shared" si="11"/>
        <v>2</v>
      </c>
      <c r="N25" s="3">
        <f t="shared" si="11"/>
        <v>2</v>
      </c>
      <c r="O25" s="3">
        <f t="shared" si="11"/>
        <v>2</v>
      </c>
      <c r="P25" s="3">
        <f t="shared" si="11"/>
        <v>2</v>
      </c>
      <c r="Q25" s="3"/>
    </row>
    <row r="26" spans="1:22" x14ac:dyDescent="0.35">
      <c r="C26" s="1"/>
      <c r="D26" s="1"/>
      <c r="E26" s="1"/>
      <c r="F26" s="1"/>
      <c r="H26" s="1"/>
      <c r="I26" s="30"/>
      <c r="Q26" s="3"/>
    </row>
    <row r="27" spans="1:22" s="7" customFormat="1" x14ac:dyDescent="0.35">
      <c r="A27" s="3"/>
      <c r="B27" s="3"/>
      <c r="C27" s="2" t="s">
        <v>124</v>
      </c>
      <c r="D27" s="1"/>
      <c r="E27" s="1"/>
      <c r="F27" s="1"/>
      <c r="H27" s="1"/>
      <c r="I27" s="30" t="s">
        <v>143</v>
      </c>
      <c r="J27" s="7">
        <f t="shared" ref="J27:P27" si="12">J28+J29</f>
        <v>22.96</v>
      </c>
      <c r="K27" s="7">
        <f t="shared" si="12"/>
        <v>37.257599999999996</v>
      </c>
      <c r="L27" s="7">
        <f t="shared" si="12"/>
        <v>52.413055999999997</v>
      </c>
      <c r="M27" s="7">
        <f t="shared" si="12"/>
        <v>68.47783935999999</v>
      </c>
      <c r="N27" s="7">
        <f t="shared" si="12"/>
        <v>86.131509721599997</v>
      </c>
      <c r="O27" s="7">
        <f t="shared" si="12"/>
        <v>105.469400304896</v>
      </c>
      <c r="P27" s="7">
        <f t="shared" si="12"/>
        <v>125.96756432318976</v>
      </c>
      <c r="V27" s="3"/>
    </row>
    <row r="28" spans="1:22" s="7" customFormat="1" x14ac:dyDescent="0.35">
      <c r="A28" s="3"/>
      <c r="B28" s="3"/>
      <c r="C28" s="2"/>
      <c r="D28" s="30" t="s">
        <v>125</v>
      </c>
      <c r="E28" s="1"/>
      <c r="F28" s="1"/>
      <c r="H28" s="1"/>
      <c r="I28" s="30" t="s">
        <v>143</v>
      </c>
      <c r="J28" s="16">
        <v>2</v>
      </c>
      <c r="K28" s="3">
        <f t="shared" ref="K28:P28" si="13">J27</f>
        <v>22.96</v>
      </c>
      <c r="L28" s="3">
        <f t="shared" si="13"/>
        <v>37.257599999999996</v>
      </c>
      <c r="M28" s="3">
        <f t="shared" si="13"/>
        <v>52.413055999999997</v>
      </c>
      <c r="N28" s="3">
        <f t="shared" si="13"/>
        <v>68.47783935999999</v>
      </c>
      <c r="O28" s="3">
        <f t="shared" si="13"/>
        <v>86.131509721599997</v>
      </c>
      <c r="P28" s="3">
        <f t="shared" si="13"/>
        <v>105.469400304896</v>
      </c>
      <c r="Q28" s="3"/>
      <c r="R28" s="3"/>
      <c r="S28" s="3"/>
      <c r="T28" s="3"/>
      <c r="U28" s="3"/>
      <c r="V28" s="3"/>
    </row>
    <row r="29" spans="1:22" x14ac:dyDescent="0.35">
      <c r="C29" s="2"/>
      <c r="D29" s="30" t="s">
        <v>105</v>
      </c>
      <c r="E29" s="1"/>
      <c r="F29" s="3"/>
      <c r="I29" s="30" t="s">
        <v>143</v>
      </c>
      <c r="J29" s="3">
        <f t="shared" ref="J29:P29" si="14">J$20</f>
        <v>20.96</v>
      </c>
      <c r="K29" s="3">
        <f t="shared" si="14"/>
        <v>14.297599999999999</v>
      </c>
      <c r="L29" s="3">
        <f t="shared" si="14"/>
        <v>15.155455999999999</v>
      </c>
      <c r="M29" s="3">
        <f t="shared" si="14"/>
        <v>16.06478336</v>
      </c>
      <c r="N29" s="3">
        <f t="shared" si="14"/>
        <v>17.6536703616</v>
      </c>
      <c r="O29" s="3">
        <f t="shared" si="14"/>
        <v>19.337890583296002</v>
      </c>
      <c r="P29" s="3">
        <f t="shared" si="14"/>
        <v>20.49816401829376</v>
      </c>
      <c r="Q29" s="3"/>
    </row>
    <row r="30" spans="1:22" x14ac:dyDescent="0.35">
      <c r="C30" s="3"/>
      <c r="D30" s="1"/>
      <c r="E30" s="1"/>
      <c r="F30" s="1"/>
      <c r="G30" s="1"/>
      <c r="H30" s="1"/>
      <c r="I30" s="30"/>
      <c r="Q30" s="3"/>
    </row>
    <row r="31" spans="1:22" x14ac:dyDescent="0.35">
      <c r="C31" s="17" t="s">
        <v>119</v>
      </c>
      <c r="D31" s="1"/>
      <c r="E31" s="1"/>
      <c r="F31" s="1"/>
      <c r="G31" s="1"/>
      <c r="H31" s="1"/>
      <c r="I31" s="30" t="s">
        <v>143</v>
      </c>
      <c r="J31" s="7">
        <f t="shared" ref="J31:P31" si="15">J32*J33</f>
        <v>1.3775999999999999</v>
      </c>
      <c r="K31" s="7">
        <f t="shared" si="15"/>
        <v>2.2354559999999997</v>
      </c>
      <c r="L31" s="7">
        <f t="shared" si="15"/>
        <v>3.1447833599999999</v>
      </c>
      <c r="M31" s="7">
        <f t="shared" si="15"/>
        <v>4.1086703615999989</v>
      </c>
      <c r="N31" s="7">
        <f t="shared" si="15"/>
        <v>5.1678905832959998</v>
      </c>
      <c r="O31" s="7">
        <f t="shared" si="15"/>
        <v>6.3281640182937595</v>
      </c>
      <c r="P31" s="7">
        <f t="shared" si="15"/>
        <v>7.5580538593913857</v>
      </c>
      <c r="Q31" s="7"/>
      <c r="R31" s="7"/>
      <c r="S31" s="7"/>
      <c r="T31" s="7"/>
      <c r="U31" s="7"/>
    </row>
    <row r="32" spans="1:22" x14ac:dyDescent="0.35">
      <c r="D32" s="30" t="s">
        <v>124</v>
      </c>
      <c r="E32" s="1"/>
      <c r="F32" s="1"/>
      <c r="G32" s="1"/>
      <c r="H32" s="1"/>
      <c r="I32" s="30" t="s">
        <v>143</v>
      </c>
      <c r="J32" s="3">
        <f t="shared" ref="J32:P32" si="16">J27</f>
        <v>22.96</v>
      </c>
      <c r="K32" s="3">
        <f t="shared" si="16"/>
        <v>37.257599999999996</v>
      </c>
      <c r="L32" s="3">
        <f t="shared" si="16"/>
        <v>52.413055999999997</v>
      </c>
      <c r="M32" s="3">
        <f t="shared" si="16"/>
        <v>68.47783935999999</v>
      </c>
      <c r="N32" s="3">
        <f t="shared" si="16"/>
        <v>86.131509721599997</v>
      </c>
      <c r="O32" s="3">
        <f t="shared" si="16"/>
        <v>105.469400304896</v>
      </c>
      <c r="P32" s="3">
        <f t="shared" si="16"/>
        <v>125.96756432318976</v>
      </c>
      <c r="Q32" s="3"/>
    </row>
    <row r="33" spans="3:21" x14ac:dyDescent="0.35">
      <c r="D33" s="1" t="s">
        <v>123</v>
      </c>
      <c r="E33" s="1"/>
      <c r="F33" s="1"/>
      <c r="G33" s="1"/>
      <c r="H33" s="1"/>
      <c r="I33" s="30" t="s">
        <v>19</v>
      </c>
      <c r="J33" s="15">
        <v>0.06</v>
      </c>
      <c r="K33" s="10">
        <f t="shared" ref="K33:P33" si="17">J33</f>
        <v>0.06</v>
      </c>
      <c r="L33" s="10">
        <f t="shared" si="17"/>
        <v>0.06</v>
      </c>
      <c r="M33" s="10">
        <f t="shared" si="17"/>
        <v>0.06</v>
      </c>
      <c r="N33" s="10">
        <f t="shared" si="17"/>
        <v>0.06</v>
      </c>
      <c r="O33" s="10">
        <f t="shared" si="17"/>
        <v>0.06</v>
      </c>
      <c r="P33" s="10">
        <f t="shared" si="17"/>
        <v>0.06</v>
      </c>
      <c r="Q33" s="10"/>
      <c r="R33" s="10"/>
      <c r="S33" s="10"/>
      <c r="T33" s="10"/>
      <c r="U33" s="10"/>
    </row>
    <row r="34" spans="3:21" x14ac:dyDescent="0.35">
      <c r="D34" s="1"/>
      <c r="E34" s="1"/>
      <c r="F34" s="1"/>
      <c r="G34" s="1"/>
      <c r="H34" s="1"/>
      <c r="I34" s="30"/>
      <c r="Q34" s="3"/>
    </row>
    <row r="35" spans="3:21" x14ac:dyDescent="0.35">
      <c r="C35" s="17" t="s">
        <v>122</v>
      </c>
      <c r="I35" s="30" t="s">
        <v>143</v>
      </c>
      <c r="J35" s="7">
        <f t="shared" ref="J35:P35" si="18">J36+J37-J38</f>
        <v>2019.5824</v>
      </c>
      <c r="K35" s="7">
        <f t="shared" si="18"/>
        <v>2031.644544</v>
      </c>
      <c r="L35" s="7">
        <f t="shared" si="18"/>
        <v>2043.6552166399999</v>
      </c>
      <c r="M35" s="7">
        <f t="shared" si="18"/>
        <v>2055.6113296383996</v>
      </c>
      <c r="N35" s="7">
        <f t="shared" si="18"/>
        <v>2068.0971094167035</v>
      </c>
      <c r="O35" s="7">
        <f t="shared" si="18"/>
        <v>2081.1068359817059</v>
      </c>
      <c r="P35" s="7">
        <f t="shared" si="18"/>
        <v>2094.0469461406083</v>
      </c>
      <c r="Q35" s="7"/>
      <c r="R35" s="7"/>
      <c r="S35" s="7"/>
      <c r="T35" s="7"/>
      <c r="U35" s="7"/>
    </row>
    <row r="36" spans="3:21" x14ac:dyDescent="0.35">
      <c r="D36" s="31" t="s">
        <v>121</v>
      </c>
      <c r="E36" s="1"/>
      <c r="F36" s="1"/>
      <c r="G36" s="1"/>
      <c r="I36" s="30" t="s">
        <v>143</v>
      </c>
      <c r="J36" s="16">
        <v>2000</v>
      </c>
      <c r="K36" s="3">
        <f t="shared" ref="K36:P36" si="19">J35</f>
        <v>2019.5824</v>
      </c>
      <c r="L36" s="3">
        <f t="shared" si="19"/>
        <v>2031.644544</v>
      </c>
      <c r="M36" s="3">
        <f t="shared" si="19"/>
        <v>2043.6552166399999</v>
      </c>
      <c r="N36" s="3">
        <f t="shared" si="19"/>
        <v>2055.6113296383996</v>
      </c>
      <c r="O36" s="3">
        <f t="shared" si="19"/>
        <v>2068.0971094167035</v>
      </c>
      <c r="P36" s="3">
        <f t="shared" si="19"/>
        <v>2081.1068359817059</v>
      </c>
      <c r="Q36" s="3"/>
    </row>
    <row r="37" spans="3:21" x14ac:dyDescent="0.35">
      <c r="C37" s="2"/>
      <c r="D37" s="30" t="s">
        <v>120</v>
      </c>
      <c r="E37" s="1"/>
      <c r="F37" s="3"/>
      <c r="I37" s="30" t="s">
        <v>143</v>
      </c>
      <c r="J37" s="3">
        <f t="shared" ref="J37:P37" si="20">J$20</f>
        <v>20.96</v>
      </c>
      <c r="K37" s="3">
        <f t="shared" si="20"/>
        <v>14.297599999999999</v>
      </c>
      <c r="L37" s="3">
        <f t="shared" si="20"/>
        <v>15.155455999999999</v>
      </c>
      <c r="M37" s="3">
        <f t="shared" si="20"/>
        <v>16.06478336</v>
      </c>
      <c r="N37" s="3">
        <f t="shared" si="20"/>
        <v>17.6536703616</v>
      </c>
      <c r="O37" s="3">
        <f t="shared" si="20"/>
        <v>19.337890583296002</v>
      </c>
      <c r="P37" s="3">
        <f t="shared" si="20"/>
        <v>20.49816401829376</v>
      </c>
      <c r="Q37" s="3"/>
    </row>
    <row r="38" spans="3:21" x14ac:dyDescent="0.35">
      <c r="D38" s="30" t="s">
        <v>119</v>
      </c>
      <c r="E38" s="1"/>
      <c r="F38" s="1"/>
      <c r="G38" s="1"/>
      <c r="I38" s="30" t="s">
        <v>143</v>
      </c>
      <c r="J38" s="3">
        <f t="shared" ref="J38:P38" si="21">J31</f>
        <v>1.3775999999999999</v>
      </c>
      <c r="K38" s="3">
        <f t="shared" si="21"/>
        <v>2.2354559999999997</v>
      </c>
      <c r="L38" s="3">
        <f t="shared" si="21"/>
        <v>3.1447833599999999</v>
      </c>
      <c r="M38" s="3">
        <f t="shared" si="21"/>
        <v>4.1086703615999989</v>
      </c>
      <c r="N38" s="3">
        <f t="shared" si="21"/>
        <v>5.1678905832959998</v>
      </c>
      <c r="O38" s="3">
        <f t="shared" si="21"/>
        <v>6.3281640182937595</v>
      </c>
      <c r="P38" s="3">
        <f t="shared" si="21"/>
        <v>7.5580538593913857</v>
      </c>
      <c r="Q38" s="3"/>
    </row>
    <row r="39" spans="3:21" x14ac:dyDescent="0.35">
      <c r="D39" s="1"/>
      <c r="E39" s="1"/>
      <c r="F39" s="1"/>
      <c r="G39" s="1"/>
    </row>
    <row r="40" spans="3:21" x14ac:dyDescent="0.35">
      <c r="D40" s="1"/>
      <c r="E40" s="1"/>
      <c r="F40" s="1"/>
      <c r="G40" s="1"/>
    </row>
    <row r="41" spans="3:21" x14ac:dyDescent="0.35">
      <c r="D41" s="1"/>
      <c r="E41" s="1"/>
      <c r="F41" s="1"/>
      <c r="G41" s="1"/>
    </row>
    <row r="42" spans="3:21" x14ac:dyDescent="0.35">
      <c r="D42" s="1"/>
      <c r="E42" s="1"/>
      <c r="F42" s="1"/>
      <c r="G42" s="1"/>
    </row>
    <row r="44" spans="3:21" x14ac:dyDescent="0.35">
      <c r="D44" s="2"/>
      <c r="E44" s="1"/>
      <c r="F44" s="1"/>
      <c r="I44" s="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3:21" x14ac:dyDescent="0.35">
      <c r="D45" s="1"/>
      <c r="E45" s="30"/>
      <c r="F45" s="1"/>
      <c r="I45" s="30"/>
      <c r="Q45" s="3"/>
    </row>
    <row r="46" spans="3:21" x14ac:dyDescent="0.35">
      <c r="D46" s="1"/>
      <c r="E46" s="30"/>
      <c r="F46" s="1"/>
      <c r="I46" s="30"/>
      <c r="Q46" s="3"/>
    </row>
    <row r="47" spans="3:21" x14ac:dyDescent="0.35">
      <c r="D47" s="1"/>
      <c r="E47" s="30"/>
      <c r="F47" s="1"/>
      <c r="I47" s="30"/>
      <c r="Q47" s="3"/>
    </row>
    <row r="48" spans="3:21" x14ac:dyDescent="0.35">
      <c r="D48" s="1"/>
      <c r="E48" s="1"/>
      <c r="F48" s="1"/>
    </row>
    <row r="49" spans="4:6" x14ac:dyDescent="0.35">
      <c r="D49" s="2"/>
      <c r="E49" s="1"/>
      <c r="F49" s="1"/>
    </row>
    <row r="50" spans="4:6" x14ac:dyDescent="0.35">
      <c r="D50" s="1"/>
      <c r="E50" s="1"/>
      <c r="F50" s="1"/>
    </row>
    <row r="51" spans="4:6" x14ac:dyDescent="0.35">
      <c r="D51" s="1"/>
      <c r="E51" s="1"/>
      <c r="F51" s="1"/>
    </row>
  </sheetData>
  <hyperlinks>
    <hyperlink ref="V1" location="Master!A1" display="back"/>
    <hyperlink ref="J1" location="Master!A1" display="back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5"/>
  <sheetViews>
    <sheetView zoomScale="70" zoomScaleNormal="70" workbookViewId="0">
      <pane xSplit="9" ySplit="4" topLeftCell="J5" activePane="bottomRight" state="frozen"/>
      <selection activeCell="K13" sqref="K13"/>
      <selection pane="topRight" activeCell="K13" sqref="K13"/>
      <selection pane="bottomLeft" activeCell="K13" sqref="K13"/>
      <selection pane="bottomRight" activeCell="P23" sqref="P23"/>
    </sheetView>
  </sheetViews>
  <sheetFormatPr defaultColWidth="8.7265625" defaultRowHeight="14.5" x14ac:dyDescent="0.35"/>
  <cols>
    <col min="1" max="1" width="8.7265625" style="3"/>
    <col min="2" max="2" width="4.81640625" style="3" customWidth="1"/>
    <col min="3" max="3" width="6.453125" style="17" customWidth="1"/>
    <col min="4" max="4" width="3.453125" style="7" customWidth="1"/>
    <col min="5" max="5" width="5.7265625" style="3" customWidth="1"/>
    <col min="6" max="6" width="4.08984375" style="7" customWidth="1"/>
    <col min="7" max="7" width="5.08984375" style="3" customWidth="1"/>
    <col min="8" max="8" width="19.81640625" style="3" customWidth="1"/>
    <col min="9" max="9" width="11.36328125" style="31" bestFit="1" customWidth="1"/>
    <col min="10" max="16" width="9.6328125" style="3" customWidth="1"/>
    <col min="17" max="17" width="9.6328125" style="29" customWidth="1"/>
    <col min="18" max="22" width="9.6328125" style="3" customWidth="1"/>
    <col min="23" max="27" width="8.81640625" style="3" customWidth="1"/>
    <col min="28" max="16384" width="8.7265625" style="3"/>
  </cols>
  <sheetData>
    <row r="1" spans="1:25" x14ac:dyDescent="0.35">
      <c r="A1" s="7" t="s">
        <v>148</v>
      </c>
      <c r="J1" s="35" t="s">
        <v>130</v>
      </c>
      <c r="Q1" s="36"/>
      <c r="V1" s="35" t="s">
        <v>130</v>
      </c>
    </row>
    <row r="4" spans="1:25" x14ac:dyDescent="0.35">
      <c r="J4" s="2">
        <f>'Total Chain'!J$4</f>
        <v>2023</v>
      </c>
      <c r="K4" s="2">
        <f>'Total Chain'!K$4</f>
        <v>2024</v>
      </c>
      <c r="L4" s="2">
        <f>'Total Chain'!L$4</f>
        <v>2025</v>
      </c>
      <c r="M4" s="2">
        <f>'Total Chain'!M$4</f>
        <v>2026</v>
      </c>
      <c r="N4" s="2">
        <f>'Total Chain'!N$4</f>
        <v>2027</v>
      </c>
      <c r="O4" s="2">
        <f>'Total Chain'!O$4</f>
        <v>2028</v>
      </c>
      <c r="P4" s="2">
        <f>'Total Chain'!P$4</f>
        <v>2029</v>
      </c>
      <c r="Q4" s="32"/>
      <c r="R4" s="32"/>
      <c r="S4" s="32"/>
      <c r="T4" s="32"/>
      <c r="U4" s="32"/>
      <c r="V4" s="7" t="s">
        <v>129</v>
      </c>
    </row>
    <row r="6" spans="1:25" x14ac:dyDescent="0.35">
      <c r="D6" s="7" t="s">
        <v>0</v>
      </c>
      <c r="I6" s="30" t="s">
        <v>143</v>
      </c>
      <c r="J6" s="7">
        <f>'Total Chain'!J10</f>
        <v>6.65</v>
      </c>
      <c r="K6" s="7">
        <f>'Total Chain'!K10</f>
        <v>25.48</v>
      </c>
      <c r="L6" s="7">
        <f>'Total Chain'!L10</f>
        <v>51.870000000000005</v>
      </c>
      <c r="M6" s="7">
        <f>'Total Chain'!M10</f>
        <v>85.364999999999995</v>
      </c>
      <c r="N6" s="7">
        <f>'Total Chain'!N10</f>
        <v>123.935</v>
      </c>
      <c r="O6" s="7">
        <f>'Total Chain'!O10</f>
        <v>162.50500000000002</v>
      </c>
      <c r="P6" s="7">
        <f>'Total Chain'!P10</f>
        <v>201.07500000000005</v>
      </c>
      <c r="Q6" s="7"/>
      <c r="R6" s="7"/>
      <c r="S6" s="7"/>
      <c r="T6" s="7"/>
      <c r="U6" s="7"/>
      <c r="V6" s="7">
        <f>SUM(J6:U6)</f>
        <v>656.88000000000011</v>
      </c>
    </row>
    <row r="7" spans="1:25" x14ac:dyDescent="0.35">
      <c r="Y7" s="38"/>
    </row>
    <row r="8" spans="1:25" x14ac:dyDescent="0.35">
      <c r="D8" s="7" t="s">
        <v>4</v>
      </c>
      <c r="I8" s="30" t="s">
        <v>143</v>
      </c>
      <c r="J8" s="7">
        <f>'Total Chain'!J19</f>
        <v>3.99</v>
      </c>
      <c r="K8" s="7">
        <f>'Total Chain'!K19</f>
        <v>15.288</v>
      </c>
      <c r="L8" s="7">
        <f>'Total Chain'!L19</f>
        <v>31.122</v>
      </c>
      <c r="M8" s="7">
        <f>'Total Chain'!M19</f>
        <v>51.218999999999994</v>
      </c>
      <c r="N8" s="7">
        <f>'Total Chain'!N19</f>
        <v>74.361000000000004</v>
      </c>
      <c r="O8" s="7">
        <f>'Total Chain'!O19</f>
        <v>97.503000000000014</v>
      </c>
      <c r="P8" s="7">
        <f>'Total Chain'!P19</f>
        <v>120.64500000000001</v>
      </c>
      <c r="Q8" s="7"/>
      <c r="R8" s="7"/>
      <c r="S8" s="7"/>
      <c r="T8" s="7"/>
      <c r="U8" s="7"/>
      <c r="V8" s="7">
        <f>SUM(J8:U8)</f>
        <v>394.12800000000004</v>
      </c>
    </row>
    <row r="10" spans="1:25" s="7" customFormat="1" x14ac:dyDescent="0.35">
      <c r="A10" s="3"/>
      <c r="B10" s="3"/>
      <c r="C10" s="17"/>
      <c r="D10" s="7" t="s">
        <v>180</v>
      </c>
      <c r="E10" s="3"/>
      <c r="G10" s="3"/>
      <c r="H10" s="3"/>
      <c r="I10" s="30" t="s">
        <v>143</v>
      </c>
      <c r="J10" s="7">
        <f>'Total Chain'!J28</f>
        <v>-1.2254999999999996</v>
      </c>
      <c r="K10" s="7">
        <f>'Total Chain'!K28</f>
        <v>-0.7455999999999996</v>
      </c>
      <c r="L10" s="7">
        <f>'Total Chain'!L28</f>
        <v>3.7411000000000008</v>
      </c>
      <c r="M10" s="7">
        <f>'Total Chain'!M28</f>
        <v>11.993450000000001</v>
      </c>
      <c r="N10" s="7">
        <f>'Total Chain'!N28</f>
        <v>22.935549999999996</v>
      </c>
      <c r="O10" s="7">
        <f>'Total Chain'!O28</f>
        <v>33.877650000000003</v>
      </c>
      <c r="P10" s="7">
        <f>'Total Chain'!P28</f>
        <v>44.819749999999999</v>
      </c>
      <c r="V10" s="7">
        <f>SUM(J10:U10)</f>
        <v>115.3964</v>
      </c>
    </row>
    <row r="12" spans="1:25" x14ac:dyDescent="0.35">
      <c r="D12" s="7" t="s">
        <v>149</v>
      </c>
      <c r="I12" s="30" t="s">
        <v>143</v>
      </c>
      <c r="J12" s="7">
        <f>SUM(J13:J18)</f>
        <v>0.79225000000000001</v>
      </c>
      <c r="K12" s="7">
        <f t="shared" ref="K12:P12" si="0">SUM(K13:K18)</f>
        <v>2.1962000000000002</v>
      </c>
      <c r="L12" s="7">
        <f t="shared" si="0"/>
        <v>4.1515500000000003</v>
      </c>
      <c r="M12" s="7">
        <f t="shared" si="0"/>
        <v>6.4487249999999996</v>
      </c>
      <c r="N12" s="7">
        <f t="shared" si="0"/>
        <v>9.2557749999999999</v>
      </c>
      <c r="O12" s="7">
        <f t="shared" si="0"/>
        <v>11.882825000000002</v>
      </c>
      <c r="P12" s="7">
        <f t="shared" si="0"/>
        <v>14.629875000000004</v>
      </c>
      <c r="Q12" s="7"/>
      <c r="R12" s="7"/>
      <c r="S12" s="7"/>
      <c r="T12" s="7"/>
      <c r="U12" s="7"/>
      <c r="V12" s="7">
        <f>SUM(J12:U12)</f>
        <v>49.357200000000006</v>
      </c>
    </row>
    <row r="13" spans="1:25" x14ac:dyDescent="0.35">
      <c r="E13" s="30" t="s">
        <v>179</v>
      </c>
      <c r="I13" s="30" t="s">
        <v>143</v>
      </c>
      <c r="J13" s="31">
        <f>HQ!J24</f>
        <v>0.3</v>
      </c>
      <c r="K13" s="31">
        <f>HQ!K24</f>
        <v>0.45</v>
      </c>
      <c r="L13" s="31">
        <f>HQ!L24</f>
        <v>0.65</v>
      </c>
      <c r="M13" s="31">
        <f>HQ!M24</f>
        <v>0.75</v>
      </c>
      <c r="N13" s="31">
        <f>HQ!N24</f>
        <v>1</v>
      </c>
      <c r="O13" s="31">
        <f>HQ!O24</f>
        <v>1.1000000000000001</v>
      </c>
      <c r="P13" s="31">
        <f>HQ!P24</f>
        <v>1.3</v>
      </c>
      <c r="Q13" s="7"/>
      <c r="R13" s="7"/>
      <c r="S13" s="7"/>
      <c r="T13" s="7"/>
      <c r="U13" s="7"/>
      <c r="V13" s="7"/>
    </row>
    <row r="14" spans="1:25" x14ac:dyDescent="0.35">
      <c r="E14" s="1" t="s">
        <v>59</v>
      </c>
      <c r="I14" s="30" t="s">
        <v>143</v>
      </c>
      <c r="J14" s="31">
        <f>HQ!J27</f>
        <v>0.06</v>
      </c>
      <c r="K14" s="31">
        <f>HQ!K27</f>
        <v>0.09</v>
      </c>
      <c r="L14" s="31">
        <f>HQ!L27</f>
        <v>0.13</v>
      </c>
      <c r="M14" s="31">
        <f>HQ!M27</f>
        <v>0.15</v>
      </c>
      <c r="N14" s="31">
        <f>HQ!N27</f>
        <v>0.2</v>
      </c>
      <c r="O14" s="31">
        <f>HQ!O27</f>
        <v>0.22</v>
      </c>
      <c r="P14" s="31">
        <f>HQ!P27</f>
        <v>0.26</v>
      </c>
      <c r="Q14" s="7"/>
      <c r="R14" s="7"/>
      <c r="S14" s="7"/>
      <c r="T14" s="7"/>
      <c r="U14" s="7"/>
      <c r="V14" s="7"/>
    </row>
    <row r="15" spans="1:25" x14ac:dyDescent="0.35">
      <c r="E15" s="1" t="s">
        <v>53</v>
      </c>
      <c r="I15" s="30" t="s">
        <v>143</v>
      </c>
      <c r="J15" s="31">
        <f>HQ!J30</f>
        <v>0.19950000000000001</v>
      </c>
      <c r="K15" s="31">
        <f>HQ!K30</f>
        <v>0.76439999999999997</v>
      </c>
      <c r="L15" s="31">
        <f>HQ!L30</f>
        <v>1.5561</v>
      </c>
      <c r="M15" s="31">
        <f>HQ!M30</f>
        <v>2.5609499999999996</v>
      </c>
      <c r="N15" s="31">
        <f>HQ!N30</f>
        <v>3.7180499999999999</v>
      </c>
      <c r="O15" s="31">
        <f>HQ!O30</f>
        <v>4.8751500000000005</v>
      </c>
      <c r="P15" s="31">
        <f>HQ!P30</f>
        <v>6.0322500000000012</v>
      </c>
      <c r="Q15" s="7"/>
      <c r="R15" s="7"/>
      <c r="S15" s="7"/>
      <c r="T15" s="7"/>
      <c r="U15" s="7"/>
      <c r="V15" s="7"/>
    </row>
    <row r="16" spans="1:25" x14ac:dyDescent="0.35">
      <c r="E16" s="1" t="s">
        <v>55</v>
      </c>
      <c r="I16" s="30" t="s">
        <v>143</v>
      </c>
      <c r="J16" s="31">
        <f>HQ!J33</f>
        <v>3.3250000000000002E-2</v>
      </c>
      <c r="K16" s="31">
        <f>HQ!K33</f>
        <v>0.12740000000000001</v>
      </c>
      <c r="L16" s="31">
        <f>HQ!L33</f>
        <v>0.25935000000000002</v>
      </c>
      <c r="M16" s="31">
        <f>HQ!M33</f>
        <v>0.42682500000000001</v>
      </c>
      <c r="N16" s="31">
        <f>HQ!N33</f>
        <v>0.61967499999999998</v>
      </c>
      <c r="O16" s="31">
        <f>HQ!O33</f>
        <v>0.81252500000000016</v>
      </c>
      <c r="P16" s="31">
        <f>HQ!P33</f>
        <v>1.0053750000000004</v>
      </c>
      <c r="Q16" s="7"/>
      <c r="R16" s="7"/>
      <c r="S16" s="7"/>
      <c r="T16" s="7"/>
      <c r="U16" s="7"/>
      <c r="V16" s="7"/>
    </row>
    <row r="17" spans="4:22" x14ac:dyDescent="0.35">
      <c r="E17" s="1" t="s">
        <v>56</v>
      </c>
      <c r="I17" s="30" t="s">
        <v>143</v>
      </c>
      <c r="J17" s="31">
        <f>HQ!J36</f>
        <v>9.9750000000000005E-2</v>
      </c>
      <c r="K17" s="31">
        <f>HQ!K36</f>
        <v>0.38219999999999998</v>
      </c>
      <c r="L17" s="31">
        <f>HQ!L36</f>
        <v>0.77805000000000002</v>
      </c>
      <c r="M17" s="31">
        <f>HQ!M36</f>
        <v>1.2804749999999998</v>
      </c>
      <c r="N17" s="31">
        <f>HQ!N36</f>
        <v>1.8590249999999999</v>
      </c>
      <c r="O17" s="31">
        <f>HQ!O36</f>
        <v>2.4375750000000003</v>
      </c>
      <c r="P17" s="31">
        <f>HQ!P36</f>
        <v>3.0161250000000006</v>
      </c>
      <c r="Q17" s="7"/>
      <c r="R17" s="7"/>
      <c r="S17" s="7"/>
      <c r="T17" s="7"/>
      <c r="U17" s="7"/>
      <c r="V17" s="7"/>
    </row>
    <row r="18" spans="4:22" x14ac:dyDescent="0.35">
      <c r="E18" s="1" t="s">
        <v>57</v>
      </c>
      <c r="I18" s="30" t="s">
        <v>143</v>
      </c>
      <c r="J18" s="31">
        <f>HQ!J39</f>
        <v>9.9750000000000005E-2</v>
      </c>
      <c r="K18" s="31">
        <f>HQ!K39</f>
        <v>0.38219999999999998</v>
      </c>
      <c r="L18" s="31">
        <f>HQ!L39</f>
        <v>0.77805000000000002</v>
      </c>
      <c r="M18" s="31">
        <f>HQ!M39</f>
        <v>1.2804749999999998</v>
      </c>
      <c r="N18" s="31">
        <f>HQ!N39</f>
        <v>1.8590249999999999</v>
      </c>
      <c r="O18" s="31">
        <f>HQ!O39</f>
        <v>2.4375750000000003</v>
      </c>
      <c r="P18" s="31">
        <f>HQ!P39</f>
        <v>3.0161250000000006</v>
      </c>
    </row>
    <row r="19" spans="4:22" x14ac:dyDescent="0.35">
      <c r="E19" s="1"/>
    </row>
    <row r="20" spans="4:22" x14ac:dyDescent="0.35">
      <c r="D20" s="7" t="s">
        <v>150</v>
      </c>
      <c r="I20" s="30" t="s">
        <v>143</v>
      </c>
      <c r="J20" s="7">
        <f>J21-J22-J23</f>
        <v>-3.3953499999999996</v>
      </c>
      <c r="K20" s="7">
        <f t="shared" ref="K20:P20" si="1">K21-K22-K23</f>
        <v>-5.1772559999999999</v>
      </c>
      <c r="L20" s="7">
        <f t="shared" si="1"/>
        <v>-3.5552333599999995</v>
      </c>
      <c r="M20" s="7">
        <f t="shared" si="1"/>
        <v>1.4360546384000026</v>
      </c>
      <c r="N20" s="7">
        <f t="shared" si="1"/>
        <v>8.511884416703996</v>
      </c>
      <c r="O20" s="7">
        <f t="shared" si="1"/>
        <v>15.66666098170624</v>
      </c>
      <c r="P20" s="7">
        <f t="shared" si="1"/>
        <v>22.631821140608608</v>
      </c>
      <c r="Q20" s="7"/>
      <c r="R20" s="7"/>
      <c r="S20" s="7"/>
      <c r="T20" s="7"/>
      <c r="U20" s="7"/>
      <c r="V20" s="7">
        <f t="shared" ref="V20:V22" si="2">SUM(J20:U20)</f>
        <v>36.118581817418843</v>
      </c>
    </row>
    <row r="21" spans="4:22" x14ac:dyDescent="0.35">
      <c r="E21" s="31" t="s">
        <v>180</v>
      </c>
      <c r="I21" s="30" t="s">
        <v>143</v>
      </c>
      <c r="J21" s="3">
        <f t="shared" ref="J21:P21" si="3">J10</f>
        <v>-1.2254999999999996</v>
      </c>
      <c r="K21" s="3">
        <f t="shared" si="3"/>
        <v>-0.7455999999999996</v>
      </c>
      <c r="L21" s="3">
        <f t="shared" si="3"/>
        <v>3.7411000000000008</v>
      </c>
      <c r="M21" s="3">
        <f t="shared" si="3"/>
        <v>11.993450000000001</v>
      </c>
      <c r="N21" s="3">
        <f t="shared" si="3"/>
        <v>22.935549999999996</v>
      </c>
      <c r="O21" s="3">
        <f t="shared" si="3"/>
        <v>33.877650000000003</v>
      </c>
      <c r="P21" s="3">
        <f t="shared" si="3"/>
        <v>44.819749999999999</v>
      </c>
      <c r="Q21" s="3"/>
      <c r="V21" s="31">
        <f t="shared" si="2"/>
        <v>115.3964</v>
      </c>
    </row>
    <row r="22" spans="4:22" x14ac:dyDescent="0.35">
      <c r="E22" s="3" t="s">
        <v>149</v>
      </c>
      <c r="I22" s="30" t="s">
        <v>143</v>
      </c>
      <c r="J22" s="3">
        <f t="shared" ref="J22:P22" si="4">J12</f>
        <v>0.79225000000000001</v>
      </c>
      <c r="K22" s="3">
        <f t="shared" si="4"/>
        <v>2.1962000000000002</v>
      </c>
      <c r="L22" s="3">
        <f t="shared" si="4"/>
        <v>4.1515500000000003</v>
      </c>
      <c r="M22" s="3">
        <f t="shared" si="4"/>
        <v>6.4487249999999996</v>
      </c>
      <c r="N22" s="3">
        <f t="shared" si="4"/>
        <v>9.2557749999999999</v>
      </c>
      <c r="O22" s="3">
        <f t="shared" si="4"/>
        <v>11.882825000000002</v>
      </c>
      <c r="P22" s="3">
        <f t="shared" si="4"/>
        <v>14.629875000000004</v>
      </c>
      <c r="Q22" s="3"/>
      <c r="V22" s="31">
        <f t="shared" si="2"/>
        <v>49.357200000000006</v>
      </c>
    </row>
    <row r="23" spans="4:22" x14ac:dyDescent="0.35">
      <c r="E23" s="3" t="s">
        <v>99</v>
      </c>
      <c r="I23" s="30"/>
      <c r="J23" s="3">
        <f>Capex!J31</f>
        <v>1.3775999999999999</v>
      </c>
      <c r="K23" s="3">
        <f>Capex!K31</f>
        <v>2.2354559999999997</v>
      </c>
      <c r="L23" s="3">
        <f>Capex!L31</f>
        <v>3.1447833599999999</v>
      </c>
      <c r="M23" s="3">
        <f>Capex!M31</f>
        <v>4.1086703615999989</v>
      </c>
      <c r="N23" s="3">
        <f>Capex!N31</f>
        <v>5.1678905832959998</v>
      </c>
      <c r="O23" s="3">
        <f>Capex!O31</f>
        <v>6.3281640182937595</v>
      </c>
      <c r="P23" s="3">
        <f>Capex!P31</f>
        <v>7.5580538593913857</v>
      </c>
      <c r="Q23" s="3"/>
      <c r="V23" s="31"/>
    </row>
    <row r="25" spans="4:22" x14ac:dyDescent="0.35">
      <c r="D25" s="2" t="s">
        <v>100</v>
      </c>
      <c r="I25" s="30" t="s">
        <v>143</v>
      </c>
      <c r="J25" s="7">
        <f>J26-J27</f>
        <v>-0.3</v>
      </c>
      <c r="K25" s="7">
        <f t="shared" ref="K25:P25" si="5">K26-K27</f>
        <v>-1.0408094444444445</v>
      </c>
      <c r="L25" s="7">
        <f t="shared" si="5"/>
        <v>-2.0925826888888888</v>
      </c>
      <c r="M25" s="7">
        <f t="shared" si="5"/>
        <v>-3.3315289082222219</v>
      </c>
      <c r="N25" s="7">
        <f t="shared" si="5"/>
        <v>-4.5745028995422219</v>
      </c>
      <c r="O25" s="7">
        <f t="shared" si="5"/>
        <v>-5.785305074878341</v>
      </c>
      <c r="P25" s="7">
        <f t="shared" si="5"/>
        <v>-6.958557318554492</v>
      </c>
      <c r="Q25" s="7"/>
      <c r="R25" s="7"/>
      <c r="S25" s="7"/>
      <c r="T25" s="7"/>
      <c r="U25" s="7"/>
      <c r="V25" s="7">
        <f t="shared" ref="V25:V27" si="6">SUM(J25:U25)</f>
        <v>-24.083286334530612</v>
      </c>
    </row>
    <row r="26" spans="4:22" x14ac:dyDescent="0.35">
      <c r="E26" s="1" t="s">
        <v>151</v>
      </c>
      <c r="F26" s="1"/>
      <c r="I26" s="30" t="s">
        <v>143</v>
      </c>
      <c r="J26" s="3">
        <f>Debt!J20</f>
        <v>0</v>
      </c>
      <c r="K26" s="3">
        <f>Debt!K20</f>
        <v>0.15919055555555556</v>
      </c>
      <c r="L26" s="3">
        <f>Debt!L20</f>
        <v>0.30741731111111109</v>
      </c>
      <c r="M26" s="3">
        <f>Debt!M20</f>
        <v>0.26847109177777784</v>
      </c>
      <c r="N26" s="3">
        <f>Debt!N20</f>
        <v>0.22549710045777788</v>
      </c>
      <c r="O26" s="3">
        <f>Debt!O20</f>
        <v>0.21469492512165936</v>
      </c>
      <c r="P26" s="3">
        <f>Debt!P20</f>
        <v>0.24144268144550765</v>
      </c>
      <c r="Q26" s="3"/>
      <c r="V26" s="31">
        <f t="shared" si="6"/>
        <v>1.4167136654693895</v>
      </c>
    </row>
    <row r="27" spans="4:22" x14ac:dyDescent="0.35">
      <c r="E27" s="1" t="s">
        <v>152</v>
      </c>
      <c r="F27" s="1"/>
      <c r="I27" s="30" t="s">
        <v>143</v>
      </c>
      <c r="J27" s="3">
        <f>Debt!J12</f>
        <v>0.3</v>
      </c>
      <c r="K27" s="3">
        <f>Debt!K12</f>
        <v>1.2</v>
      </c>
      <c r="L27" s="3">
        <f>Debt!L12</f>
        <v>2.4</v>
      </c>
      <c r="M27" s="3">
        <f>Debt!M12</f>
        <v>3.5999999999999996</v>
      </c>
      <c r="N27" s="3">
        <f>Debt!N12</f>
        <v>4.8</v>
      </c>
      <c r="O27" s="3">
        <f>Debt!O12</f>
        <v>6</v>
      </c>
      <c r="P27" s="3">
        <f>Debt!P12</f>
        <v>7.1999999999999993</v>
      </c>
      <c r="Q27" s="3"/>
      <c r="V27" s="31">
        <f t="shared" si="6"/>
        <v>25.5</v>
      </c>
    </row>
    <row r="29" spans="4:22" x14ac:dyDescent="0.35">
      <c r="D29" s="2" t="s">
        <v>153</v>
      </c>
      <c r="E29" s="1"/>
      <c r="F29" s="1"/>
      <c r="I29" s="30" t="s">
        <v>143</v>
      </c>
      <c r="J29" s="7">
        <f>J30+J31</f>
        <v>-3.6953499999999995</v>
      </c>
      <c r="K29" s="7">
        <f t="shared" ref="K29:P29" si="7">K30+K31</f>
        <v>-6.2180654444444441</v>
      </c>
      <c r="L29" s="7">
        <f t="shared" si="7"/>
        <v>-5.6478160488888882</v>
      </c>
      <c r="M29" s="7">
        <f t="shared" si="7"/>
        <v>-1.8954742698222193</v>
      </c>
      <c r="N29" s="7">
        <f t="shared" si="7"/>
        <v>3.9373815171617741</v>
      </c>
      <c r="O29" s="7">
        <f t="shared" si="7"/>
        <v>9.8813559068278991</v>
      </c>
      <c r="P29" s="7">
        <f t="shared" si="7"/>
        <v>15.673263822054116</v>
      </c>
      <c r="Q29" s="7"/>
      <c r="R29" s="7"/>
      <c r="S29" s="7"/>
      <c r="T29" s="7"/>
      <c r="U29" s="7"/>
      <c r="V29" s="7">
        <f t="shared" ref="V29:V31" si="8">SUM(J29:U29)</f>
        <v>12.035295482888239</v>
      </c>
    </row>
    <row r="30" spans="4:22" x14ac:dyDescent="0.35">
      <c r="D30" s="2"/>
      <c r="E30" s="30" t="s">
        <v>154</v>
      </c>
      <c r="F30" s="1"/>
      <c r="I30" s="30" t="s">
        <v>143</v>
      </c>
      <c r="J30" s="3">
        <f t="shared" ref="J30:P30" si="9">J20</f>
        <v>-3.3953499999999996</v>
      </c>
      <c r="K30" s="3">
        <f t="shared" si="9"/>
        <v>-5.1772559999999999</v>
      </c>
      <c r="L30" s="3">
        <f t="shared" si="9"/>
        <v>-3.5552333599999995</v>
      </c>
      <c r="M30" s="3">
        <f t="shared" si="9"/>
        <v>1.4360546384000026</v>
      </c>
      <c r="N30" s="3">
        <f t="shared" si="9"/>
        <v>8.511884416703996</v>
      </c>
      <c r="O30" s="3">
        <f t="shared" si="9"/>
        <v>15.66666098170624</v>
      </c>
      <c r="P30" s="3">
        <f t="shared" si="9"/>
        <v>22.631821140608608</v>
      </c>
      <c r="Q30" s="3"/>
      <c r="V30" s="31">
        <f t="shared" si="8"/>
        <v>36.118581817418843</v>
      </c>
    </row>
    <row r="31" spans="4:22" x14ac:dyDescent="0.35">
      <c r="D31" s="2"/>
      <c r="E31" s="30" t="s">
        <v>100</v>
      </c>
      <c r="F31" s="1"/>
      <c r="I31" s="30" t="s">
        <v>143</v>
      </c>
      <c r="J31" s="3">
        <f>J25</f>
        <v>-0.3</v>
      </c>
      <c r="K31" s="3">
        <f t="shared" ref="K31:P31" si="10">K25</f>
        <v>-1.0408094444444445</v>
      </c>
      <c r="L31" s="3">
        <f t="shared" si="10"/>
        <v>-2.0925826888888888</v>
      </c>
      <c r="M31" s="3">
        <f t="shared" si="10"/>
        <v>-3.3315289082222219</v>
      </c>
      <c r="N31" s="3">
        <f t="shared" si="10"/>
        <v>-4.5745028995422219</v>
      </c>
      <c r="O31" s="3">
        <f t="shared" si="10"/>
        <v>-5.785305074878341</v>
      </c>
      <c r="P31" s="3">
        <f t="shared" si="10"/>
        <v>-6.958557318554492</v>
      </c>
      <c r="Q31" s="3"/>
      <c r="V31" s="31">
        <f t="shared" si="8"/>
        <v>-24.083286334530612</v>
      </c>
    </row>
    <row r="32" spans="4:22" x14ac:dyDescent="0.35">
      <c r="D32" s="2"/>
      <c r="E32" s="30"/>
      <c r="F32" s="1"/>
      <c r="I32" s="3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4:22" x14ac:dyDescent="0.35">
      <c r="D33" s="2" t="s">
        <v>155</v>
      </c>
      <c r="E33" s="30"/>
      <c r="F33" s="1"/>
      <c r="I33" s="30" t="s">
        <v>143</v>
      </c>
      <c r="J33" s="7">
        <f>MAX(J34*J35,0)</f>
        <v>0</v>
      </c>
      <c r="K33" s="7">
        <f t="shared" ref="K33:P33" si="11">MAX(K34*K35,0)</f>
        <v>0</v>
      </c>
      <c r="L33" s="7">
        <f t="shared" si="11"/>
        <v>0</v>
      </c>
      <c r="M33" s="7">
        <f t="shared" si="11"/>
        <v>0</v>
      </c>
      <c r="N33" s="7">
        <f t="shared" si="11"/>
        <v>0.74810248826073711</v>
      </c>
      <c r="O33" s="7">
        <f t="shared" si="11"/>
        <v>1.877457622297301</v>
      </c>
      <c r="P33" s="7">
        <f t="shared" si="11"/>
        <v>2.9779201261902819</v>
      </c>
      <c r="Q33" s="7"/>
      <c r="R33" s="7"/>
      <c r="S33" s="7"/>
      <c r="T33" s="7"/>
      <c r="U33" s="7"/>
      <c r="V33" s="7">
        <f>SUM(J33:U33)</f>
        <v>5.6034802367483199</v>
      </c>
    </row>
    <row r="34" spans="4:22" x14ac:dyDescent="0.35">
      <c r="E34" s="1" t="s">
        <v>153</v>
      </c>
      <c r="F34" s="1"/>
      <c r="I34" s="30" t="s">
        <v>143</v>
      </c>
      <c r="J34" s="3">
        <f>J29</f>
        <v>-3.6953499999999995</v>
      </c>
      <c r="K34" s="3">
        <f t="shared" ref="K34:P34" si="12">K29</f>
        <v>-6.2180654444444441</v>
      </c>
      <c r="L34" s="3">
        <f t="shared" si="12"/>
        <v>-5.6478160488888882</v>
      </c>
      <c r="M34" s="3">
        <f t="shared" si="12"/>
        <v>-1.8954742698222193</v>
      </c>
      <c r="N34" s="3">
        <f t="shared" si="12"/>
        <v>3.9373815171617741</v>
      </c>
      <c r="O34" s="3">
        <f t="shared" si="12"/>
        <v>9.8813559068278991</v>
      </c>
      <c r="P34" s="3">
        <f t="shared" si="12"/>
        <v>15.673263822054116</v>
      </c>
      <c r="Q34" s="3"/>
      <c r="V34" s="31">
        <f>SUM(J34:U34)</f>
        <v>12.035295482888239</v>
      </c>
    </row>
    <row r="35" spans="4:22" x14ac:dyDescent="0.35">
      <c r="E35" s="1" t="s">
        <v>156</v>
      </c>
      <c r="F35" s="1"/>
      <c r="I35" s="31" t="s">
        <v>19</v>
      </c>
      <c r="J35" s="15">
        <v>0.19</v>
      </c>
      <c r="K35" s="10">
        <f>J35</f>
        <v>0.19</v>
      </c>
      <c r="L35" s="10">
        <f t="shared" ref="L35:P35" si="13">K35</f>
        <v>0.19</v>
      </c>
      <c r="M35" s="10">
        <f t="shared" si="13"/>
        <v>0.19</v>
      </c>
      <c r="N35" s="10">
        <f t="shared" si="13"/>
        <v>0.19</v>
      </c>
      <c r="O35" s="10">
        <f t="shared" si="13"/>
        <v>0.19</v>
      </c>
      <c r="P35" s="10">
        <f t="shared" si="13"/>
        <v>0.19</v>
      </c>
      <c r="Q35" s="10"/>
      <c r="R35" s="10"/>
      <c r="S35" s="10"/>
      <c r="T35" s="10"/>
      <c r="U35" s="10"/>
    </row>
    <row r="37" spans="4:22" x14ac:dyDescent="0.35">
      <c r="D37" s="2" t="s">
        <v>157</v>
      </c>
      <c r="E37" s="30"/>
      <c r="F37" s="1"/>
      <c r="I37" s="30" t="s">
        <v>143</v>
      </c>
      <c r="J37" s="7">
        <f>J38-J39</f>
        <v>-3.6953499999999995</v>
      </c>
      <c r="K37" s="7">
        <f t="shared" ref="K37:P37" si="14">K38-K39</f>
        <v>-6.2180654444444441</v>
      </c>
      <c r="L37" s="7">
        <f t="shared" si="14"/>
        <v>-5.6478160488888882</v>
      </c>
      <c r="M37" s="7">
        <f t="shared" si="14"/>
        <v>-1.8954742698222193</v>
      </c>
      <c r="N37" s="7">
        <f t="shared" si="14"/>
        <v>3.1892790289010371</v>
      </c>
      <c r="O37" s="7">
        <f t="shared" si="14"/>
        <v>8.0038982845305977</v>
      </c>
      <c r="P37" s="7">
        <f t="shared" si="14"/>
        <v>12.695343695863833</v>
      </c>
      <c r="Q37" s="7"/>
      <c r="R37" s="7"/>
      <c r="S37" s="7"/>
      <c r="T37" s="7"/>
      <c r="U37" s="7"/>
      <c r="V37" s="7">
        <f>SUM(J37:U37)</f>
        <v>6.4318152461399176</v>
      </c>
    </row>
    <row r="38" spans="4:22" x14ac:dyDescent="0.35">
      <c r="D38" s="2"/>
      <c r="E38" s="1" t="s">
        <v>153</v>
      </c>
      <c r="F38" s="1"/>
      <c r="I38" s="30" t="s">
        <v>143</v>
      </c>
      <c r="J38" s="3">
        <f t="shared" ref="J38:P38" si="15">J29</f>
        <v>-3.6953499999999995</v>
      </c>
      <c r="K38" s="3">
        <f t="shared" si="15"/>
        <v>-6.2180654444444441</v>
      </c>
      <c r="L38" s="3">
        <f t="shared" si="15"/>
        <v>-5.6478160488888882</v>
      </c>
      <c r="M38" s="3">
        <f t="shared" si="15"/>
        <v>-1.8954742698222193</v>
      </c>
      <c r="N38" s="3">
        <f t="shared" si="15"/>
        <v>3.9373815171617741</v>
      </c>
      <c r="O38" s="3">
        <f t="shared" si="15"/>
        <v>9.8813559068278991</v>
      </c>
      <c r="P38" s="3">
        <f t="shared" si="15"/>
        <v>15.673263822054116</v>
      </c>
      <c r="Q38" s="3"/>
      <c r="V38" s="31">
        <f>SUM(J38:U38)</f>
        <v>12.035295482888239</v>
      </c>
    </row>
    <row r="39" spans="4:22" x14ac:dyDescent="0.35">
      <c r="D39" s="2"/>
      <c r="E39" s="30" t="s">
        <v>155</v>
      </c>
      <c r="F39" s="1"/>
      <c r="I39" s="30" t="s">
        <v>143</v>
      </c>
      <c r="J39" s="3">
        <f>J33</f>
        <v>0</v>
      </c>
      <c r="K39" s="3">
        <f t="shared" ref="K39:P39" si="16">K33</f>
        <v>0</v>
      </c>
      <c r="L39" s="3">
        <f t="shared" si="16"/>
        <v>0</v>
      </c>
      <c r="M39" s="3">
        <f t="shared" si="16"/>
        <v>0</v>
      </c>
      <c r="N39" s="3">
        <f t="shared" si="16"/>
        <v>0.74810248826073711</v>
      </c>
      <c r="O39" s="3">
        <f t="shared" si="16"/>
        <v>1.877457622297301</v>
      </c>
      <c r="P39" s="3">
        <f t="shared" si="16"/>
        <v>2.9779201261902819</v>
      </c>
      <c r="Q39" s="3"/>
      <c r="V39" s="31">
        <f>SUM(J39:U39)</f>
        <v>5.6034802367483199</v>
      </c>
    </row>
    <row r="41" spans="4:22" x14ac:dyDescent="0.35">
      <c r="D41" s="2" t="s">
        <v>158</v>
      </c>
      <c r="E41" s="1"/>
      <c r="F41" s="1"/>
      <c r="G41" s="1"/>
      <c r="H41" s="1"/>
      <c r="I41" s="30"/>
    </row>
    <row r="42" spans="4:22" x14ac:dyDescent="0.35">
      <c r="D42" s="2"/>
      <c r="E42" s="30" t="s">
        <v>36</v>
      </c>
      <c r="F42" s="1"/>
      <c r="G42" s="1"/>
      <c r="H42" s="1"/>
      <c r="I42" s="31" t="s">
        <v>19</v>
      </c>
      <c r="J42" s="8">
        <f t="shared" ref="J42:P42" si="17">J6/J$6</f>
        <v>1</v>
      </c>
      <c r="K42" s="8">
        <f t="shared" si="17"/>
        <v>1</v>
      </c>
      <c r="L42" s="8">
        <f t="shared" si="17"/>
        <v>1</v>
      </c>
      <c r="M42" s="8">
        <f t="shared" si="17"/>
        <v>1</v>
      </c>
      <c r="N42" s="8">
        <f t="shared" si="17"/>
        <v>1</v>
      </c>
      <c r="O42" s="8">
        <f t="shared" si="17"/>
        <v>1</v>
      </c>
      <c r="P42" s="8">
        <f t="shared" si="17"/>
        <v>1</v>
      </c>
      <c r="Q42" s="8"/>
      <c r="R42" s="8"/>
      <c r="S42" s="8"/>
      <c r="T42" s="8"/>
      <c r="U42" s="8"/>
      <c r="V42" s="8">
        <f>V6/V$6</f>
        <v>1</v>
      </c>
    </row>
    <row r="43" spans="4:22" x14ac:dyDescent="0.35">
      <c r="D43" s="2"/>
      <c r="E43" s="30" t="s">
        <v>4</v>
      </c>
      <c r="F43" s="1"/>
      <c r="G43" s="1"/>
      <c r="H43" s="1"/>
      <c r="I43" s="31" t="s">
        <v>19</v>
      </c>
      <c r="J43" s="10">
        <f t="shared" ref="J43:P43" si="18">J8/J$6</f>
        <v>0.6</v>
      </c>
      <c r="K43" s="10">
        <f t="shared" si="18"/>
        <v>0.6</v>
      </c>
      <c r="L43" s="10">
        <f t="shared" si="18"/>
        <v>0.6</v>
      </c>
      <c r="M43" s="10">
        <f t="shared" si="18"/>
        <v>0.6</v>
      </c>
      <c r="N43" s="10">
        <f t="shared" si="18"/>
        <v>0.6</v>
      </c>
      <c r="O43" s="10">
        <f t="shared" si="18"/>
        <v>0.6</v>
      </c>
      <c r="P43" s="10">
        <f t="shared" si="18"/>
        <v>0.59999999999999987</v>
      </c>
      <c r="Q43" s="10"/>
      <c r="R43" s="10"/>
      <c r="S43" s="10"/>
      <c r="T43" s="10"/>
      <c r="U43" s="10"/>
      <c r="V43" s="10">
        <f>V8/V$6</f>
        <v>0.6</v>
      </c>
    </row>
    <row r="44" spans="4:22" x14ac:dyDescent="0.35">
      <c r="E44" s="3" t="s">
        <v>159</v>
      </c>
      <c r="I44" s="31" t="s">
        <v>19</v>
      </c>
      <c r="J44" s="10">
        <f t="shared" ref="J44:P44" si="19">J20/J$6</f>
        <v>-0.51057894736842102</v>
      </c>
      <c r="K44" s="10">
        <f t="shared" si="19"/>
        <v>-0.20318901098901099</v>
      </c>
      <c r="L44" s="10">
        <f t="shared" si="19"/>
        <v>-6.854122537112009E-2</v>
      </c>
      <c r="M44" s="10">
        <f t="shared" si="19"/>
        <v>1.6822522560768497E-2</v>
      </c>
      <c r="N44" s="10">
        <f t="shared" si="19"/>
        <v>6.8680230900907704E-2</v>
      </c>
      <c r="O44" s="10">
        <f t="shared" si="19"/>
        <v>9.6407255048806109E-2</v>
      </c>
      <c r="P44" s="10">
        <f t="shared" si="19"/>
        <v>0.11255412726897229</v>
      </c>
      <c r="Q44" s="10"/>
      <c r="R44" s="10"/>
      <c r="S44" s="10"/>
      <c r="T44" s="10"/>
      <c r="U44" s="10"/>
      <c r="V44" s="10">
        <f>V20/V$6</f>
        <v>5.4985053308699967E-2</v>
      </c>
    </row>
    <row r="45" spans="4:22" x14ac:dyDescent="0.35">
      <c r="E45" s="3" t="s">
        <v>157</v>
      </c>
      <c r="I45" s="31" t="s">
        <v>19</v>
      </c>
      <c r="J45" s="10">
        <f t="shared" ref="J45:P45" si="20">J37/J$6</f>
        <v>-0.55569172932330813</v>
      </c>
      <c r="K45" s="10">
        <f t="shared" si="20"/>
        <v>-0.24403710535496248</v>
      </c>
      <c r="L45" s="10">
        <f t="shared" si="20"/>
        <v>-0.10888405723710985</v>
      </c>
      <c r="M45" s="10">
        <f t="shared" si="20"/>
        <v>-2.2204349204266612E-2</v>
      </c>
      <c r="N45" s="10">
        <f t="shared" si="20"/>
        <v>2.5733481493533199E-2</v>
      </c>
      <c r="O45" s="10">
        <f t="shared" si="20"/>
        <v>4.9253243189628607E-2</v>
      </c>
      <c r="P45" s="10">
        <f t="shared" si="20"/>
        <v>6.3137355195145253E-2</v>
      </c>
      <c r="Q45" s="10"/>
      <c r="R45" s="10"/>
      <c r="S45" s="10"/>
      <c r="T45" s="10"/>
      <c r="U45" s="10"/>
      <c r="V45" s="10">
        <f>V37/V$6</f>
        <v>9.7914615243878886E-3</v>
      </c>
    </row>
    <row r="47" spans="4:22" x14ac:dyDescent="0.35">
      <c r="D47" s="7" t="s">
        <v>160</v>
      </c>
      <c r="I47" s="31" t="s">
        <v>19</v>
      </c>
      <c r="J47" s="8">
        <f>SUM(J48:J55)</f>
        <v>0.72629323308270677</v>
      </c>
      <c r="K47" s="8">
        <f t="shared" ref="K47:P47" si="21">SUM(K48:K55)</f>
        <v>0.57392684458398746</v>
      </c>
      <c r="L47" s="8">
        <f t="shared" si="21"/>
        <v>0.54066576749566231</v>
      </c>
      <c r="M47" s="8">
        <f t="shared" si="21"/>
        <v>0.52367358240028117</v>
      </c>
      <c r="N47" s="8">
        <f t="shared" si="21"/>
        <v>0.51638088984787178</v>
      </c>
      <c r="O47" s="8">
        <f t="shared" si="21"/>
        <v>0.51206417659945092</v>
      </c>
      <c r="P47" s="8">
        <f t="shared" si="21"/>
        <v>0.51034653168912791</v>
      </c>
      <c r="Q47" s="8"/>
      <c r="R47" s="8"/>
      <c r="S47" s="8"/>
      <c r="T47" s="8"/>
      <c r="U47" s="8"/>
      <c r="V47" s="8"/>
    </row>
    <row r="48" spans="4:22" x14ac:dyDescent="0.35">
      <c r="E48" s="31" t="s">
        <v>92</v>
      </c>
      <c r="I48" s="31" t="s">
        <v>19</v>
      </c>
      <c r="J48" s="10">
        <f t="shared" ref="J48:P48" si="22">(J6-J8)/J6</f>
        <v>0.4</v>
      </c>
      <c r="K48" s="10">
        <f t="shared" si="22"/>
        <v>0.4</v>
      </c>
      <c r="L48" s="10">
        <f t="shared" si="22"/>
        <v>0.40000000000000008</v>
      </c>
      <c r="M48" s="10">
        <f t="shared" si="22"/>
        <v>0.4</v>
      </c>
      <c r="N48" s="10">
        <f t="shared" si="22"/>
        <v>0.39999999999999997</v>
      </c>
      <c r="O48" s="10">
        <f t="shared" si="22"/>
        <v>0.4</v>
      </c>
      <c r="P48" s="10">
        <f t="shared" si="22"/>
        <v>0.40000000000000008</v>
      </c>
      <c r="Q48" s="10"/>
      <c r="R48" s="10"/>
      <c r="S48" s="10"/>
      <c r="T48" s="10"/>
      <c r="U48" s="10"/>
      <c r="V48" s="10"/>
    </row>
    <row r="49" spans="5:22" x14ac:dyDescent="0.35">
      <c r="E49" s="30" t="s">
        <v>179</v>
      </c>
      <c r="I49" s="31" t="s">
        <v>19</v>
      </c>
      <c r="J49" s="10">
        <f>J13/J$6</f>
        <v>4.5112781954887216E-2</v>
      </c>
      <c r="K49" s="10">
        <f t="shared" ref="K49:P49" si="23">K13/K$6</f>
        <v>1.7660910518053376E-2</v>
      </c>
      <c r="L49" s="10">
        <f t="shared" si="23"/>
        <v>1.2531328320802004E-2</v>
      </c>
      <c r="M49" s="10">
        <f t="shared" si="23"/>
        <v>8.7858021437357235E-3</v>
      </c>
      <c r="N49" s="10">
        <f t="shared" si="23"/>
        <v>8.0687457134788389E-3</v>
      </c>
      <c r="O49" s="10">
        <f t="shared" si="23"/>
        <v>6.7690224916156418E-3</v>
      </c>
      <c r="P49" s="10">
        <f t="shared" si="23"/>
        <v>6.4652492850926259E-3</v>
      </c>
      <c r="Q49" s="10"/>
      <c r="R49" s="10"/>
      <c r="S49" s="10"/>
      <c r="T49" s="10"/>
      <c r="U49" s="10"/>
      <c r="V49" s="10"/>
    </row>
    <row r="50" spans="5:22" x14ac:dyDescent="0.35">
      <c r="E50" s="1" t="s">
        <v>59</v>
      </c>
      <c r="I50" s="31" t="s">
        <v>19</v>
      </c>
      <c r="J50" s="10">
        <f t="shared" ref="J50:P50" si="24">J14/J$6</f>
        <v>9.0225563909774424E-3</v>
      </c>
      <c r="K50" s="10">
        <f t="shared" si="24"/>
        <v>3.5321821036106748E-3</v>
      </c>
      <c r="L50" s="10">
        <f t="shared" si="24"/>
        <v>2.5062656641604009E-3</v>
      </c>
      <c r="M50" s="10">
        <f t="shared" si="24"/>
        <v>1.7571604287471446E-3</v>
      </c>
      <c r="N50" s="10">
        <f t="shared" si="24"/>
        <v>1.613749142695768E-3</v>
      </c>
      <c r="O50" s="10">
        <f t="shared" si="24"/>
        <v>1.3538044983231283E-3</v>
      </c>
      <c r="P50" s="10">
        <f t="shared" si="24"/>
        <v>1.2930498570185253E-3</v>
      </c>
      <c r="Q50" s="10"/>
      <c r="R50" s="10"/>
      <c r="S50" s="10"/>
      <c r="T50" s="10"/>
      <c r="U50" s="10"/>
      <c r="V50" s="10"/>
    </row>
    <row r="51" spans="5:22" x14ac:dyDescent="0.35">
      <c r="E51" s="1" t="s">
        <v>53</v>
      </c>
      <c r="I51" s="31" t="s">
        <v>19</v>
      </c>
      <c r="J51" s="10">
        <f t="shared" ref="J51:P51" si="25">J15/J$6</f>
        <v>0.03</v>
      </c>
      <c r="K51" s="10">
        <f t="shared" si="25"/>
        <v>0.03</v>
      </c>
      <c r="L51" s="10">
        <f t="shared" si="25"/>
        <v>0.03</v>
      </c>
      <c r="M51" s="10">
        <f t="shared" si="25"/>
        <v>0.03</v>
      </c>
      <c r="N51" s="10">
        <f t="shared" si="25"/>
        <v>0.03</v>
      </c>
      <c r="O51" s="10">
        <f t="shared" si="25"/>
        <v>0.03</v>
      </c>
      <c r="P51" s="10">
        <f t="shared" si="25"/>
        <v>0.03</v>
      </c>
      <c r="Q51" s="10"/>
      <c r="R51" s="10"/>
      <c r="S51" s="10"/>
      <c r="T51" s="10"/>
      <c r="U51" s="10"/>
      <c r="V51" s="10"/>
    </row>
    <row r="52" spans="5:22" x14ac:dyDescent="0.35">
      <c r="E52" s="1" t="s">
        <v>55</v>
      </c>
      <c r="I52" s="31" t="s">
        <v>19</v>
      </c>
      <c r="J52" s="10">
        <f t="shared" ref="J52:P52" si="26">J16/J$6</f>
        <v>5.0000000000000001E-3</v>
      </c>
      <c r="K52" s="10">
        <f t="shared" si="26"/>
        <v>5.0000000000000001E-3</v>
      </c>
      <c r="L52" s="10">
        <f t="shared" si="26"/>
        <v>5.0000000000000001E-3</v>
      </c>
      <c r="M52" s="10">
        <f t="shared" si="26"/>
        <v>5.0000000000000001E-3</v>
      </c>
      <c r="N52" s="10">
        <f t="shared" si="26"/>
        <v>5.0000000000000001E-3</v>
      </c>
      <c r="O52" s="10">
        <f t="shared" si="26"/>
        <v>5.0000000000000001E-3</v>
      </c>
      <c r="P52" s="10">
        <f t="shared" si="26"/>
        <v>5.000000000000001E-3</v>
      </c>
      <c r="Q52" s="10"/>
      <c r="R52" s="10"/>
      <c r="S52" s="10"/>
      <c r="T52" s="10"/>
      <c r="U52" s="10"/>
      <c r="V52" s="10"/>
    </row>
    <row r="53" spans="5:22" x14ac:dyDescent="0.35">
      <c r="E53" s="1" t="s">
        <v>56</v>
      </c>
      <c r="I53" s="31" t="s">
        <v>19</v>
      </c>
      <c r="J53" s="10">
        <f t="shared" ref="J53:P53" si="27">J17/J$6</f>
        <v>1.4999999999999999E-2</v>
      </c>
      <c r="K53" s="10">
        <f t="shared" si="27"/>
        <v>1.4999999999999999E-2</v>
      </c>
      <c r="L53" s="10">
        <f t="shared" si="27"/>
        <v>1.4999999999999999E-2</v>
      </c>
      <c r="M53" s="10">
        <f t="shared" si="27"/>
        <v>1.4999999999999999E-2</v>
      </c>
      <c r="N53" s="10">
        <f t="shared" si="27"/>
        <v>1.4999999999999999E-2</v>
      </c>
      <c r="O53" s="10">
        <f t="shared" si="27"/>
        <v>1.4999999999999999E-2</v>
      </c>
      <c r="P53" s="10">
        <f t="shared" si="27"/>
        <v>1.4999999999999999E-2</v>
      </c>
    </row>
    <row r="54" spans="5:22" x14ac:dyDescent="0.35">
      <c r="E54" s="1" t="s">
        <v>57</v>
      </c>
      <c r="I54" s="31" t="s">
        <v>19</v>
      </c>
      <c r="J54" s="10">
        <f t="shared" ref="J54:P54" si="28">J18/J$6</f>
        <v>1.4999999999999999E-2</v>
      </c>
      <c r="K54" s="10">
        <f t="shared" si="28"/>
        <v>1.4999999999999999E-2</v>
      </c>
      <c r="L54" s="10">
        <f t="shared" si="28"/>
        <v>1.4999999999999999E-2</v>
      </c>
      <c r="M54" s="10">
        <f t="shared" si="28"/>
        <v>1.4999999999999999E-2</v>
      </c>
      <c r="N54" s="10">
        <f t="shared" si="28"/>
        <v>1.4999999999999999E-2</v>
      </c>
      <c r="O54" s="10">
        <f t="shared" si="28"/>
        <v>1.4999999999999999E-2</v>
      </c>
      <c r="P54" s="10">
        <f t="shared" si="28"/>
        <v>1.4999999999999999E-2</v>
      </c>
    </row>
    <row r="55" spans="5:22" x14ac:dyDescent="0.35">
      <c r="E55" s="3" t="s">
        <v>99</v>
      </c>
      <c r="I55" s="31" t="s">
        <v>19</v>
      </c>
      <c r="J55" s="10">
        <f t="shared" ref="J55:P55" si="29">J23/J6</f>
        <v>0.2071578947368421</v>
      </c>
      <c r="K55" s="10">
        <f t="shared" si="29"/>
        <v>8.7733751962323372E-2</v>
      </c>
      <c r="L55" s="10">
        <f t="shared" si="29"/>
        <v>6.0628173510699816E-2</v>
      </c>
      <c r="M55" s="10">
        <f t="shared" si="29"/>
        <v>4.8130619827798267E-2</v>
      </c>
      <c r="N55" s="10">
        <f t="shared" si="29"/>
        <v>4.1698394991697259E-2</v>
      </c>
      <c r="O55" s="10">
        <f t="shared" si="29"/>
        <v>3.8941349609512066E-2</v>
      </c>
      <c r="P55" s="10">
        <f t="shared" si="29"/>
        <v>3.7588232547016702E-2</v>
      </c>
    </row>
  </sheetData>
  <hyperlinks>
    <hyperlink ref="V1" location="Master!A1" display="back"/>
    <hyperlink ref="J1" location="Master!A1" display="back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22"/>
  <sheetViews>
    <sheetView zoomScale="70" zoomScaleNormal="70" workbookViewId="0">
      <pane xSplit="9" ySplit="4" topLeftCell="J5" activePane="bottomRight" state="frozen"/>
      <selection activeCell="O2" sqref="O2"/>
      <selection pane="topRight" activeCell="O2" sqref="O2"/>
      <selection pane="bottomLeft" activeCell="O2" sqref="O2"/>
      <selection pane="bottomRight" activeCell="J18" sqref="J18"/>
    </sheetView>
  </sheetViews>
  <sheetFormatPr defaultColWidth="9.1796875" defaultRowHeight="14.5" outlineLevelRow="1" x14ac:dyDescent="0.35"/>
  <cols>
    <col min="1" max="4" width="3.1796875" style="1" customWidth="1"/>
    <col min="5" max="5" width="2.6328125" style="1" customWidth="1"/>
    <col min="6" max="6" width="2" style="1" customWidth="1"/>
    <col min="7" max="7" width="2.54296875" style="1" customWidth="1"/>
    <col min="8" max="8" width="21.81640625" style="1" customWidth="1"/>
    <col min="9" max="9" width="9.453125" style="1" bestFit="1" customWidth="1"/>
    <col min="10" max="16384" width="9.1796875" style="1"/>
  </cols>
  <sheetData>
    <row r="1" spans="1:25" x14ac:dyDescent="0.35">
      <c r="A1" s="2" t="s">
        <v>94</v>
      </c>
      <c r="B1" s="2"/>
      <c r="C1" s="2"/>
      <c r="D1" s="2"/>
    </row>
    <row r="2" spans="1:25" x14ac:dyDescent="0.35">
      <c r="J2" s="35" t="s">
        <v>130</v>
      </c>
      <c r="K2" s="3"/>
      <c r="L2" s="3"/>
      <c r="M2" s="3"/>
      <c r="N2" s="3"/>
      <c r="O2" s="3"/>
      <c r="P2" s="3"/>
      <c r="Q2" s="36"/>
      <c r="R2" s="3"/>
      <c r="S2" s="3"/>
      <c r="T2" s="3"/>
      <c r="U2" s="3"/>
      <c r="V2" s="35" t="s">
        <v>130</v>
      </c>
    </row>
    <row r="4" spans="1:25" x14ac:dyDescent="0.35">
      <c r="J4" s="2">
        <f>'Total Chain'!J$4</f>
        <v>2023</v>
      </c>
      <c r="K4" s="2">
        <f>'Total Chain'!K$4</f>
        <v>2024</v>
      </c>
      <c r="L4" s="2">
        <f>'Total Chain'!L$4</f>
        <v>2025</v>
      </c>
      <c r="M4" s="2">
        <f>'Total Chain'!M$4</f>
        <v>2026</v>
      </c>
      <c r="N4" s="2">
        <f>'Total Chain'!N$4</f>
        <v>2027</v>
      </c>
      <c r="O4" s="2">
        <f>'Total Chain'!O$4</f>
        <v>2028</v>
      </c>
      <c r="P4" s="2">
        <f>'Total Chain'!P$4</f>
        <v>2029</v>
      </c>
    </row>
    <row r="5" spans="1:25" s="7" customFormat="1" x14ac:dyDescent="0.35">
      <c r="A5" s="3"/>
      <c r="B5" s="3"/>
      <c r="C5" s="3"/>
      <c r="D5" s="3"/>
      <c r="E5" s="3"/>
      <c r="F5" s="2" t="s">
        <v>28</v>
      </c>
      <c r="G5" s="1"/>
      <c r="H5" s="1"/>
      <c r="I5" s="2" t="s">
        <v>143</v>
      </c>
      <c r="J5" s="7">
        <f>J6*J7/360</f>
        <v>0.36944444444444446</v>
      </c>
      <c r="K5" s="7">
        <f t="shared" ref="K5:P5" si="0">K6*K7/360</f>
        <v>1.4155555555555557</v>
      </c>
      <c r="L5" s="7">
        <f t="shared" si="0"/>
        <v>2.8816666666666668</v>
      </c>
      <c r="M5" s="7">
        <f t="shared" si="0"/>
        <v>4.7424999999999997</v>
      </c>
      <c r="N5" s="7">
        <f t="shared" si="0"/>
        <v>6.8852777777777776</v>
      </c>
      <c r="O5" s="7">
        <f t="shared" si="0"/>
        <v>9.0280555555555573</v>
      </c>
      <c r="P5" s="7">
        <f t="shared" si="0"/>
        <v>11.170833333333336</v>
      </c>
      <c r="Y5" s="3"/>
    </row>
    <row r="6" spans="1:25" s="7" customFormat="1" x14ac:dyDescent="0.35">
      <c r="A6" s="3"/>
      <c r="B6" s="3"/>
      <c r="C6" s="3"/>
      <c r="D6" s="3"/>
      <c r="E6" s="3"/>
      <c r="F6" s="1"/>
      <c r="G6" s="1" t="s">
        <v>36</v>
      </c>
      <c r="H6" s="1"/>
      <c r="I6" s="28" t="s">
        <v>143</v>
      </c>
      <c r="J6" s="3">
        <f>'Total Chain'!J$10</f>
        <v>6.65</v>
      </c>
      <c r="K6" s="3">
        <f>'Total Chain'!K$10</f>
        <v>25.48</v>
      </c>
      <c r="L6" s="3">
        <f>'Total Chain'!L$10</f>
        <v>51.870000000000005</v>
      </c>
      <c r="M6" s="3">
        <f>'Total Chain'!M$10</f>
        <v>85.364999999999995</v>
      </c>
      <c r="N6" s="3">
        <f>'Total Chain'!N$10</f>
        <v>123.935</v>
      </c>
      <c r="O6" s="3">
        <f>'Total Chain'!O$10</f>
        <v>162.50500000000002</v>
      </c>
      <c r="P6" s="3">
        <f>'Total Chain'!P$10</f>
        <v>201.07500000000005</v>
      </c>
      <c r="Q6" s="3"/>
      <c r="R6" s="3"/>
      <c r="S6" s="3"/>
      <c r="T6" s="3"/>
      <c r="U6" s="3"/>
      <c r="Y6" s="3"/>
    </row>
    <row r="7" spans="1:25" s="7" customFormat="1" x14ac:dyDescent="0.35">
      <c r="A7" s="3"/>
      <c r="B7" s="3"/>
      <c r="C7" s="3"/>
      <c r="D7" s="3"/>
      <c r="E7" s="3"/>
      <c r="F7" s="1"/>
      <c r="G7" s="1" t="s">
        <v>87</v>
      </c>
      <c r="H7" s="1"/>
      <c r="I7" s="1" t="s">
        <v>88</v>
      </c>
      <c r="J7" s="16">
        <v>20</v>
      </c>
      <c r="K7" s="3">
        <f>J7</f>
        <v>20</v>
      </c>
      <c r="L7" s="3">
        <f t="shared" ref="L7:P7" si="1">K7</f>
        <v>20</v>
      </c>
      <c r="M7" s="3">
        <f t="shared" si="1"/>
        <v>20</v>
      </c>
      <c r="N7" s="3">
        <f t="shared" si="1"/>
        <v>20</v>
      </c>
      <c r="O7" s="3">
        <f t="shared" si="1"/>
        <v>20</v>
      </c>
      <c r="P7" s="3">
        <f t="shared" si="1"/>
        <v>20</v>
      </c>
      <c r="Q7" s="3"/>
      <c r="R7" s="3"/>
      <c r="S7" s="3"/>
      <c r="T7" s="3"/>
      <c r="U7" s="3"/>
      <c r="Y7" s="3"/>
    </row>
    <row r="8" spans="1:25" s="7" customFormat="1" x14ac:dyDescent="0.35">
      <c r="A8" s="3"/>
      <c r="B8" s="3"/>
      <c r="C8" s="3"/>
      <c r="D8" s="3"/>
      <c r="E8" s="3"/>
      <c r="F8" s="1"/>
      <c r="G8" s="1"/>
      <c r="H8" s="1"/>
      <c r="I8" s="1"/>
      <c r="J8" s="3"/>
      <c r="K8" s="3"/>
      <c r="L8" s="3"/>
      <c r="M8" s="3"/>
      <c r="N8" s="3"/>
      <c r="O8" s="3"/>
      <c r="P8" s="3"/>
      <c r="Q8" s="29"/>
      <c r="R8" s="3"/>
      <c r="S8" s="3"/>
      <c r="T8" s="3"/>
      <c r="U8" s="3"/>
      <c r="Y8" s="3"/>
    </row>
    <row r="9" spans="1:25" s="7" customFormat="1" x14ac:dyDescent="0.35">
      <c r="A9" s="3"/>
      <c r="B9" s="3"/>
      <c r="C9" s="3"/>
      <c r="D9" s="3"/>
      <c r="E9" s="3"/>
      <c r="F9" s="2" t="s">
        <v>89</v>
      </c>
      <c r="G9" s="1"/>
      <c r="H9" s="1"/>
      <c r="I9" s="2" t="s">
        <v>143</v>
      </c>
      <c r="J9" s="7">
        <f>J10*J11/360</f>
        <v>0.27708333333333335</v>
      </c>
      <c r="K9" s="7">
        <f t="shared" ref="K9:P9" si="2">K10*K11/360</f>
        <v>1.0616666666666665</v>
      </c>
      <c r="L9" s="7">
        <f t="shared" si="2"/>
        <v>2.1612500000000003</v>
      </c>
      <c r="M9" s="7">
        <f t="shared" si="2"/>
        <v>3.5568749999999998</v>
      </c>
      <c r="N9" s="7">
        <f t="shared" si="2"/>
        <v>5.1639583333333334</v>
      </c>
      <c r="O9" s="7">
        <f t="shared" si="2"/>
        <v>6.7710416666666671</v>
      </c>
      <c r="P9" s="7">
        <f t="shared" si="2"/>
        <v>8.3781250000000025</v>
      </c>
      <c r="Y9" s="3"/>
    </row>
    <row r="10" spans="1:25" s="3" customFormat="1" x14ac:dyDescent="0.35">
      <c r="F10" s="1"/>
      <c r="G10" s="1" t="s">
        <v>36</v>
      </c>
      <c r="H10" s="1"/>
      <c r="I10" s="28" t="s">
        <v>143</v>
      </c>
      <c r="J10" s="3">
        <f>'Total Chain'!J$10</f>
        <v>6.65</v>
      </c>
      <c r="K10" s="3">
        <f>'Total Chain'!K$10</f>
        <v>25.48</v>
      </c>
      <c r="L10" s="3">
        <f>'Total Chain'!L$10</f>
        <v>51.870000000000005</v>
      </c>
      <c r="M10" s="3">
        <f>'Total Chain'!M$10</f>
        <v>85.364999999999995</v>
      </c>
      <c r="N10" s="3">
        <f>'Total Chain'!N$10</f>
        <v>123.935</v>
      </c>
      <c r="O10" s="3">
        <f>'Total Chain'!O$10</f>
        <v>162.50500000000002</v>
      </c>
      <c r="P10" s="3">
        <f>'Total Chain'!P$10</f>
        <v>201.07500000000005</v>
      </c>
    </row>
    <row r="11" spans="1:25" s="7" customFormat="1" x14ac:dyDescent="0.35">
      <c r="A11" s="3"/>
      <c r="B11" s="3"/>
      <c r="C11" s="3"/>
      <c r="D11" s="3"/>
      <c r="E11" s="3"/>
      <c r="F11" s="1"/>
      <c r="G11" s="1" t="s">
        <v>90</v>
      </c>
      <c r="H11" s="1"/>
      <c r="I11" s="1" t="s">
        <v>88</v>
      </c>
      <c r="J11" s="16">
        <v>15</v>
      </c>
      <c r="K11" s="3">
        <f>J11</f>
        <v>15</v>
      </c>
      <c r="L11" s="3">
        <f t="shared" ref="L11:P11" si="3">K11</f>
        <v>15</v>
      </c>
      <c r="M11" s="3">
        <f t="shared" si="3"/>
        <v>15</v>
      </c>
      <c r="N11" s="3">
        <f t="shared" si="3"/>
        <v>15</v>
      </c>
      <c r="O11" s="3">
        <f t="shared" si="3"/>
        <v>15</v>
      </c>
      <c r="P11" s="3">
        <f t="shared" si="3"/>
        <v>15</v>
      </c>
      <c r="Q11" s="3"/>
      <c r="R11" s="3"/>
      <c r="S11" s="3"/>
      <c r="T11" s="3"/>
      <c r="U11" s="3"/>
      <c r="Y11" s="3"/>
    </row>
    <row r="12" spans="1:25" s="3" customFormat="1" x14ac:dyDescent="0.35">
      <c r="F12" s="1"/>
      <c r="G12" s="1"/>
      <c r="H12" s="1"/>
      <c r="I12" s="1"/>
      <c r="Q12" s="29"/>
    </row>
    <row r="13" spans="1:25" s="7" customFormat="1" x14ac:dyDescent="0.35">
      <c r="A13" s="3"/>
      <c r="B13" s="3"/>
      <c r="C13" s="3"/>
      <c r="D13" s="3"/>
      <c r="E13" s="3"/>
      <c r="F13" s="2" t="s">
        <v>91</v>
      </c>
      <c r="G13" s="2"/>
      <c r="H13" s="2"/>
      <c r="I13" s="2" t="s">
        <v>143</v>
      </c>
      <c r="J13" s="7">
        <f>J14*J17/360</f>
        <v>0.44333333333333341</v>
      </c>
      <c r="K13" s="7">
        <f t="shared" ref="K13:P13" si="4">K14*K17/360</f>
        <v>1.6986666666666665</v>
      </c>
      <c r="L13" s="7">
        <f t="shared" si="4"/>
        <v>3.4580000000000011</v>
      </c>
      <c r="M13" s="7">
        <f t="shared" si="4"/>
        <v>5.6910000000000007</v>
      </c>
      <c r="N13" s="7">
        <f t="shared" si="4"/>
        <v>8.2623333333333342</v>
      </c>
      <c r="O13" s="7">
        <f t="shared" si="4"/>
        <v>10.833666666666669</v>
      </c>
      <c r="P13" s="7">
        <f t="shared" si="4"/>
        <v>13.405000000000005</v>
      </c>
      <c r="Y13" s="3"/>
    </row>
    <row r="14" spans="1:25" s="3" customFormat="1" x14ac:dyDescent="0.35">
      <c r="F14" s="1"/>
      <c r="G14" s="1" t="s">
        <v>92</v>
      </c>
      <c r="H14" s="1"/>
      <c r="I14" s="28" t="s">
        <v>143</v>
      </c>
      <c r="J14" s="3">
        <f>J15-J16</f>
        <v>2.66</v>
      </c>
      <c r="K14" s="3">
        <f t="shared" ref="K14:P14" si="5">K15-K16</f>
        <v>10.192</v>
      </c>
      <c r="L14" s="3">
        <f t="shared" si="5"/>
        <v>20.748000000000005</v>
      </c>
      <c r="M14" s="3">
        <f t="shared" si="5"/>
        <v>34.146000000000001</v>
      </c>
      <c r="N14" s="3">
        <f t="shared" si="5"/>
        <v>49.573999999999998</v>
      </c>
      <c r="O14" s="3">
        <f t="shared" si="5"/>
        <v>65.00200000000001</v>
      </c>
      <c r="P14" s="3">
        <f t="shared" si="5"/>
        <v>80.430000000000035</v>
      </c>
    </row>
    <row r="15" spans="1:25" s="3" customFormat="1" hidden="1" outlineLevel="1" x14ac:dyDescent="0.35">
      <c r="F15" s="1"/>
      <c r="G15" s="1"/>
      <c r="H15" s="1" t="s">
        <v>36</v>
      </c>
      <c r="I15" s="28" t="s">
        <v>143</v>
      </c>
      <c r="J15" s="3">
        <f>'Total Chain'!J$10</f>
        <v>6.65</v>
      </c>
      <c r="K15" s="3">
        <f>'Total Chain'!K$10</f>
        <v>25.48</v>
      </c>
      <c r="L15" s="3">
        <f>'Total Chain'!L$10</f>
        <v>51.870000000000005</v>
      </c>
      <c r="M15" s="3">
        <f>'Total Chain'!M$10</f>
        <v>85.364999999999995</v>
      </c>
      <c r="N15" s="3">
        <f>'Total Chain'!N$10</f>
        <v>123.935</v>
      </c>
      <c r="O15" s="3">
        <f>'Total Chain'!O$10</f>
        <v>162.50500000000002</v>
      </c>
      <c r="P15" s="3">
        <f>'Total Chain'!P$10</f>
        <v>201.07500000000005</v>
      </c>
    </row>
    <row r="16" spans="1:25" s="3" customFormat="1" hidden="1" outlineLevel="1" x14ac:dyDescent="0.35">
      <c r="F16" s="1"/>
      <c r="G16" s="1"/>
      <c r="H16" s="1" t="s">
        <v>4</v>
      </c>
      <c r="I16" s="28" t="s">
        <v>143</v>
      </c>
      <c r="J16" s="3">
        <f>'Total Chain'!J19</f>
        <v>3.99</v>
      </c>
      <c r="K16" s="3">
        <f>'Total Chain'!K19</f>
        <v>15.288</v>
      </c>
      <c r="L16" s="3">
        <f>'Total Chain'!L19</f>
        <v>31.122</v>
      </c>
      <c r="M16" s="3">
        <f>'Total Chain'!M19</f>
        <v>51.218999999999994</v>
      </c>
      <c r="N16" s="3">
        <f>'Total Chain'!N19</f>
        <v>74.361000000000004</v>
      </c>
      <c r="O16" s="3">
        <f>'Total Chain'!O19</f>
        <v>97.503000000000014</v>
      </c>
      <c r="P16" s="3">
        <f>'Total Chain'!P19</f>
        <v>120.64500000000001</v>
      </c>
    </row>
    <row r="17" spans="6:21" s="3" customFormat="1" collapsed="1" x14ac:dyDescent="0.35">
      <c r="F17" s="1"/>
      <c r="G17" s="1" t="s">
        <v>93</v>
      </c>
      <c r="H17" s="1"/>
      <c r="I17" s="1" t="s">
        <v>88</v>
      </c>
      <c r="J17" s="16">
        <v>60</v>
      </c>
      <c r="K17" s="3">
        <f>J17</f>
        <v>60</v>
      </c>
      <c r="L17" s="3">
        <f t="shared" ref="L17:P17" si="6">K17</f>
        <v>60</v>
      </c>
      <c r="M17" s="3">
        <f t="shared" si="6"/>
        <v>60</v>
      </c>
      <c r="N17" s="3">
        <f t="shared" si="6"/>
        <v>60</v>
      </c>
      <c r="O17" s="3">
        <f t="shared" si="6"/>
        <v>60</v>
      </c>
      <c r="P17" s="3">
        <f t="shared" si="6"/>
        <v>60</v>
      </c>
    </row>
    <row r="18" spans="6:21" s="3" customFormat="1" x14ac:dyDescent="0.35">
      <c r="F18" s="1"/>
      <c r="G18" s="1"/>
      <c r="H18" s="1"/>
      <c r="I18" s="1"/>
      <c r="Q18" s="29"/>
    </row>
    <row r="19" spans="6:21" s="3" customFormat="1" x14ac:dyDescent="0.35">
      <c r="F19" s="2" t="s">
        <v>94</v>
      </c>
      <c r="G19" s="1"/>
      <c r="H19" s="1"/>
      <c r="I19" s="2" t="s">
        <v>143</v>
      </c>
      <c r="J19" s="7">
        <f>J20+J21-J22</f>
        <v>0.2031944444444444</v>
      </c>
      <c r="K19" s="7">
        <f t="shared" ref="K19:P19" si="7">K20+K21-K22</f>
        <v>0.77855555555555567</v>
      </c>
      <c r="L19" s="7">
        <f t="shared" si="7"/>
        <v>1.5849166666666656</v>
      </c>
      <c r="M19" s="7">
        <f t="shared" si="7"/>
        <v>2.6083749999999988</v>
      </c>
      <c r="N19" s="7">
        <f t="shared" si="7"/>
        <v>3.786902777777776</v>
      </c>
      <c r="O19" s="7">
        <f t="shared" si="7"/>
        <v>4.9654305555555549</v>
      </c>
      <c r="P19" s="7">
        <f t="shared" si="7"/>
        <v>6.1439583333333339</v>
      </c>
      <c r="Q19" s="7"/>
      <c r="R19" s="7"/>
      <c r="S19" s="7"/>
      <c r="T19" s="7"/>
      <c r="U19" s="7"/>
    </row>
    <row r="20" spans="6:21" s="3" customFormat="1" x14ac:dyDescent="0.35">
      <c r="F20" s="7"/>
      <c r="G20" s="28" t="s">
        <v>28</v>
      </c>
      <c r="H20" s="7"/>
      <c r="I20" s="28" t="s">
        <v>143</v>
      </c>
      <c r="J20" s="3">
        <f>J5</f>
        <v>0.36944444444444446</v>
      </c>
      <c r="K20" s="3">
        <f t="shared" ref="K20:P20" si="8">K5</f>
        <v>1.4155555555555557</v>
      </c>
      <c r="L20" s="3">
        <f t="shared" si="8"/>
        <v>2.8816666666666668</v>
      </c>
      <c r="M20" s="3">
        <f t="shared" si="8"/>
        <v>4.7424999999999997</v>
      </c>
      <c r="N20" s="3">
        <f t="shared" si="8"/>
        <v>6.8852777777777776</v>
      </c>
      <c r="O20" s="3">
        <f t="shared" si="8"/>
        <v>9.0280555555555573</v>
      </c>
      <c r="P20" s="3">
        <f t="shared" si="8"/>
        <v>11.170833333333336</v>
      </c>
    </row>
    <row r="21" spans="6:21" s="3" customFormat="1" x14ac:dyDescent="0.35">
      <c r="F21" s="7"/>
      <c r="G21" s="28" t="s">
        <v>89</v>
      </c>
      <c r="H21" s="7"/>
      <c r="I21" s="28" t="s">
        <v>143</v>
      </c>
      <c r="J21" s="3">
        <f>J9</f>
        <v>0.27708333333333335</v>
      </c>
      <c r="K21" s="3">
        <f t="shared" ref="K21:P21" si="9">K9</f>
        <v>1.0616666666666665</v>
      </c>
      <c r="L21" s="3">
        <f t="shared" si="9"/>
        <v>2.1612500000000003</v>
      </c>
      <c r="M21" s="3">
        <f t="shared" si="9"/>
        <v>3.5568749999999998</v>
      </c>
      <c r="N21" s="3">
        <f t="shared" si="9"/>
        <v>5.1639583333333334</v>
      </c>
      <c r="O21" s="3">
        <f t="shared" si="9"/>
        <v>6.7710416666666671</v>
      </c>
      <c r="P21" s="3">
        <f t="shared" si="9"/>
        <v>8.3781250000000025</v>
      </c>
    </row>
    <row r="22" spans="6:21" s="3" customFormat="1" x14ac:dyDescent="0.35">
      <c r="F22" s="2"/>
      <c r="G22" s="28" t="s">
        <v>91</v>
      </c>
      <c r="H22" s="7"/>
      <c r="I22" s="28" t="s">
        <v>143</v>
      </c>
      <c r="J22" s="3">
        <f>J13</f>
        <v>0.44333333333333341</v>
      </c>
      <c r="K22" s="3">
        <f t="shared" ref="K22:P22" si="10">K13</f>
        <v>1.6986666666666665</v>
      </c>
      <c r="L22" s="3">
        <f t="shared" si="10"/>
        <v>3.4580000000000011</v>
      </c>
      <c r="M22" s="3">
        <f t="shared" si="10"/>
        <v>5.6910000000000007</v>
      </c>
      <c r="N22" s="3">
        <f t="shared" si="10"/>
        <v>8.2623333333333342</v>
      </c>
      <c r="O22" s="3">
        <f t="shared" si="10"/>
        <v>10.833666666666669</v>
      </c>
      <c r="P22" s="3">
        <f t="shared" si="10"/>
        <v>13.405000000000005</v>
      </c>
    </row>
  </sheetData>
  <hyperlinks>
    <hyperlink ref="V2" location="Master!A1" display="back"/>
    <hyperlink ref="J2" location="Master!A1" display="bac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26"/>
  <sheetViews>
    <sheetView zoomScale="70" zoomScaleNormal="70" workbookViewId="0">
      <pane xSplit="9" ySplit="4" topLeftCell="J5" activePane="bottomRight" state="frozen"/>
      <selection activeCell="O2" sqref="O2"/>
      <selection pane="topRight" activeCell="O2" sqref="O2"/>
      <selection pane="bottomLeft" activeCell="O2" sqref="O2"/>
      <selection pane="bottomRight" activeCell="J17" sqref="J17"/>
    </sheetView>
  </sheetViews>
  <sheetFormatPr defaultColWidth="9.1796875" defaultRowHeight="14.5" outlineLevelRow="1" x14ac:dyDescent="0.35"/>
  <cols>
    <col min="1" max="1" width="2.54296875" style="1" customWidth="1"/>
    <col min="2" max="2" width="2" style="1" customWidth="1"/>
    <col min="3" max="3" width="2.453125" style="1" customWidth="1"/>
    <col min="4" max="4" width="3.36328125" style="1" customWidth="1"/>
    <col min="5" max="5" width="2.36328125" style="1" customWidth="1"/>
    <col min="6" max="6" width="4.6328125" style="1" customWidth="1"/>
    <col min="7" max="7" width="2.54296875" style="1" customWidth="1"/>
    <col min="8" max="8" width="21.81640625" style="1" customWidth="1"/>
    <col min="9" max="9" width="11.26953125" style="1" customWidth="1"/>
    <col min="10" max="16384" width="9.1796875" style="1"/>
  </cols>
  <sheetData>
    <row r="1" spans="1:22" x14ac:dyDescent="0.35">
      <c r="A1" s="2" t="s">
        <v>187</v>
      </c>
      <c r="B1" s="2"/>
      <c r="C1" s="2"/>
      <c r="D1" s="2"/>
      <c r="J1" s="35" t="s">
        <v>130</v>
      </c>
      <c r="K1" s="3"/>
      <c r="L1" s="3"/>
      <c r="M1" s="3"/>
      <c r="N1" s="3"/>
      <c r="O1" s="3"/>
      <c r="P1" s="3"/>
      <c r="Q1" s="36"/>
      <c r="R1" s="3"/>
      <c r="S1" s="3"/>
      <c r="T1" s="3"/>
      <c r="U1" s="3"/>
      <c r="V1" s="35" t="s">
        <v>130</v>
      </c>
    </row>
    <row r="2" spans="1:22" ht="15.5" x14ac:dyDescent="0.35">
      <c r="P2" s="22"/>
    </row>
    <row r="4" spans="1:22" x14ac:dyDescent="0.35">
      <c r="J4" s="2">
        <f>'Total Chain'!J$4</f>
        <v>2023</v>
      </c>
      <c r="K4" s="2">
        <f>'Total Chain'!K$4</f>
        <v>2024</v>
      </c>
      <c r="L4" s="2">
        <f>'Total Chain'!L$4</f>
        <v>2025</v>
      </c>
      <c r="M4" s="2">
        <f>'Total Chain'!M$4</f>
        <v>2026</v>
      </c>
      <c r="N4" s="2">
        <f>'Total Chain'!N$4</f>
        <v>2027</v>
      </c>
      <c r="O4" s="2">
        <f>'Total Chain'!O$4</f>
        <v>2028</v>
      </c>
      <c r="P4" s="2">
        <f>'Total Chain'!P$4</f>
        <v>2029</v>
      </c>
    </row>
    <row r="6" spans="1:22" s="2" customFormat="1" x14ac:dyDescent="0.35">
      <c r="C6" s="2" t="s">
        <v>75</v>
      </c>
      <c r="I6" s="1" t="s">
        <v>143</v>
      </c>
      <c r="J6" s="7">
        <f>J7+J8-J9</f>
        <v>10</v>
      </c>
      <c r="K6" s="7">
        <f>K7+K8-K9</f>
        <v>30</v>
      </c>
      <c r="L6" s="7">
        <f t="shared" ref="L6:P6" si="0">L7+L8-L9</f>
        <v>50</v>
      </c>
      <c r="M6" s="7">
        <f t="shared" si="0"/>
        <v>70</v>
      </c>
      <c r="N6" s="7">
        <f t="shared" si="0"/>
        <v>90</v>
      </c>
      <c r="O6" s="7">
        <f t="shared" si="0"/>
        <v>110</v>
      </c>
      <c r="P6" s="7">
        <f t="shared" si="0"/>
        <v>130</v>
      </c>
      <c r="Q6" s="7"/>
    </row>
    <row r="7" spans="1:22" x14ac:dyDescent="0.35">
      <c r="D7" s="1" t="s">
        <v>80</v>
      </c>
      <c r="I7" s="1" t="s">
        <v>143</v>
      </c>
      <c r="J7" s="16">
        <v>0</v>
      </c>
      <c r="K7" s="3">
        <f>J6</f>
        <v>10</v>
      </c>
      <c r="L7" s="3">
        <f t="shared" ref="L7:P7" si="1">K6</f>
        <v>30</v>
      </c>
      <c r="M7" s="3">
        <f t="shared" si="1"/>
        <v>50</v>
      </c>
      <c r="N7" s="3">
        <f t="shared" si="1"/>
        <v>70</v>
      </c>
      <c r="O7" s="3">
        <f t="shared" si="1"/>
        <v>90</v>
      </c>
      <c r="P7" s="3">
        <f t="shared" si="1"/>
        <v>110</v>
      </c>
      <c r="Q7" s="3"/>
    </row>
    <row r="8" spans="1:22" x14ac:dyDescent="0.35">
      <c r="D8" s="1" t="s">
        <v>76</v>
      </c>
      <c r="I8" s="1" t="s">
        <v>143</v>
      </c>
      <c r="J8" s="16">
        <v>10</v>
      </c>
      <c r="K8" s="16">
        <v>20</v>
      </c>
      <c r="L8" s="3">
        <f>K8</f>
        <v>20</v>
      </c>
      <c r="M8" s="3">
        <f t="shared" ref="M8:P8" si="2">L8</f>
        <v>20</v>
      </c>
      <c r="N8" s="3">
        <f t="shared" si="2"/>
        <v>20</v>
      </c>
      <c r="O8" s="3">
        <f t="shared" si="2"/>
        <v>20</v>
      </c>
      <c r="P8" s="3">
        <f t="shared" si="2"/>
        <v>20</v>
      </c>
      <c r="Q8" s="3"/>
    </row>
    <row r="9" spans="1:22" x14ac:dyDescent="0.35">
      <c r="D9" s="1" t="s">
        <v>77</v>
      </c>
      <c r="I9" s="1" t="s">
        <v>143</v>
      </c>
      <c r="J9" s="3"/>
      <c r="K9" s="16"/>
      <c r="L9" s="16"/>
      <c r="M9" s="16"/>
      <c r="N9" s="16"/>
      <c r="O9" s="16"/>
      <c r="P9" s="3"/>
      <c r="Q9" s="3"/>
    </row>
    <row r="10" spans="1:22" x14ac:dyDescent="0.35">
      <c r="J10" s="3"/>
      <c r="K10" s="3"/>
      <c r="L10" s="3"/>
      <c r="M10" s="3"/>
      <c r="N10" s="3"/>
      <c r="O10" s="3"/>
      <c r="P10" s="3"/>
      <c r="Q10" s="3"/>
    </row>
    <row r="11" spans="1:22" x14ac:dyDescent="0.35">
      <c r="J11" s="3"/>
      <c r="K11" s="3"/>
      <c r="L11" s="3"/>
      <c r="M11" s="3"/>
      <c r="N11" s="3"/>
      <c r="O11" s="3"/>
      <c r="P11" s="3"/>
      <c r="Q11" s="3"/>
    </row>
    <row r="12" spans="1:22" s="2" customFormat="1" x14ac:dyDescent="0.35">
      <c r="C12" s="2" t="s">
        <v>78</v>
      </c>
      <c r="I12" s="1" t="s">
        <v>143</v>
      </c>
      <c r="J12" s="7">
        <f>J13*J16</f>
        <v>0.3</v>
      </c>
      <c r="K12" s="7">
        <f t="shared" ref="K12:P12" si="3">K13*K16</f>
        <v>1.2</v>
      </c>
      <c r="L12" s="7">
        <f t="shared" si="3"/>
        <v>2.4</v>
      </c>
      <c r="M12" s="7">
        <f t="shared" si="3"/>
        <v>3.5999999999999996</v>
      </c>
      <c r="N12" s="7">
        <f t="shared" si="3"/>
        <v>4.8</v>
      </c>
      <c r="O12" s="7">
        <f t="shared" si="3"/>
        <v>6</v>
      </c>
      <c r="P12" s="7">
        <f t="shared" si="3"/>
        <v>7.1999999999999993</v>
      </c>
      <c r="Q12" s="7"/>
    </row>
    <row r="13" spans="1:22" x14ac:dyDescent="0.35">
      <c r="D13" s="1" t="s">
        <v>79</v>
      </c>
      <c r="I13" s="1" t="s">
        <v>143</v>
      </c>
      <c r="J13" s="3">
        <f>(J14+J15)/2</f>
        <v>5</v>
      </c>
      <c r="K13" s="3">
        <f t="shared" ref="K13:P13" si="4">(K14+K15)/2</f>
        <v>20</v>
      </c>
      <c r="L13" s="3">
        <f t="shared" si="4"/>
        <v>40</v>
      </c>
      <c r="M13" s="3">
        <f t="shared" si="4"/>
        <v>60</v>
      </c>
      <c r="N13" s="3">
        <f t="shared" si="4"/>
        <v>80</v>
      </c>
      <c r="O13" s="3">
        <f t="shared" si="4"/>
        <v>100</v>
      </c>
      <c r="P13" s="3">
        <f t="shared" si="4"/>
        <v>120</v>
      </c>
      <c r="Q13" s="3"/>
    </row>
    <row r="14" spans="1:22" outlineLevel="1" x14ac:dyDescent="0.35">
      <c r="E14" s="1" t="s">
        <v>75</v>
      </c>
      <c r="I14" s="1" t="s">
        <v>45</v>
      </c>
      <c r="J14" s="3">
        <f>J6</f>
        <v>10</v>
      </c>
      <c r="K14" s="3">
        <f t="shared" ref="K14:P14" si="5">K6</f>
        <v>30</v>
      </c>
      <c r="L14" s="3">
        <f t="shared" si="5"/>
        <v>50</v>
      </c>
      <c r="M14" s="3">
        <f t="shared" si="5"/>
        <v>70</v>
      </c>
      <c r="N14" s="3">
        <f t="shared" si="5"/>
        <v>90</v>
      </c>
      <c r="O14" s="3">
        <f t="shared" si="5"/>
        <v>110</v>
      </c>
      <c r="P14" s="3">
        <f t="shared" si="5"/>
        <v>130</v>
      </c>
      <c r="Q14" s="3"/>
    </row>
    <row r="15" spans="1:22" outlineLevel="1" x14ac:dyDescent="0.35">
      <c r="E15" s="1" t="s">
        <v>80</v>
      </c>
      <c r="I15" s="1" t="s">
        <v>45</v>
      </c>
      <c r="J15" s="3">
        <f>J7</f>
        <v>0</v>
      </c>
      <c r="K15" s="3">
        <f t="shared" ref="K15:P15" si="6">K7</f>
        <v>10</v>
      </c>
      <c r="L15" s="3">
        <f t="shared" si="6"/>
        <v>30</v>
      </c>
      <c r="M15" s="3">
        <f t="shared" si="6"/>
        <v>50</v>
      </c>
      <c r="N15" s="3">
        <f t="shared" si="6"/>
        <v>70</v>
      </c>
      <c r="O15" s="3">
        <f t="shared" si="6"/>
        <v>90</v>
      </c>
      <c r="P15" s="3">
        <f t="shared" si="6"/>
        <v>110</v>
      </c>
      <c r="Q15" s="3"/>
    </row>
    <row r="16" spans="1:22" x14ac:dyDescent="0.35">
      <c r="D16" s="1" t="s">
        <v>81</v>
      </c>
      <c r="H16" s="3"/>
      <c r="I16" s="1" t="s">
        <v>19</v>
      </c>
      <c r="J16" s="10">
        <f>J17/J18</f>
        <v>0.06</v>
      </c>
      <c r="K16" s="10">
        <f t="shared" ref="K16:P16" si="7">K17/K18</f>
        <v>0.06</v>
      </c>
      <c r="L16" s="10">
        <f t="shared" si="7"/>
        <v>0.06</v>
      </c>
      <c r="M16" s="10">
        <f t="shared" si="7"/>
        <v>0.06</v>
      </c>
      <c r="N16" s="10">
        <f t="shared" si="7"/>
        <v>0.06</v>
      </c>
      <c r="O16" s="10">
        <f t="shared" si="7"/>
        <v>0.06</v>
      </c>
      <c r="P16" s="10">
        <f t="shared" si="7"/>
        <v>0.06</v>
      </c>
      <c r="Q16" s="10"/>
      <c r="R16" s="10"/>
      <c r="S16" s="10"/>
      <c r="T16" s="10"/>
      <c r="U16" s="10"/>
    </row>
    <row r="17" spans="1:21" x14ac:dyDescent="0.35">
      <c r="E17" s="1" t="s">
        <v>184</v>
      </c>
      <c r="H17" s="3"/>
      <c r="I17" s="1" t="s">
        <v>19</v>
      </c>
      <c r="J17" s="15">
        <v>0.06</v>
      </c>
      <c r="K17" s="10">
        <f>J17</f>
        <v>0.06</v>
      </c>
      <c r="L17" s="10">
        <f t="shared" ref="L17:P17" si="8">K17</f>
        <v>0.06</v>
      </c>
      <c r="M17" s="10">
        <f t="shared" si="8"/>
        <v>0.06</v>
      </c>
      <c r="N17" s="10">
        <f t="shared" si="8"/>
        <v>0.06</v>
      </c>
      <c r="O17" s="10">
        <f t="shared" si="8"/>
        <v>0.06</v>
      </c>
      <c r="P17" s="10">
        <f t="shared" si="8"/>
        <v>0.06</v>
      </c>
      <c r="Q17" s="10"/>
      <c r="R17" s="10"/>
      <c r="S17" s="10"/>
      <c r="T17" s="10"/>
      <c r="U17" s="10"/>
    </row>
    <row r="18" spans="1:21" x14ac:dyDescent="0.35">
      <c r="E18" s="30" t="s">
        <v>185</v>
      </c>
      <c r="G18" s="3"/>
      <c r="H18" s="3"/>
      <c r="I18" s="30" t="s">
        <v>186</v>
      </c>
      <c r="J18" s="16">
        <v>1</v>
      </c>
      <c r="K18" s="3">
        <f t="shared" ref="K18:P18" si="9">J18</f>
        <v>1</v>
      </c>
      <c r="L18" s="3">
        <f t="shared" si="9"/>
        <v>1</v>
      </c>
      <c r="M18" s="3">
        <f t="shared" si="9"/>
        <v>1</v>
      </c>
      <c r="N18" s="3">
        <f t="shared" si="9"/>
        <v>1</v>
      </c>
      <c r="O18" s="3">
        <f t="shared" si="9"/>
        <v>1</v>
      </c>
      <c r="P18" s="3">
        <f t="shared" si="9"/>
        <v>1</v>
      </c>
      <c r="Q18" s="3"/>
      <c r="R18" s="3"/>
      <c r="S18" s="3"/>
      <c r="T18" s="3"/>
      <c r="U18" s="3"/>
    </row>
    <row r="19" spans="1:21" x14ac:dyDescent="0.35">
      <c r="J19" s="3"/>
      <c r="K19" s="3"/>
      <c r="L19" s="3"/>
      <c r="M19" s="3"/>
      <c r="N19" s="3"/>
      <c r="O19" s="3"/>
      <c r="P19" s="3"/>
      <c r="Q19" s="3"/>
    </row>
    <row r="20" spans="1:21" s="3" customFormat="1" x14ac:dyDescent="0.35">
      <c r="C20" s="17" t="s">
        <v>114</v>
      </c>
      <c r="D20" s="2"/>
      <c r="E20" s="2"/>
      <c r="F20" s="2"/>
      <c r="G20" s="2"/>
      <c r="I20" s="2" t="s">
        <v>143</v>
      </c>
      <c r="J20" s="7">
        <f t="shared" ref="J20:P20" si="10">J21*J24</f>
        <v>0</v>
      </c>
      <c r="K20" s="7">
        <f t="shared" si="10"/>
        <v>0.15919055555555556</v>
      </c>
      <c r="L20" s="7">
        <f t="shared" si="10"/>
        <v>0.30741731111111109</v>
      </c>
      <c r="M20" s="7">
        <f t="shared" si="10"/>
        <v>0.26847109177777784</v>
      </c>
      <c r="N20" s="7">
        <f t="shared" si="10"/>
        <v>0.22549710045777788</v>
      </c>
      <c r="O20" s="7">
        <f t="shared" si="10"/>
        <v>0.21469492512165936</v>
      </c>
      <c r="P20" s="7">
        <f t="shared" si="10"/>
        <v>0.24144268144550765</v>
      </c>
      <c r="Q20" s="7"/>
      <c r="R20" s="7"/>
      <c r="S20" s="7"/>
      <c r="T20" s="7"/>
      <c r="U20" s="7"/>
    </row>
    <row r="21" spans="1:21" s="3" customFormat="1" x14ac:dyDescent="0.35">
      <c r="C21" s="17"/>
      <c r="D21" s="1" t="s">
        <v>181</v>
      </c>
      <c r="E21" s="1"/>
      <c r="F21" s="1"/>
      <c r="G21" s="1"/>
      <c r="I21" s="1" t="s">
        <v>143</v>
      </c>
      <c r="J21" s="3">
        <f>(J23+J22)/2</f>
        <v>0</v>
      </c>
      <c r="K21" s="3">
        <f t="shared" ref="K21:P21" si="11">(K23+K22)/2</f>
        <v>7.9595277777777778</v>
      </c>
      <c r="L21" s="3">
        <f t="shared" si="11"/>
        <v>15.370865555555556</v>
      </c>
      <c r="M21" s="3">
        <f t="shared" si="11"/>
        <v>13.423554588888891</v>
      </c>
      <c r="N21" s="3">
        <f t="shared" si="11"/>
        <v>11.274855022888893</v>
      </c>
      <c r="O21" s="3">
        <f t="shared" si="11"/>
        <v>10.734746256082968</v>
      </c>
      <c r="P21" s="3">
        <f t="shared" si="11"/>
        <v>12.072134072275382</v>
      </c>
    </row>
    <row r="22" spans="1:21" s="3" customFormat="1" outlineLevel="1" x14ac:dyDescent="0.35">
      <c r="C22" s="17"/>
      <c r="D22" s="1"/>
      <c r="E22" s="1" t="s">
        <v>182</v>
      </c>
      <c r="F22" s="1"/>
      <c r="G22" s="1"/>
      <c r="I22" s="1" t="s">
        <v>143</v>
      </c>
      <c r="L22" s="3">
        <f>K23</f>
        <v>15.919055555555556</v>
      </c>
      <c r="M22" s="3">
        <f t="shared" ref="M22:P22" si="12">L23</f>
        <v>14.822675555555556</v>
      </c>
      <c r="N22" s="3">
        <f t="shared" si="12"/>
        <v>12.024433622222226</v>
      </c>
      <c r="O22" s="3">
        <f t="shared" si="12"/>
        <v>10.52527642355556</v>
      </c>
      <c r="P22" s="3">
        <f t="shared" si="12"/>
        <v>10.944216088610375</v>
      </c>
    </row>
    <row r="23" spans="1:21" s="3" customFormat="1" outlineLevel="1" x14ac:dyDescent="0.35">
      <c r="C23" s="17"/>
      <c r="D23" s="1"/>
      <c r="E23" s="1" t="s">
        <v>183</v>
      </c>
      <c r="F23" s="1"/>
      <c r="G23" s="1"/>
      <c r="I23" s="1" t="s">
        <v>143</v>
      </c>
      <c r="K23" s="3">
        <f>CF!J34</f>
        <v>15.919055555555556</v>
      </c>
      <c r="L23" s="3">
        <f>CF!K34</f>
        <v>14.822675555555556</v>
      </c>
      <c r="M23" s="3">
        <f>CF!L34</f>
        <v>12.024433622222226</v>
      </c>
      <c r="N23" s="3">
        <f>CF!M34</f>
        <v>10.52527642355556</v>
      </c>
      <c r="O23" s="3">
        <f>CF!N34</f>
        <v>10.944216088610375</v>
      </c>
      <c r="P23" s="3">
        <f>CF!O34</f>
        <v>13.200052055940391</v>
      </c>
    </row>
    <row r="24" spans="1:21" s="3" customFormat="1" x14ac:dyDescent="0.35">
      <c r="A24" s="1"/>
      <c r="C24" s="1"/>
      <c r="D24" s="1" t="s">
        <v>81</v>
      </c>
      <c r="E24" s="1"/>
      <c r="F24" s="1"/>
      <c r="G24" s="1"/>
      <c r="I24" s="1" t="s">
        <v>19</v>
      </c>
      <c r="J24" s="10">
        <f>J25/J26</f>
        <v>0.02</v>
      </c>
      <c r="K24" s="10">
        <f t="shared" ref="K24:P24" si="13">K25/K26</f>
        <v>0.02</v>
      </c>
      <c r="L24" s="10">
        <f t="shared" si="13"/>
        <v>0.02</v>
      </c>
      <c r="M24" s="10">
        <f t="shared" si="13"/>
        <v>0.02</v>
      </c>
      <c r="N24" s="10">
        <f t="shared" si="13"/>
        <v>0.02</v>
      </c>
      <c r="O24" s="10">
        <f t="shared" si="13"/>
        <v>0.02</v>
      </c>
      <c r="P24" s="10">
        <f t="shared" si="13"/>
        <v>0.02</v>
      </c>
      <c r="Q24" s="10"/>
      <c r="R24" s="10"/>
      <c r="S24" s="10"/>
      <c r="T24" s="10"/>
      <c r="U24" s="10"/>
    </row>
    <row r="25" spans="1:21" x14ac:dyDescent="0.35">
      <c r="E25" s="1" t="s">
        <v>184</v>
      </c>
      <c r="H25" s="3"/>
      <c r="I25" s="1" t="s">
        <v>19</v>
      </c>
      <c r="J25" s="15">
        <v>0.02</v>
      </c>
      <c r="K25" s="10">
        <f>J25</f>
        <v>0.02</v>
      </c>
      <c r="L25" s="10">
        <f t="shared" ref="L25:P25" si="14">K25</f>
        <v>0.02</v>
      </c>
      <c r="M25" s="10">
        <f t="shared" si="14"/>
        <v>0.02</v>
      </c>
      <c r="N25" s="10">
        <f t="shared" si="14"/>
        <v>0.02</v>
      </c>
      <c r="O25" s="10">
        <f t="shared" si="14"/>
        <v>0.02</v>
      </c>
      <c r="P25" s="10">
        <f t="shared" si="14"/>
        <v>0.02</v>
      </c>
      <c r="Q25" s="10"/>
      <c r="R25" s="10"/>
      <c r="S25" s="10"/>
      <c r="T25" s="10"/>
      <c r="U25" s="10"/>
    </row>
    <row r="26" spans="1:21" x14ac:dyDescent="0.35">
      <c r="E26" s="30" t="s">
        <v>185</v>
      </c>
      <c r="G26" s="3"/>
      <c r="H26" s="3"/>
      <c r="I26" s="30" t="s">
        <v>186</v>
      </c>
      <c r="J26" s="3">
        <f>J18</f>
        <v>1</v>
      </c>
      <c r="K26" s="3">
        <f t="shared" ref="K26:P26" si="15">K18</f>
        <v>1</v>
      </c>
      <c r="L26" s="3">
        <f t="shared" si="15"/>
        <v>1</v>
      </c>
      <c r="M26" s="3">
        <f t="shared" si="15"/>
        <v>1</v>
      </c>
      <c r="N26" s="3">
        <f t="shared" si="15"/>
        <v>1</v>
      </c>
      <c r="O26" s="3">
        <f t="shared" si="15"/>
        <v>1</v>
      </c>
      <c r="P26" s="3">
        <f t="shared" si="15"/>
        <v>1</v>
      </c>
      <c r="Q26" s="3"/>
      <c r="R26" s="3"/>
      <c r="S26" s="3"/>
      <c r="T26" s="3"/>
      <c r="U26" s="3"/>
    </row>
  </sheetData>
  <hyperlinks>
    <hyperlink ref="V1" location="Master!A1" display="back"/>
    <hyperlink ref="J1" location="Master!A1" display="back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36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V21" sqref="V21"/>
    </sheetView>
  </sheetViews>
  <sheetFormatPr defaultColWidth="8.7265625" defaultRowHeight="14.5" x14ac:dyDescent="0.35"/>
  <cols>
    <col min="1" max="1" width="8.7265625" style="3"/>
    <col min="2" max="2" width="4.81640625" style="3" customWidth="1"/>
    <col min="3" max="3" width="6.453125" style="17" customWidth="1"/>
    <col min="4" max="4" width="3.453125" style="7" customWidth="1"/>
    <col min="5" max="5" width="5.1796875" style="3" customWidth="1"/>
    <col min="6" max="6" width="4.08984375" style="7" customWidth="1"/>
    <col min="7" max="7" width="5.08984375" style="3" customWidth="1"/>
    <col min="8" max="8" width="19.81640625" style="3" customWidth="1"/>
    <col min="9" max="9" width="11.36328125" style="3" bestFit="1" customWidth="1"/>
    <col min="10" max="16" width="9.54296875" style="3" customWidth="1"/>
    <col min="17" max="17" width="9.54296875" style="29" customWidth="1"/>
    <col min="18" max="21" width="9.54296875" style="3" customWidth="1"/>
    <col min="22" max="27" width="8.81640625" style="3" customWidth="1"/>
    <col min="28" max="16384" width="8.7265625" style="3"/>
  </cols>
  <sheetData>
    <row r="1" spans="1:22" x14ac:dyDescent="0.35">
      <c r="A1" s="7" t="s">
        <v>147</v>
      </c>
      <c r="J1" s="35" t="s">
        <v>130</v>
      </c>
      <c r="Q1" s="36"/>
      <c r="V1" s="35" t="s">
        <v>130</v>
      </c>
    </row>
    <row r="4" spans="1:22" x14ac:dyDescent="0.35">
      <c r="J4" s="2">
        <f>'Total Chain'!J$4</f>
        <v>2023</v>
      </c>
      <c r="K4" s="2">
        <f>'Total Chain'!K$4</f>
        <v>2024</v>
      </c>
      <c r="L4" s="2">
        <f>'Total Chain'!L$4</f>
        <v>2025</v>
      </c>
      <c r="M4" s="2">
        <f>'Total Chain'!M$4</f>
        <v>2026</v>
      </c>
      <c r="N4" s="2">
        <f>'Total Chain'!N$4</f>
        <v>2027</v>
      </c>
      <c r="O4" s="2">
        <f>'Total Chain'!O$4</f>
        <v>2028</v>
      </c>
      <c r="P4" s="2">
        <f>'Total Chain'!P$4</f>
        <v>2029</v>
      </c>
      <c r="Q4" s="32"/>
      <c r="R4" s="32"/>
      <c r="S4" s="32"/>
      <c r="T4" s="32"/>
      <c r="U4" s="32"/>
      <c r="V4" s="7" t="s">
        <v>129</v>
      </c>
    </row>
    <row r="5" spans="1:22" x14ac:dyDescent="0.35"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2" s="7" customFormat="1" x14ac:dyDescent="0.35">
      <c r="A6" s="3"/>
      <c r="B6" s="3"/>
      <c r="C6" s="1"/>
      <c r="D6" s="2" t="s">
        <v>97</v>
      </c>
      <c r="E6" s="1"/>
      <c r="F6" s="1"/>
      <c r="G6" s="1"/>
      <c r="H6" s="1"/>
      <c r="I6" s="2" t="s">
        <v>143</v>
      </c>
      <c r="J6" s="7">
        <f>SUM(J7:J12)</f>
        <v>-2.8209444444444438</v>
      </c>
      <c r="K6" s="7">
        <f>SUM(K7:K12)</f>
        <v>-5.5987799999999996</v>
      </c>
      <c r="L6" s="7">
        <f t="shared" ref="L6:V6" si="0">SUM(L7:L12)</f>
        <v>-5.4019764888888879</v>
      </c>
      <c r="M6" s="7">
        <f t="shared" si="0"/>
        <v>-2.1417911497777746</v>
      </c>
      <c r="N6" s="7">
        <f t="shared" si="0"/>
        <v>2.604138934877037</v>
      </c>
      <c r="O6" s="7">
        <f t="shared" si="0"/>
        <v>7.368229450168239</v>
      </c>
      <c r="P6" s="7">
        <f t="shared" si="0"/>
        <v>12.116312458922948</v>
      </c>
      <c r="V6" s="7">
        <f t="shared" si="0"/>
        <v>6.1251887608571103</v>
      </c>
    </row>
    <row r="7" spans="1:22" s="7" customFormat="1" x14ac:dyDescent="0.35">
      <c r="A7" s="3"/>
      <c r="B7" s="3"/>
      <c r="C7" s="1"/>
      <c r="D7" s="1"/>
      <c r="E7" s="1" t="s">
        <v>98</v>
      </c>
      <c r="F7" s="1"/>
      <c r="G7" s="1"/>
      <c r="H7" s="1"/>
      <c r="I7" s="30" t="s">
        <v>143</v>
      </c>
      <c r="J7" s="3">
        <f>'P&amp;L'!J37</f>
        <v>-3.6953499999999995</v>
      </c>
      <c r="K7" s="3">
        <f>'P&amp;L'!K37</f>
        <v>-6.2180654444444441</v>
      </c>
      <c r="L7" s="3">
        <f>'P&amp;L'!L37</f>
        <v>-5.6478160488888882</v>
      </c>
      <c r="M7" s="3">
        <f>'P&amp;L'!M37</f>
        <v>-1.8954742698222193</v>
      </c>
      <c r="N7" s="3">
        <f>'P&amp;L'!N37</f>
        <v>3.1892790289010371</v>
      </c>
      <c r="O7" s="3">
        <f>'P&amp;L'!O37</f>
        <v>8.0038982845305977</v>
      </c>
      <c r="P7" s="3">
        <f>'P&amp;L'!P37</f>
        <v>12.695343695863833</v>
      </c>
      <c r="Q7" s="3"/>
      <c r="R7" s="3"/>
      <c r="S7" s="3"/>
      <c r="T7" s="3"/>
      <c r="U7" s="3"/>
      <c r="V7" s="31">
        <f t="shared" ref="V7:V26" si="1">SUM(J7:U7)</f>
        <v>6.4318152461399176</v>
      </c>
    </row>
    <row r="8" spans="1:22" s="7" customFormat="1" x14ac:dyDescent="0.35">
      <c r="A8" s="3"/>
      <c r="B8" s="3"/>
      <c r="C8" s="1"/>
      <c r="D8" s="1"/>
      <c r="E8" s="1" t="s">
        <v>99</v>
      </c>
      <c r="F8" s="1"/>
      <c r="G8" s="1"/>
      <c r="H8" s="1"/>
      <c r="I8" s="30" t="s">
        <v>143</v>
      </c>
      <c r="J8" s="3">
        <f>Capex!J31</f>
        <v>1.3775999999999999</v>
      </c>
      <c r="K8" s="3">
        <f>Capex!K31</f>
        <v>2.2354559999999997</v>
      </c>
      <c r="L8" s="3">
        <f>Capex!L31</f>
        <v>3.1447833599999999</v>
      </c>
      <c r="M8" s="3">
        <f>Capex!M31</f>
        <v>4.1086703615999989</v>
      </c>
      <c r="N8" s="3">
        <f>Capex!N31</f>
        <v>5.1678905832959998</v>
      </c>
      <c r="O8" s="3">
        <f>Capex!O31</f>
        <v>6.3281640182937595</v>
      </c>
      <c r="P8" s="3">
        <f>Capex!P31</f>
        <v>7.5580538593913857</v>
      </c>
      <c r="Q8" s="3"/>
      <c r="R8" s="3"/>
      <c r="S8" s="3"/>
      <c r="T8" s="3"/>
      <c r="U8" s="3"/>
      <c r="V8" s="31">
        <f t="shared" si="1"/>
        <v>29.920618182581141</v>
      </c>
    </row>
    <row r="9" spans="1:22" x14ac:dyDescent="0.35">
      <c r="C9" s="1"/>
      <c r="D9" s="1"/>
      <c r="E9" s="30" t="s">
        <v>100</v>
      </c>
      <c r="F9" s="1"/>
      <c r="G9" s="1"/>
      <c r="H9" s="1"/>
      <c r="I9" s="30" t="s">
        <v>143</v>
      </c>
      <c r="J9" s="3">
        <f>'P&amp;L'!J25</f>
        <v>-0.3</v>
      </c>
      <c r="K9" s="3">
        <f>'P&amp;L'!K25</f>
        <v>-1.0408094444444445</v>
      </c>
      <c r="L9" s="3">
        <f>'P&amp;L'!L25</f>
        <v>-2.0925826888888888</v>
      </c>
      <c r="M9" s="3">
        <f>'P&amp;L'!M25</f>
        <v>-3.3315289082222219</v>
      </c>
      <c r="N9" s="3">
        <f>'P&amp;L'!N25</f>
        <v>-4.5745028995422219</v>
      </c>
      <c r="O9" s="3">
        <f>'P&amp;L'!O25</f>
        <v>-5.785305074878341</v>
      </c>
      <c r="P9" s="3">
        <f>'P&amp;L'!P25</f>
        <v>-6.958557318554492</v>
      </c>
      <c r="Q9" s="3"/>
      <c r="V9" s="31">
        <f t="shared" si="1"/>
        <v>-24.083286334530612</v>
      </c>
    </row>
    <row r="10" spans="1:22" s="7" customFormat="1" x14ac:dyDescent="0.35">
      <c r="A10" s="3"/>
      <c r="B10" s="3"/>
      <c r="C10" s="1"/>
      <c r="D10" s="1"/>
      <c r="E10" s="1" t="s">
        <v>101</v>
      </c>
      <c r="F10" s="1"/>
      <c r="G10" s="1"/>
      <c r="H10" s="1"/>
      <c r="I10" s="30" t="s">
        <v>143</v>
      </c>
      <c r="J10" s="3">
        <f>-'Work Cap'!J5</f>
        <v>-0.36944444444444446</v>
      </c>
      <c r="K10" s="3">
        <f>-('Work Cap'!K5-'Work Cap'!J5)</f>
        <v>-1.0461111111111112</v>
      </c>
      <c r="L10" s="3">
        <f>-('Work Cap'!L5-'Work Cap'!K5)</f>
        <v>-1.4661111111111111</v>
      </c>
      <c r="M10" s="3">
        <f>-('Work Cap'!M5-'Work Cap'!L5)</f>
        <v>-1.8608333333333329</v>
      </c>
      <c r="N10" s="3">
        <f>-('Work Cap'!N5-'Work Cap'!M5)</f>
        <v>-2.1427777777777779</v>
      </c>
      <c r="O10" s="3">
        <f>-('Work Cap'!O5-'Work Cap'!N5)</f>
        <v>-2.1427777777777797</v>
      </c>
      <c r="P10" s="3">
        <f>-('Work Cap'!P5-'Work Cap'!O5)</f>
        <v>-2.1427777777777788</v>
      </c>
      <c r="Q10" s="3"/>
      <c r="R10" s="3"/>
      <c r="S10" s="3"/>
      <c r="T10" s="3"/>
      <c r="U10" s="3"/>
      <c r="V10" s="31">
        <f t="shared" si="1"/>
        <v>-11.170833333333336</v>
      </c>
    </row>
    <row r="11" spans="1:22" x14ac:dyDescent="0.35">
      <c r="C11" s="1"/>
      <c r="D11" s="1"/>
      <c r="E11" s="1" t="s">
        <v>102</v>
      </c>
      <c r="F11" s="1"/>
      <c r="G11" s="1"/>
      <c r="H11" s="1"/>
      <c r="I11" s="30" t="s">
        <v>143</v>
      </c>
      <c r="J11" s="3">
        <f>-'Work Cap'!J9</f>
        <v>-0.27708333333333335</v>
      </c>
      <c r="K11" s="3">
        <f>-('Work Cap'!K9-'Work Cap'!J9)</f>
        <v>-0.78458333333333319</v>
      </c>
      <c r="L11" s="3">
        <f>-('Work Cap'!L9-'Work Cap'!K9)</f>
        <v>-1.0995833333333338</v>
      </c>
      <c r="M11" s="3">
        <f>-('Work Cap'!M9-'Work Cap'!L9)</f>
        <v>-1.3956249999999994</v>
      </c>
      <c r="N11" s="3">
        <f>-('Work Cap'!N9-'Work Cap'!M9)</f>
        <v>-1.6070833333333336</v>
      </c>
      <c r="O11" s="3">
        <f>-('Work Cap'!O9-'Work Cap'!N9)</f>
        <v>-1.6070833333333336</v>
      </c>
      <c r="P11" s="3">
        <f>-('Work Cap'!P9-'Work Cap'!O9)</f>
        <v>-1.6070833333333354</v>
      </c>
      <c r="Q11" s="3"/>
      <c r="V11" s="31">
        <f t="shared" si="1"/>
        <v>-8.3781250000000025</v>
      </c>
    </row>
    <row r="12" spans="1:22" s="7" customFormat="1" x14ac:dyDescent="0.35">
      <c r="A12" s="3"/>
      <c r="B12" s="3"/>
      <c r="C12" s="2"/>
      <c r="D12" s="1"/>
      <c r="E12" s="1" t="s">
        <v>103</v>
      </c>
      <c r="F12" s="1"/>
      <c r="G12" s="1"/>
      <c r="H12" s="1"/>
      <c r="I12" s="30" t="s">
        <v>143</v>
      </c>
      <c r="J12" s="3">
        <f>'Work Cap'!J13</f>
        <v>0.44333333333333341</v>
      </c>
      <c r="K12" s="3">
        <f>'Work Cap'!K13-'Work Cap'!J13</f>
        <v>1.2553333333333332</v>
      </c>
      <c r="L12" s="3">
        <f>'Work Cap'!L13-'Work Cap'!K13</f>
        <v>1.7593333333333345</v>
      </c>
      <c r="M12" s="3">
        <f>'Work Cap'!M13-'Work Cap'!L13</f>
        <v>2.2329999999999997</v>
      </c>
      <c r="N12" s="3">
        <f>'Work Cap'!N13-'Work Cap'!M13</f>
        <v>2.5713333333333335</v>
      </c>
      <c r="O12" s="3">
        <f>'Work Cap'!O13-'Work Cap'!N13</f>
        <v>2.5713333333333352</v>
      </c>
      <c r="P12" s="3">
        <f>'Work Cap'!P13-'Work Cap'!O13</f>
        <v>2.5713333333333352</v>
      </c>
      <c r="Q12" s="3"/>
      <c r="R12" s="3"/>
      <c r="S12" s="3"/>
      <c r="T12" s="3"/>
      <c r="U12" s="3"/>
      <c r="V12" s="31">
        <f t="shared" si="1"/>
        <v>13.405000000000005</v>
      </c>
    </row>
    <row r="13" spans="1:22" x14ac:dyDescent="0.35">
      <c r="D13" s="2"/>
      <c r="E13" s="1"/>
      <c r="F13" s="1"/>
    </row>
    <row r="14" spans="1:22" x14ac:dyDescent="0.35">
      <c r="D14" s="2" t="s">
        <v>104</v>
      </c>
      <c r="E14" s="1"/>
      <c r="F14" s="1"/>
      <c r="G14" s="1"/>
      <c r="H14" s="1"/>
      <c r="I14" s="2" t="s">
        <v>143</v>
      </c>
      <c r="J14" s="7">
        <f>SUM(J15:J19)</f>
        <v>-20.96</v>
      </c>
      <c r="K14" s="7">
        <f t="shared" ref="K14:P14" si="2">SUM(K15:K19)</f>
        <v>-14.297599999999999</v>
      </c>
      <c r="L14" s="7">
        <f t="shared" si="2"/>
        <v>-15.155455999999999</v>
      </c>
      <c r="M14" s="7">
        <f t="shared" si="2"/>
        <v>-16.06478336</v>
      </c>
      <c r="N14" s="7">
        <f t="shared" si="2"/>
        <v>-17.6536703616</v>
      </c>
      <c r="O14" s="7">
        <f t="shared" si="2"/>
        <v>-19.337890583296002</v>
      </c>
      <c r="P14" s="7">
        <f t="shared" si="2"/>
        <v>-20.49816401829376</v>
      </c>
      <c r="Q14" s="7"/>
      <c r="R14" s="7"/>
      <c r="S14" s="7"/>
      <c r="T14" s="7"/>
      <c r="U14" s="7"/>
      <c r="V14" s="7">
        <f t="shared" si="1"/>
        <v>-123.96756432318976</v>
      </c>
    </row>
    <row r="15" spans="1:22" x14ac:dyDescent="0.35">
      <c r="C15" s="3"/>
      <c r="D15" s="1"/>
      <c r="E15" s="1" t="s">
        <v>105</v>
      </c>
      <c r="F15" s="1"/>
      <c r="G15" s="1"/>
      <c r="H15" s="1"/>
      <c r="I15" s="30" t="s">
        <v>143</v>
      </c>
      <c r="J15" s="3">
        <f>-Capex!J20</f>
        <v>-20.96</v>
      </c>
      <c r="K15" s="3">
        <f>-Capex!K20</f>
        <v>-14.297599999999999</v>
      </c>
      <c r="L15" s="3">
        <f>-Capex!L20</f>
        <v>-15.155455999999999</v>
      </c>
      <c r="M15" s="3">
        <f>-Capex!M20</f>
        <v>-16.06478336</v>
      </c>
      <c r="N15" s="3">
        <f>-Capex!N20</f>
        <v>-17.6536703616</v>
      </c>
      <c r="O15" s="3">
        <f>-Capex!O20</f>
        <v>-19.337890583296002</v>
      </c>
      <c r="P15" s="3">
        <f>-Capex!P20</f>
        <v>-20.49816401829376</v>
      </c>
      <c r="Q15" s="3"/>
      <c r="V15" s="31">
        <f t="shared" si="1"/>
        <v>-123.96756432318976</v>
      </c>
    </row>
    <row r="16" spans="1:22" x14ac:dyDescent="0.35">
      <c r="D16" s="1"/>
      <c r="E16" s="1" t="s">
        <v>106</v>
      </c>
      <c r="F16" s="1"/>
      <c r="G16" s="1"/>
      <c r="H16" s="1"/>
      <c r="I16" s="30" t="s">
        <v>143</v>
      </c>
      <c r="J16" s="16"/>
      <c r="K16" s="3">
        <f>J16</f>
        <v>0</v>
      </c>
      <c r="L16" s="3">
        <f t="shared" ref="L16:P19" si="3">K16</f>
        <v>0</v>
      </c>
      <c r="M16" s="3">
        <f t="shared" si="3"/>
        <v>0</v>
      </c>
      <c r="N16" s="3">
        <f t="shared" si="3"/>
        <v>0</v>
      </c>
      <c r="O16" s="3">
        <f t="shared" si="3"/>
        <v>0</v>
      </c>
      <c r="P16" s="3">
        <f t="shared" si="3"/>
        <v>0</v>
      </c>
      <c r="Q16" s="3"/>
      <c r="V16" s="31">
        <f t="shared" si="1"/>
        <v>0</v>
      </c>
    </row>
    <row r="17" spans="4:22" x14ac:dyDescent="0.35">
      <c r="D17" s="1"/>
      <c r="E17" s="1" t="s">
        <v>107</v>
      </c>
      <c r="F17" s="1"/>
      <c r="G17" s="1"/>
      <c r="H17" s="1"/>
      <c r="I17" s="30" t="s">
        <v>143</v>
      </c>
      <c r="J17" s="16"/>
      <c r="K17" s="3">
        <f>J17</f>
        <v>0</v>
      </c>
      <c r="L17" s="3">
        <f t="shared" si="3"/>
        <v>0</v>
      </c>
      <c r="M17" s="3">
        <f t="shared" si="3"/>
        <v>0</v>
      </c>
      <c r="N17" s="3">
        <f t="shared" si="3"/>
        <v>0</v>
      </c>
      <c r="O17" s="3">
        <f t="shared" si="3"/>
        <v>0</v>
      </c>
      <c r="P17" s="3">
        <f t="shared" si="3"/>
        <v>0</v>
      </c>
      <c r="Q17" s="3"/>
      <c r="V17" s="31">
        <f t="shared" si="1"/>
        <v>0</v>
      </c>
    </row>
    <row r="18" spans="4:22" x14ac:dyDescent="0.35">
      <c r="D18" s="1"/>
      <c r="E18" s="1" t="s">
        <v>108</v>
      </c>
      <c r="F18" s="1"/>
      <c r="G18" s="1"/>
      <c r="H18" s="1"/>
      <c r="I18" s="30" t="s">
        <v>143</v>
      </c>
      <c r="J18" s="16"/>
      <c r="K18" s="3">
        <f>J18</f>
        <v>0</v>
      </c>
      <c r="L18" s="3">
        <f t="shared" si="3"/>
        <v>0</v>
      </c>
      <c r="M18" s="3">
        <f t="shared" si="3"/>
        <v>0</v>
      </c>
      <c r="N18" s="3">
        <f t="shared" si="3"/>
        <v>0</v>
      </c>
      <c r="O18" s="3">
        <f t="shared" si="3"/>
        <v>0</v>
      </c>
      <c r="P18" s="3">
        <f t="shared" si="3"/>
        <v>0</v>
      </c>
      <c r="Q18" s="3"/>
      <c r="V18" s="31">
        <f t="shared" si="1"/>
        <v>0</v>
      </c>
    </row>
    <row r="19" spans="4:22" x14ac:dyDescent="0.35">
      <c r="D19" s="1"/>
      <c r="E19" s="1" t="s">
        <v>37</v>
      </c>
      <c r="F19" s="1" t="s">
        <v>109</v>
      </c>
      <c r="G19" s="1"/>
      <c r="H19" s="1"/>
      <c r="I19" s="30" t="s">
        <v>143</v>
      </c>
      <c r="J19" s="16"/>
      <c r="K19" s="3">
        <f>J19</f>
        <v>0</v>
      </c>
      <c r="L19" s="3">
        <f t="shared" si="3"/>
        <v>0</v>
      </c>
      <c r="M19" s="3">
        <f t="shared" si="3"/>
        <v>0</v>
      </c>
      <c r="N19" s="3">
        <f t="shared" si="3"/>
        <v>0</v>
      </c>
      <c r="O19" s="3">
        <f t="shared" si="3"/>
        <v>0</v>
      </c>
      <c r="P19" s="3">
        <f t="shared" si="3"/>
        <v>0</v>
      </c>
      <c r="Q19" s="3"/>
      <c r="V19" s="31">
        <f t="shared" si="1"/>
        <v>0</v>
      </c>
    </row>
    <row r="21" spans="4:22" x14ac:dyDescent="0.35">
      <c r="D21" s="2" t="s">
        <v>110</v>
      </c>
      <c r="E21" s="1"/>
      <c r="F21" s="1"/>
      <c r="G21" s="1"/>
      <c r="I21" s="2" t="s">
        <v>143</v>
      </c>
      <c r="J21" s="7">
        <f>SUM(J22:J26)</f>
        <v>24.7</v>
      </c>
      <c r="K21" s="7">
        <f>SUM(K22:K26)</f>
        <v>18.8</v>
      </c>
      <c r="L21" s="7">
        <f t="shared" ref="L21:P21" si="4">SUM(L22:L26)</f>
        <v>17.759190555555556</v>
      </c>
      <c r="M21" s="7">
        <f t="shared" si="4"/>
        <v>16.707417311111108</v>
      </c>
      <c r="N21" s="7">
        <f t="shared" si="4"/>
        <v>15.468471091777777</v>
      </c>
      <c r="O21" s="7">
        <f t="shared" si="4"/>
        <v>14.225497100457778</v>
      </c>
      <c r="P21" s="7">
        <f t="shared" si="4"/>
        <v>13.01469492512166</v>
      </c>
      <c r="Q21" s="7"/>
      <c r="R21" s="7"/>
      <c r="S21" s="7"/>
      <c r="T21" s="7"/>
      <c r="U21" s="7"/>
      <c r="V21" s="7">
        <f t="shared" si="1"/>
        <v>120.67527098402387</v>
      </c>
    </row>
    <row r="22" spans="4:22" x14ac:dyDescent="0.35">
      <c r="D22" s="1"/>
      <c r="E22" s="1" t="s">
        <v>111</v>
      </c>
      <c r="F22" s="1"/>
      <c r="G22" s="1"/>
      <c r="I22" s="30" t="s">
        <v>143</v>
      </c>
      <c r="J22" s="16">
        <v>15</v>
      </c>
      <c r="Q22" s="3"/>
      <c r="V22" s="31">
        <f t="shared" si="1"/>
        <v>15</v>
      </c>
    </row>
    <row r="23" spans="4:22" x14ac:dyDescent="0.35">
      <c r="D23" s="2"/>
      <c r="E23" s="1" t="s">
        <v>112</v>
      </c>
      <c r="F23" s="1"/>
      <c r="G23" s="1"/>
      <c r="I23" s="30" t="s">
        <v>143</v>
      </c>
      <c r="J23" s="3">
        <f>Debt!J8</f>
        <v>10</v>
      </c>
      <c r="K23" s="3">
        <f>Debt!K8</f>
        <v>20</v>
      </c>
      <c r="L23" s="3">
        <f>Debt!L8</f>
        <v>20</v>
      </c>
      <c r="M23" s="3">
        <f>Debt!M8</f>
        <v>20</v>
      </c>
      <c r="N23" s="3">
        <f>Debt!N8</f>
        <v>20</v>
      </c>
      <c r="O23" s="3">
        <f>Debt!O8</f>
        <v>20</v>
      </c>
      <c r="P23" s="3">
        <f>Debt!P8</f>
        <v>20</v>
      </c>
      <c r="Q23" s="3"/>
      <c r="V23" s="31">
        <f t="shared" si="1"/>
        <v>130</v>
      </c>
    </row>
    <row r="24" spans="4:22" x14ac:dyDescent="0.35">
      <c r="D24" s="1"/>
      <c r="E24" s="1" t="s">
        <v>113</v>
      </c>
      <c r="F24" s="1"/>
      <c r="G24" s="1"/>
      <c r="I24" s="30" t="s">
        <v>143</v>
      </c>
      <c r="J24" s="3">
        <f>-Debt!J11</f>
        <v>0</v>
      </c>
      <c r="K24" s="3">
        <f>-Debt!K11</f>
        <v>0</v>
      </c>
      <c r="L24" s="3">
        <f>-Debt!L11</f>
        <v>0</v>
      </c>
      <c r="M24" s="3">
        <f>-Debt!M11</f>
        <v>0</v>
      </c>
      <c r="N24" s="3">
        <f>-Debt!N11</f>
        <v>0</v>
      </c>
      <c r="O24" s="3">
        <f>-Debt!O11</f>
        <v>0</v>
      </c>
      <c r="P24" s="3">
        <f>-Debt!P11</f>
        <v>0</v>
      </c>
      <c r="Q24" s="3"/>
      <c r="V24" s="31">
        <f t="shared" si="1"/>
        <v>0</v>
      </c>
    </row>
    <row r="25" spans="4:22" x14ac:dyDescent="0.35">
      <c r="D25" s="1"/>
      <c r="E25" s="1" t="s">
        <v>78</v>
      </c>
      <c r="F25" s="1"/>
      <c r="G25" s="1"/>
      <c r="I25" s="30" t="s">
        <v>143</v>
      </c>
      <c r="J25" s="3">
        <f>-Debt!J12</f>
        <v>-0.3</v>
      </c>
      <c r="K25" s="3">
        <f>-Debt!K12</f>
        <v>-1.2</v>
      </c>
      <c r="L25" s="3">
        <f>-Debt!L12</f>
        <v>-2.4</v>
      </c>
      <c r="M25" s="3">
        <f>-Debt!M12</f>
        <v>-3.5999999999999996</v>
      </c>
      <c r="N25" s="3">
        <f>-Debt!N12</f>
        <v>-4.8</v>
      </c>
      <c r="O25" s="3">
        <f>-Debt!O12</f>
        <v>-6</v>
      </c>
      <c r="P25" s="3">
        <f>-Debt!P12</f>
        <v>-7.1999999999999993</v>
      </c>
      <c r="Q25" s="3"/>
      <c r="V25" s="31">
        <f t="shared" si="1"/>
        <v>-25.5</v>
      </c>
    </row>
    <row r="26" spans="4:22" x14ac:dyDescent="0.35">
      <c r="D26" s="1"/>
      <c r="E26" s="1" t="s">
        <v>114</v>
      </c>
      <c r="F26" s="1"/>
      <c r="G26" s="1"/>
      <c r="I26" s="30" t="s">
        <v>143</v>
      </c>
      <c r="K26" s="3">
        <f>Debt!J20</f>
        <v>0</v>
      </c>
      <c r="L26" s="3">
        <f>Debt!K20</f>
        <v>0.15919055555555556</v>
      </c>
      <c r="M26" s="3">
        <f>Debt!L20</f>
        <v>0.30741731111111109</v>
      </c>
      <c r="N26" s="3">
        <f>Debt!M20</f>
        <v>0.26847109177777784</v>
      </c>
      <c r="O26" s="3">
        <f>Debt!N20</f>
        <v>0.22549710045777788</v>
      </c>
      <c r="P26" s="3">
        <f>Debt!O20</f>
        <v>0.21469492512165936</v>
      </c>
      <c r="Q26" s="3"/>
      <c r="V26" s="31">
        <f t="shared" si="1"/>
        <v>1.1752709840238817</v>
      </c>
    </row>
    <row r="29" spans="4:22" x14ac:dyDescent="0.35">
      <c r="D29" s="2" t="s">
        <v>115</v>
      </c>
      <c r="E29" s="1"/>
      <c r="F29" s="1"/>
      <c r="I29" s="2" t="s">
        <v>143</v>
      </c>
      <c r="J29" s="7">
        <f>SUM(J30:J32)</f>
        <v>0.91905555555555551</v>
      </c>
      <c r="K29" s="7">
        <f t="shared" ref="K29:P29" si="5">SUM(K30:K32)</f>
        <v>-1.0963799999999999</v>
      </c>
      <c r="L29" s="7">
        <f t="shared" si="5"/>
        <v>-2.7982419333333297</v>
      </c>
      <c r="M29" s="7">
        <f t="shared" si="5"/>
        <v>-1.4991571986666656</v>
      </c>
      <c r="N29" s="7">
        <f t="shared" si="5"/>
        <v>0.41893966505481472</v>
      </c>
      <c r="O29" s="7">
        <f t="shared" si="5"/>
        <v>2.2558359673300163</v>
      </c>
      <c r="P29" s="7">
        <f t="shared" si="5"/>
        <v>4.6328433657508477</v>
      </c>
      <c r="Q29" s="7"/>
      <c r="R29" s="7"/>
      <c r="S29" s="7"/>
      <c r="T29" s="7"/>
      <c r="U29" s="7"/>
      <c r="V29" s="7">
        <f t="shared" ref="V29:V32" si="6">SUM(J29:U29)</f>
        <v>2.832895421691239</v>
      </c>
    </row>
    <row r="30" spans="4:22" x14ac:dyDescent="0.35">
      <c r="D30" s="1"/>
      <c r="E30" s="30" t="s">
        <v>97</v>
      </c>
      <c r="F30" s="1"/>
      <c r="I30" s="30" t="s">
        <v>143</v>
      </c>
      <c r="J30" s="3">
        <f t="shared" ref="J30:P30" si="7">J6</f>
        <v>-2.8209444444444438</v>
      </c>
      <c r="K30" s="3">
        <f t="shared" si="7"/>
        <v>-5.5987799999999996</v>
      </c>
      <c r="L30" s="3">
        <f t="shared" si="7"/>
        <v>-5.4019764888888879</v>
      </c>
      <c r="M30" s="3">
        <f t="shared" si="7"/>
        <v>-2.1417911497777746</v>
      </c>
      <c r="N30" s="3">
        <f t="shared" si="7"/>
        <v>2.604138934877037</v>
      </c>
      <c r="O30" s="3">
        <f t="shared" si="7"/>
        <v>7.368229450168239</v>
      </c>
      <c r="P30" s="3">
        <f t="shared" si="7"/>
        <v>12.116312458922948</v>
      </c>
      <c r="Q30" s="3"/>
      <c r="V30" s="31">
        <f t="shared" si="6"/>
        <v>6.1251887608571183</v>
      </c>
    </row>
    <row r="31" spans="4:22" x14ac:dyDescent="0.35">
      <c r="D31" s="1"/>
      <c r="E31" s="30" t="s">
        <v>104</v>
      </c>
      <c r="F31" s="1"/>
      <c r="I31" s="30" t="s">
        <v>143</v>
      </c>
      <c r="J31" s="3">
        <f t="shared" ref="J31:P31" si="8">J14</f>
        <v>-20.96</v>
      </c>
      <c r="K31" s="3">
        <f t="shared" si="8"/>
        <v>-14.297599999999999</v>
      </c>
      <c r="L31" s="3">
        <f t="shared" si="8"/>
        <v>-15.155455999999999</v>
      </c>
      <c r="M31" s="3">
        <f t="shared" si="8"/>
        <v>-16.06478336</v>
      </c>
      <c r="N31" s="3">
        <f t="shared" si="8"/>
        <v>-17.6536703616</v>
      </c>
      <c r="O31" s="3">
        <f t="shared" si="8"/>
        <v>-19.337890583296002</v>
      </c>
      <c r="P31" s="3">
        <f t="shared" si="8"/>
        <v>-20.49816401829376</v>
      </c>
      <c r="Q31" s="3"/>
      <c r="V31" s="31">
        <f t="shared" si="6"/>
        <v>-123.96756432318976</v>
      </c>
    </row>
    <row r="32" spans="4:22" x14ac:dyDescent="0.35">
      <c r="D32" s="1"/>
      <c r="E32" s="30" t="s">
        <v>110</v>
      </c>
      <c r="F32" s="1"/>
      <c r="I32" s="30" t="s">
        <v>143</v>
      </c>
      <c r="J32" s="3">
        <f t="shared" ref="J32:P32" si="9">J21</f>
        <v>24.7</v>
      </c>
      <c r="K32" s="3">
        <f t="shared" si="9"/>
        <v>18.8</v>
      </c>
      <c r="L32" s="3">
        <f t="shared" si="9"/>
        <v>17.759190555555556</v>
      </c>
      <c r="M32" s="3">
        <f t="shared" si="9"/>
        <v>16.707417311111108</v>
      </c>
      <c r="N32" s="3">
        <f t="shared" si="9"/>
        <v>15.468471091777777</v>
      </c>
      <c r="O32" s="3">
        <f t="shared" si="9"/>
        <v>14.225497100457778</v>
      </c>
      <c r="P32" s="3">
        <f t="shared" si="9"/>
        <v>13.01469492512166</v>
      </c>
      <c r="Q32" s="3"/>
      <c r="V32" s="31">
        <f t="shared" si="6"/>
        <v>120.67527098402387</v>
      </c>
    </row>
    <row r="33" spans="4:22" x14ac:dyDescent="0.35">
      <c r="D33" s="1"/>
      <c r="E33" s="1"/>
      <c r="F33" s="1"/>
      <c r="V33" s="31"/>
    </row>
    <row r="34" spans="4:22" x14ac:dyDescent="0.35">
      <c r="D34" s="2" t="s">
        <v>116</v>
      </c>
      <c r="E34" s="1"/>
      <c r="F34" s="1"/>
      <c r="I34" s="2" t="s">
        <v>143</v>
      </c>
      <c r="J34" s="7">
        <f>J35+J36</f>
        <v>15.919055555555556</v>
      </c>
      <c r="K34" s="7">
        <f t="shared" ref="K34:P34" si="10">K35+K36</f>
        <v>14.822675555555556</v>
      </c>
      <c r="L34" s="7">
        <f t="shared" si="10"/>
        <v>12.024433622222226</v>
      </c>
      <c r="M34" s="7">
        <f t="shared" si="10"/>
        <v>10.52527642355556</v>
      </c>
      <c r="N34" s="7">
        <f t="shared" si="10"/>
        <v>10.944216088610375</v>
      </c>
      <c r="O34" s="7">
        <f t="shared" si="10"/>
        <v>13.200052055940391</v>
      </c>
      <c r="P34" s="7">
        <f t="shared" si="10"/>
        <v>17.832895421691241</v>
      </c>
      <c r="Q34" s="7"/>
      <c r="R34" s="7"/>
      <c r="S34" s="7"/>
      <c r="T34" s="7"/>
      <c r="U34" s="7"/>
      <c r="V34" s="31"/>
    </row>
    <row r="35" spans="4:22" x14ac:dyDescent="0.35">
      <c r="D35" s="1"/>
      <c r="E35" s="1" t="s">
        <v>117</v>
      </c>
      <c r="F35" s="1"/>
      <c r="I35" s="30" t="s">
        <v>143</v>
      </c>
      <c r="J35" s="16">
        <v>15</v>
      </c>
      <c r="K35" s="3">
        <f>J34</f>
        <v>15.919055555555556</v>
      </c>
      <c r="L35" s="3">
        <f t="shared" ref="L35:P35" si="11">K34</f>
        <v>14.822675555555556</v>
      </c>
      <c r="M35" s="3">
        <f t="shared" si="11"/>
        <v>12.024433622222226</v>
      </c>
      <c r="N35" s="3">
        <f t="shared" si="11"/>
        <v>10.52527642355556</v>
      </c>
      <c r="O35" s="3">
        <f t="shared" si="11"/>
        <v>10.944216088610375</v>
      </c>
      <c r="P35" s="3">
        <f t="shared" si="11"/>
        <v>13.200052055940391</v>
      </c>
      <c r="Q35" s="3"/>
    </row>
    <row r="36" spans="4:22" x14ac:dyDescent="0.35">
      <c r="D36" s="1"/>
      <c r="E36" s="1" t="s">
        <v>118</v>
      </c>
      <c r="F36" s="1"/>
      <c r="I36" s="30" t="s">
        <v>143</v>
      </c>
      <c r="J36" s="3">
        <f>J29</f>
        <v>0.91905555555555551</v>
      </c>
      <c r="K36" s="3">
        <f t="shared" ref="K36:P36" si="12">K29</f>
        <v>-1.0963799999999999</v>
      </c>
      <c r="L36" s="3">
        <f t="shared" si="12"/>
        <v>-2.7982419333333297</v>
      </c>
      <c r="M36" s="3">
        <f t="shared" si="12"/>
        <v>-1.4991571986666656</v>
      </c>
      <c r="N36" s="3">
        <f t="shared" si="12"/>
        <v>0.41893966505481472</v>
      </c>
      <c r="O36" s="3">
        <f t="shared" si="12"/>
        <v>2.2558359673300163</v>
      </c>
      <c r="P36" s="3">
        <f t="shared" si="12"/>
        <v>4.6328433657508477</v>
      </c>
      <c r="Q36" s="3"/>
    </row>
  </sheetData>
  <hyperlinks>
    <hyperlink ref="V1" location="Master!A1" display="back"/>
    <hyperlink ref="J1" location="Master!A1" display="back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Shop</vt:lpstr>
      <vt:lpstr>Total Chain</vt:lpstr>
      <vt:lpstr>HQ</vt:lpstr>
      <vt:lpstr>Capex</vt:lpstr>
      <vt:lpstr>P&amp;L</vt:lpstr>
      <vt:lpstr>Work Cap</vt:lpstr>
      <vt:lpstr>Debt</vt:lpstr>
      <vt:lpstr>CF</vt:lpstr>
      <vt:lpstr>Parameteres</vt:lpstr>
      <vt:lpstr>Labels</vt:lpstr>
      <vt:lpstr>Links</vt:lpstr>
      <vt:lpstr>Slide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2021-10-13T17:55:04Z</dcterms:modified>
</cp:coreProperties>
</file>