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65ABC061-A1CB-4F49-934D-40ADEB03EEF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ster" sheetId="4" r:id="rId1"/>
    <sheet name="Hotel" sheetId="1" r:id="rId2"/>
    <sheet name="HQ" sheetId="7" r:id="rId3"/>
    <sheet name="Loan" sheetId="8" r:id="rId4"/>
    <sheet name="Total Chain" sheetId="2" r:id="rId5"/>
    <sheet name="Value" sheetId="9" r:id="rId6"/>
    <sheet name="Slide" sheetId="6" r:id="rId7"/>
    <sheet name="Links" sheetId="5" r:id="rId8"/>
    <sheet name="Categories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9" l="1"/>
  <c r="S20" i="9"/>
  <c r="R20" i="9"/>
  <c r="Q20" i="9"/>
  <c r="P20" i="9"/>
  <c r="O20" i="9"/>
  <c r="N20" i="9"/>
  <c r="M20" i="9"/>
  <c r="L20" i="9"/>
  <c r="K20" i="9"/>
  <c r="J20" i="9"/>
  <c r="I20" i="9"/>
  <c r="F14" i="4"/>
  <c r="F12" i="4"/>
  <c r="F11" i="4"/>
  <c r="I13" i="7"/>
  <c r="O12" i="7"/>
  <c r="O10" i="7"/>
  <c r="J10" i="9"/>
  <c r="K10" i="9" s="1"/>
  <c r="L10" i="9" s="1"/>
  <c r="T34" i="7"/>
  <c r="S34" i="7"/>
  <c r="R34" i="7"/>
  <c r="Q34" i="7"/>
  <c r="P34" i="7"/>
  <c r="K12" i="7"/>
  <c r="I11" i="7"/>
  <c r="J16" i="7"/>
  <c r="J14" i="7" s="1"/>
  <c r="I14" i="7"/>
  <c r="J13" i="7"/>
  <c r="J11" i="7" s="1"/>
  <c r="M18" i="7"/>
  <c r="N18" i="7" s="1"/>
  <c r="K18" i="7"/>
  <c r="M22" i="7"/>
  <c r="N22" i="7" s="1"/>
  <c r="J23" i="7"/>
  <c r="I21" i="7"/>
  <c r="I106" i="1"/>
  <c r="I99" i="1"/>
  <c r="I9" i="1"/>
  <c r="M10" i="9" l="1"/>
  <c r="K13" i="7"/>
  <c r="K11" i="7" s="1"/>
  <c r="K16" i="7"/>
  <c r="L16" i="7" s="1"/>
  <c r="M16" i="7" s="1"/>
  <c r="N16" i="7" s="1"/>
  <c r="O16" i="7" s="1"/>
  <c r="P16" i="7" s="1"/>
  <c r="Q16" i="7" s="1"/>
  <c r="R16" i="7" s="1"/>
  <c r="S16" i="7" s="1"/>
  <c r="T16" i="7" s="1"/>
  <c r="I77" i="2"/>
  <c r="K32" i="8"/>
  <c r="L32" i="8" s="1"/>
  <c r="M32" i="8" s="1"/>
  <c r="J84" i="2"/>
  <c r="K84" i="2"/>
  <c r="L84" i="2"/>
  <c r="M84" i="2"/>
  <c r="N84" i="2"/>
  <c r="O84" i="2"/>
  <c r="P84" i="2"/>
  <c r="Q84" i="2"/>
  <c r="R84" i="2"/>
  <c r="S84" i="2"/>
  <c r="T84" i="2"/>
  <c r="I84" i="2"/>
  <c r="K27" i="8"/>
  <c r="L27" i="8" s="1"/>
  <c r="J27" i="8"/>
  <c r="I25" i="8"/>
  <c r="K15" i="8"/>
  <c r="L15" i="8" s="1"/>
  <c r="M15" i="8" s="1"/>
  <c r="J15" i="8"/>
  <c r="T9" i="8"/>
  <c r="S9" i="8"/>
  <c r="R9" i="8"/>
  <c r="Q9" i="8"/>
  <c r="P9" i="8"/>
  <c r="O9" i="8"/>
  <c r="N9" i="8"/>
  <c r="M9" i="8"/>
  <c r="L9" i="8"/>
  <c r="K9" i="8"/>
  <c r="J9" i="8"/>
  <c r="I9" i="8"/>
  <c r="S68" i="2"/>
  <c r="R68" i="2"/>
  <c r="Q68" i="2"/>
  <c r="P68" i="2"/>
  <c r="O68" i="2"/>
  <c r="N68" i="2"/>
  <c r="M68" i="2"/>
  <c r="L68" i="2"/>
  <c r="K68" i="2"/>
  <c r="J68" i="2"/>
  <c r="I68" i="2"/>
  <c r="R67" i="2"/>
  <c r="Q67" i="2"/>
  <c r="P67" i="2"/>
  <c r="O67" i="2"/>
  <c r="N67" i="2"/>
  <c r="M67" i="2"/>
  <c r="L67" i="2"/>
  <c r="K67" i="2"/>
  <c r="J67" i="2"/>
  <c r="I67" i="2"/>
  <c r="Q66" i="2"/>
  <c r="P66" i="2"/>
  <c r="O66" i="2"/>
  <c r="N66" i="2"/>
  <c r="M66" i="2"/>
  <c r="L66" i="2"/>
  <c r="K66" i="2"/>
  <c r="J66" i="2"/>
  <c r="I66" i="2"/>
  <c r="P65" i="2"/>
  <c r="O65" i="2"/>
  <c r="N65" i="2"/>
  <c r="M65" i="2"/>
  <c r="L65" i="2"/>
  <c r="K65" i="2"/>
  <c r="J65" i="2"/>
  <c r="I65" i="2"/>
  <c r="O64" i="2"/>
  <c r="N64" i="2"/>
  <c r="M64" i="2"/>
  <c r="L64" i="2"/>
  <c r="K64" i="2"/>
  <c r="J64" i="2"/>
  <c r="I64" i="2"/>
  <c r="N63" i="2"/>
  <c r="M63" i="2"/>
  <c r="L63" i="2"/>
  <c r="K63" i="2"/>
  <c r="J63" i="2"/>
  <c r="I63" i="2"/>
  <c r="M62" i="2"/>
  <c r="L62" i="2"/>
  <c r="K62" i="2"/>
  <c r="J62" i="2"/>
  <c r="I62" i="2"/>
  <c r="L61" i="2"/>
  <c r="K61" i="2"/>
  <c r="J61" i="2"/>
  <c r="I61" i="2"/>
  <c r="K60" i="2"/>
  <c r="J60" i="2"/>
  <c r="I60" i="2"/>
  <c r="J59" i="2"/>
  <c r="I59" i="2"/>
  <c r="I58" i="2"/>
  <c r="I19" i="7"/>
  <c r="J19" i="7"/>
  <c r="J17" i="7" s="1"/>
  <c r="I17" i="7"/>
  <c r="I10" i="7"/>
  <c r="J10" i="7" s="1"/>
  <c r="P20" i="7"/>
  <c r="Q20" i="7" s="1"/>
  <c r="R20" i="7" s="1"/>
  <c r="S20" i="7" s="1"/>
  <c r="T20" i="7" s="1"/>
  <c r="P22" i="7"/>
  <c r="P18" i="7"/>
  <c r="R18" i="7" s="1"/>
  <c r="P15" i="7"/>
  <c r="Q15" i="7" s="1"/>
  <c r="R15" i="7" s="1"/>
  <c r="P12" i="7"/>
  <c r="O34" i="7"/>
  <c r="N34" i="7"/>
  <c r="M34" i="7"/>
  <c r="L34" i="7"/>
  <c r="K34" i="7"/>
  <c r="J34" i="7"/>
  <c r="J33" i="7" s="1"/>
  <c r="N33" i="7"/>
  <c r="K33" i="7"/>
  <c r="I33" i="7"/>
  <c r="O35" i="7"/>
  <c r="L35" i="7"/>
  <c r="M35" i="7" s="1"/>
  <c r="I34" i="7"/>
  <c r="M31" i="7"/>
  <c r="N31" i="7" s="1"/>
  <c r="J31" i="7"/>
  <c r="M28" i="7"/>
  <c r="N28" i="7" s="1"/>
  <c r="J28" i="7"/>
  <c r="M25" i="7"/>
  <c r="N25" i="7" s="1"/>
  <c r="J25" i="7"/>
  <c r="K23" i="7"/>
  <c r="K21" i="7" s="1"/>
  <c r="J21" i="7"/>
  <c r="N15" i="8" l="1"/>
  <c r="O15" i="8" s="1"/>
  <c r="Q15" i="8" s="1"/>
  <c r="R15" i="8" s="1"/>
  <c r="S15" i="8" s="1"/>
  <c r="T15" i="8" s="1"/>
  <c r="N10" i="9"/>
  <c r="L14" i="7"/>
  <c r="L13" i="7"/>
  <c r="L11" i="7" s="1"/>
  <c r="K14" i="7"/>
  <c r="O33" i="7"/>
  <c r="P35" i="7"/>
  <c r="Q12" i="7"/>
  <c r="K19" i="7"/>
  <c r="L19" i="7" s="1"/>
  <c r="L17" i="7" s="1"/>
  <c r="N32" i="8"/>
  <c r="O32" i="8" s="1"/>
  <c r="M27" i="8"/>
  <c r="N27" i="8" s="1"/>
  <c r="Q22" i="7"/>
  <c r="I9" i="7"/>
  <c r="K10" i="7"/>
  <c r="S15" i="7"/>
  <c r="S18" i="7"/>
  <c r="M33" i="7"/>
  <c r="L33" i="7"/>
  <c r="O31" i="7"/>
  <c r="P31" i="7" s="1"/>
  <c r="K31" i="7"/>
  <c r="O28" i="7"/>
  <c r="P28" i="7" s="1"/>
  <c r="K28" i="7"/>
  <c r="L23" i="7"/>
  <c r="M23" i="7" s="1"/>
  <c r="N23" i="7" s="1"/>
  <c r="O23" i="7" s="1"/>
  <c r="P23" i="7" s="1"/>
  <c r="Q23" i="7" s="1"/>
  <c r="R23" i="7" s="1"/>
  <c r="S23" i="7" s="1"/>
  <c r="T23" i="7" s="1"/>
  <c r="K25" i="7"/>
  <c r="J9" i="7"/>
  <c r="J8" i="7" s="1"/>
  <c r="J42" i="2" s="1"/>
  <c r="O25" i="7"/>
  <c r="P25" i="7" s="1"/>
  <c r="L10" i="7" l="1"/>
  <c r="M10" i="7" s="1"/>
  <c r="N10" i="7" s="1"/>
  <c r="O10" i="9"/>
  <c r="M13" i="7"/>
  <c r="N13" i="7" s="1"/>
  <c r="Q35" i="7"/>
  <c r="P33" i="7"/>
  <c r="R12" i="7"/>
  <c r="M19" i="7"/>
  <c r="N19" i="7" s="1"/>
  <c r="K17" i="7"/>
  <c r="K9" i="7" s="1"/>
  <c r="K8" i="7" s="1"/>
  <c r="K42" i="2" s="1"/>
  <c r="J95" i="2"/>
  <c r="J83" i="2"/>
  <c r="P32" i="8"/>
  <c r="O27" i="8"/>
  <c r="Q31" i="7"/>
  <c r="P21" i="7"/>
  <c r="Q25" i="7"/>
  <c r="Q28" i="7"/>
  <c r="R22" i="7"/>
  <c r="Q21" i="7"/>
  <c r="T18" i="7"/>
  <c r="T15" i="7"/>
  <c r="L21" i="7"/>
  <c r="N21" i="7"/>
  <c r="M21" i="7"/>
  <c r="O21" i="7"/>
  <c r="M14" i="7"/>
  <c r="L9" i="7" l="1"/>
  <c r="L8" i="7" s="1"/>
  <c r="L42" i="2" s="1"/>
  <c r="L83" i="2" s="1"/>
  <c r="P10" i="9"/>
  <c r="M11" i="7"/>
  <c r="Q33" i="7"/>
  <c r="R35" i="7"/>
  <c r="M17" i="7"/>
  <c r="O13" i="7"/>
  <c r="N11" i="7"/>
  <c r="S12" i="7"/>
  <c r="K95" i="2"/>
  <c r="K83" i="2"/>
  <c r="Q32" i="8"/>
  <c r="P27" i="8"/>
  <c r="R31" i="7"/>
  <c r="R28" i="7"/>
  <c r="R25" i="7"/>
  <c r="S22" i="7"/>
  <c r="R21" i="7"/>
  <c r="N14" i="7"/>
  <c r="P10" i="7"/>
  <c r="O19" i="7"/>
  <c r="N17" i="7"/>
  <c r="L95" i="2" l="1"/>
  <c r="M9" i="7"/>
  <c r="M8" i="7" s="1"/>
  <c r="M42" i="2" s="1"/>
  <c r="M83" i="2" s="1"/>
  <c r="Q10" i="9"/>
  <c r="S35" i="7"/>
  <c r="R33" i="7"/>
  <c r="P13" i="7"/>
  <c r="O11" i="7"/>
  <c r="T12" i="7"/>
  <c r="N9" i="7"/>
  <c r="N8" i="7" s="1"/>
  <c r="N42" i="2" s="1"/>
  <c r="N95" i="2" s="1"/>
  <c r="R32" i="8"/>
  <c r="Q27" i="8"/>
  <c r="O14" i="7"/>
  <c r="S28" i="7"/>
  <c r="S25" i="7"/>
  <c r="S31" i="7"/>
  <c r="T22" i="7"/>
  <c r="T21" i="7" s="1"/>
  <c r="S21" i="7"/>
  <c r="O17" i="7"/>
  <c r="P19" i="7"/>
  <c r="Q10" i="7"/>
  <c r="M95" i="2" l="1"/>
  <c r="R10" i="9"/>
  <c r="T35" i="7"/>
  <c r="T33" i="7" s="1"/>
  <c r="S33" i="7"/>
  <c r="Q13" i="7"/>
  <c r="P11" i="7"/>
  <c r="N83" i="2"/>
  <c r="S32" i="8"/>
  <c r="O9" i="7"/>
  <c r="O8" i="7" s="1"/>
  <c r="O42" i="2" s="1"/>
  <c r="R27" i="8"/>
  <c r="T28" i="7"/>
  <c r="P14" i="7"/>
  <c r="T31" i="7"/>
  <c r="T25" i="7"/>
  <c r="P17" i="7"/>
  <c r="Q19" i="7"/>
  <c r="R10" i="7"/>
  <c r="S10" i="9" l="1"/>
  <c r="R13" i="7"/>
  <c r="Q11" i="7"/>
  <c r="O95" i="2"/>
  <c r="O83" i="2"/>
  <c r="T32" i="8"/>
  <c r="S27" i="8"/>
  <c r="Q14" i="7"/>
  <c r="P9" i="7"/>
  <c r="P8" i="7" s="1"/>
  <c r="P42" i="2" s="1"/>
  <c r="R19" i="7"/>
  <c r="Q17" i="7"/>
  <c r="S10" i="7"/>
  <c r="T10" i="7" s="1"/>
  <c r="T10" i="9" l="1"/>
  <c r="S13" i="7"/>
  <c r="R11" i="7"/>
  <c r="P95" i="2"/>
  <c r="P83" i="2"/>
  <c r="T27" i="8"/>
  <c r="Q9" i="7"/>
  <c r="Q8" i="7" s="1"/>
  <c r="Q42" i="2" s="1"/>
  <c r="R14" i="7"/>
  <c r="S19" i="7"/>
  <c r="R17" i="7"/>
  <c r="T13" i="7" l="1"/>
  <c r="T11" i="7" s="1"/>
  <c r="S11" i="7"/>
  <c r="Q95" i="2"/>
  <c r="Q83" i="2"/>
  <c r="R9" i="7"/>
  <c r="R8" i="7" s="1"/>
  <c r="R42" i="2" s="1"/>
  <c r="T14" i="7"/>
  <c r="S14" i="7"/>
  <c r="T19" i="7"/>
  <c r="T17" i="7" s="1"/>
  <c r="S17" i="7"/>
  <c r="R95" i="2" l="1"/>
  <c r="R83" i="2"/>
  <c r="S9" i="7"/>
  <c r="S8" i="7" s="1"/>
  <c r="S42" i="2" s="1"/>
  <c r="T9" i="7"/>
  <c r="T8" i="7" s="1"/>
  <c r="T42" i="2" s="1"/>
  <c r="T95" i="2" l="1"/>
  <c r="T83" i="2"/>
  <c r="S95" i="2"/>
  <c r="S83" i="2"/>
  <c r="I68" i="1" l="1"/>
  <c r="I100" i="1"/>
  <c r="I98" i="1" s="1"/>
  <c r="I69" i="1"/>
  <c r="I65" i="1"/>
  <c r="T124" i="1"/>
  <c r="S124" i="1"/>
  <c r="R124" i="1"/>
  <c r="Q124" i="1"/>
  <c r="P124" i="1"/>
  <c r="O124" i="1"/>
  <c r="N124" i="1"/>
  <c r="M124" i="1"/>
  <c r="L124" i="1"/>
  <c r="K124" i="1"/>
  <c r="J124" i="1"/>
  <c r="I117" i="1"/>
  <c r="I116" i="1" s="1"/>
  <c r="I124" i="1" s="1"/>
  <c r="T112" i="1"/>
  <c r="S112" i="1"/>
  <c r="R112" i="1"/>
  <c r="Q112" i="1"/>
  <c r="P112" i="1"/>
  <c r="O112" i="1"/>
  <c r="N112" i="1"/>
  <c r="M112" i="1"/>
  <c r="L112" i="1"/>
  <c r="K112" i="1"/>
  <c r="J112" i="1"/>
  <c r="I114" i="1"/>
  <c r="J109" i="1"/>
  <c r="J108" i="1"/>
  <c r="K108" i="1" s="1"/>
  <c r="L108" i="1" s="1"/>
  <c r="I107" i="1"/>
  <c r="I96" i="1"/>
  <c r="I95" i="1" s="1"/>
  <c r="K104" i="1"/>
  <c r="L104" i="1" s="1"/>
  <c r="M104" i="1" s="1"/>
  <c r="J58" i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J57" i="1"/>
  <c r="K57" i="1" s="1"/>
  <c r="L57" i="1" s="1"/>
  <c r="J37" i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J33" i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J32" i="1"/>
  <c r="K32" i="1" s="1"/>
  <c r="L32" i="1" s="1"/>
  <c r="J56" i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J53" i="1"/>
  <c r="K53" i="1" s="1"/>
  <c r="I52" i="1"/>
  <c r="I51" i="1" s="1"/>
  <c r="I55" i="1" s="1"/>
  <c r="I54" i="1" s="1"/>
  <c r="J28" i="1"/>
  <c r="J27" i="1"/>
  <c r="I27" i="1"/>
  <c r="J23" i="1"/>
  <c r="K23" i="1" s="1"/>
  <c r="L15" i="1"/>
  <c r="M15" i="1" s="1"/>
  <c r="N15" i="1" s="1"/>
  <c r="O15" i="1" s="1"/>
  <c r="P15" i="1" s="1"/>
  <c r="Q15" i="1" s="1"/>
  <c r="R15" i="1" s="1"/>
  <c r="S15" i="1" s="1"/>
  <c r="T15" i="1" s="1"/>
  <c r="T27" i="1" s="1"/>
  <c r="O12" i="1"/>
  <c r="P12" i="1" s="1"/>
  <c r="Q12" i="1" s="1"/>
  <c r="R12" i="1" s="1"/>
  <c r="S12" i="1" s="1"/>
  <c r="T12" i="1" s="1"/>
  <c r="J10" i="1"/>
  <c r="K10" i="1" s="1"/>
  <c r="L10" i="1" s="1"/>
  <c r="L52" i="1" s="1"/>
  <c r="J11" i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J13" i="1"/>
  <c r="I13" i="1"/>
  <c r="I22" i="1"/>
  <c r="I21" i="1" s="1"/>
  <c r="I41" i="1" s="1"/>
  <c r="K109" i="1" l="1"/>
  <c r="K106" i="1" s="1"/>
  <c r="K114" i="1" s="1"/>
  <c r="J106" i="1"/>
  <c r="J114" i="1" s="1"/>
  <c r="J107" i="1"/>
  <c r="K107" i="1"/>
  <c r="L107" i="1"/>
  <c r="M108" i="1"/>
  <c r="N108" i="1" s="1"/>
  <c r="N104" i="1"/>
  <c r="M57" i="1"/>
  <c r="M32" i="1"/>
  <c r="N32" i="1" s="1"/>
  <c r="O32" i="1" s="1"/>
  <c r="K52" i="1"/>
  <c r="K51" i="1" s="1"/>
  <c r="K55" i="1" s="1"/>
  <c r="K54" i="1" s="1"/>
  <c r="J52" i="1"/>
  <c r="J51" i="1" s="1"/>
  <c r="L53" i="1"/>
  <c r="I50" i="1"/>
  <c r="I88" i="1" s="1"/>
  <c r="I87" i="1" s="1"/>
  <c r="I86" i="1" s="1"/>
  <c r="J9" i="1"/>
  <c r="J22" i="1" s="1"/>
  <c r="J21" i="1" s="1"/>
  <c r="J41" i="1" s="1"/>
  <c r="K14" i="1"/>
  <c r="L14" i="1" s="1"/>
  <c r="L13" i="1" s="1"/>
  <c r="I26" i="1"/>
  <c r="I25" i="1" s="1"/>
  <c r="I42" i="1" s="1"/>
  <c r="K28" i="1"/>
  <c r="L28" i="1" s="1"/>
  <c r="M28" i="1" s="1"/>
  <c r="M27" i="1"/>
  <c r="Q27" i="1"/>
  <c r="N27" i="1"/>
  <c r="R27" i="1"/>
  <c r="K27" i="1"/>
  <c r="O27" i="1"/>
  <c r="S27" i="1"/>
  <c r="L27" i="1"/>
  <c r="P27" i="1"/>
  <c r="I8" i="1"/>
  <c r="I18" i="1"/>
  <c r="L23" i="1"/>
  <c r="L9" i="1"/>
  <c r="L26" i="1" s="1"/>
  <c r="M10" i="1"/>
  <c r="K9" i="1"/>
  <c r="K26" i="1" s="1"/>
  <c r="L109" i="1" l="1"/>
  <c r="M109" i="1" s="1"/>
  <c r="M106" i="1" s="1"/>
  <c r="M52" i="1"/>
  <c r="M107" i="1"/>
  <c r="O108" i="1"/>
  <c r="O104" i="1"/>
  <c r="K50" i="1"/>
  <c r="K66" i="1" s="1"/>
  <c r="I93" i="1"/>
  <c r="I92" i="1" s="1"/>
  <c r="I66" i="1"/>
  <c r="J55" i="1"/>
  <c r="J54" i="1" s="1"/>
  <c r="J50" i="1" s="1"/>
  <c r="J66" i="1" s="1"/>
  <c r="N57" i="1"/>
  <c r="I47" i="1"/>
  <c r="I36" i="1"/>
  <c r="I35" i="1" s="1"/>
  <c r="I44" i="1" s="1"/>
  <c r="I31" i="1"/>
  <c r="I30" i="1" s="1"/>
  <c r="I43" i="1" s="1"/>
  <c r="P32" i="1"/>
  <c r="M53" i="1"/>
  <c r="L51" i="1"/>
  <c r="J18" i="1"/>
  <c r="J8" i="1"/>
  <c r="J36" i="1" s="1"/>
  <c r="J35" i="1" s="1"/>
  <c r="J44" i="1" s="1"/>
  <c r="K13" i="1"/>
  <c r="K8" i="1" s="1"/>
  <c r="K36" i="1" s="1"/>
  <c r="K35" i="1" s="1"/>
  <c r="K44" i="1" s="1"/>
  <c r="M14" i="1"/>
  <c r="M13" i="1" s="1"/>
  <c r="J26" i="1"/>
  <c r="J25" i="1" s="1"/>
  <c r="J42" i="1" s="1"/>
  <c r="K25" i="1"/>
  <c r="K42" i="1" s="1"/>
  <c r="L25" i="1"/>
  <c r="L42" i="1" s="1"/>
  <c r="N28" i="1"/>
  <c r="L22" i="1"/>
  <c r="L21" i="1" s="1"/>
  <c r="L41" i="1" s="1"/>
  <c r="L18" i="1"/>
  <c r="L8" i="1"/>
  <c r="L36" i="1" s="1"/>
  <c r="L35" i="1" s="1"/>
  <c r="L44" i="1" s="1"/>
  <c r="K22" i="1"/>
  <c r="K21" i="1" s="1"/>
  <c r="K41" i="1" s="1"/>
  <c r="K18" i="1"/>
  <c r="M23" i="1"/>
  <c r="N10" i="1"/>
  <c r="M9" i="1"/>
  <c r="M26" i="1" s="1"/>
  <c r="M25" i="1" s="1"/>
  <c r="M42" i="1" s="1"/>
  <c r="L106" i="1" l="1"/>
  <c r="L114" i="1" s="1"/>
  <c r="N109" i="1"/>
  <c r="N106" i="1" s="1"/>
  <c r="N114" i="1" s="1"/>
  <c r="M114" i="1"/>
  <c r="I85" i="1"/>
  <c r="N52" i="1"/>
  <c r="N107" i="1"/>
  <c r="P108" i="1"/>
  <c r="P104" i="1"/>
  <c r="O57" i="1"/>
  <c r="K47" i="1"/>
  <c r="K31" i="1"/>
  <c r="K30" i="1" s="1"/>
  <c r="K43" i="1" s="1"/>
  <c r="J47" i="1"/>
  <c r="J31" i="1"/>
  <c r="J30" i="1" s="1"/>
  <c r="J43" i="1" s="1"/>
  <c r="L47" i="1"/>
  <c r="L31" i="1"/>
  <c r="L30" i="1" s="1"/>
  <c r="L43" i="1" s="1"/>
  <c r="Q32" i="1"/>
  <c r="N53" i="1"/>
  <c r="M51" i="1"/>
  <c r="L55" i="1"/>
  <c r="L54" i="1" s="1"/>
  <c r="L50" i="1" s="1"/>
  <c r="L66" i="1" s="1"/>
  <c r="N14" i="1"/>
  <c r="O14" i="1" s="1"/>
  <c r="O28" i="1"/>
  <c r="M8" i="1"/>
  <c r="M36" i="1" s="1"/>
  <c r="M35" i="1" s="1"/>
  <c r="M44" i="1" s="1"/>
  <c r="M22" i="1"/>
  <c r="M21" i="1" s="1"/>
  <c r="M41" i="1" s="1"/>
  <c r="M18" i="1"/>
  <c r="N23" i="1"/>
  <c r="O10" i="1"/>
  <c r="N9" i="1"/>
  <c r="N26" i="1" s="1"/>
  <c r="N25" i="1" s="1"/>
  <c r="N42" i="1" s="1"/>
  <c r="O109" i="1" l="1"/>
  <c r="P109" i="1" s="1"/>
  <c r="P106" i="1" s="1"/>
  <c r="I112" i="1"/>
  <c r="Q10" i="8"/>
  <c r="Q8" i="8" s="1"/>
  <c r="M10" i="8"/>
  <c r="M8" i="8" s="1"/>
  <c r="I10" i="8"/>
  <c r="I8" i="8" s="1"/>
  <c r="T10" i="8"/>
  <c r="T8" i="8" s="1"/>
  <c r="P10" i="8"/>
  <c r="P8" i="8" s="1"/>
  <c r="L10" i="8"/>
  <c r="L8" i="8" s="1"/>
  <c r="S10" i="8"/>
  <c r="S8" i="8" s="1"/>
  <c r="O10" i="8"/>
  <c r="O8" i="8" s="1"/>
  <c r="K10" i="8"/>
  <c r="K8" i="8" s="1"/>
  <c r="R10" i="8"/>
  <c r="R8" i="8" s="1"/>
  <c r="N10" i="8"/>
  <c r="N8" i="8" s="1"/>
  <c r="J10" i="8"/>
  <c r="J8" i="8" s="1"/>
  <c r="O103" i="1"/>
  <c r="O102" i="1" s="1"/>
  <c r="O113" i="1" s="1"/>
  <c r="M103" i="1"/>
  <c r="M102" i="1" s="1"/>
  <c r="M113" i="1" s="1"/>
  <c r="M111" i="1" s="1"/>
  <c r="M123" i="1" s="1"/>
  <c r="R103" i="1"/>
  <c r="T103" i="1"/>
  <c r="L103" i="1"/>
  <c r="L102" i="1" s="1"/>
  <c r="L113" i="1" s="1"/>
  <c r="L111" i="1" s="1"/>
  <c r="L123" i="1" s="1"/>
  <c r="S103" i="1"/>
  <c r="P103" i="1"/>
  <c r="P102" i="1" s="1"/>
  <c r="P113" i="1" s="1"/>
  <c r="J103" i="1"/>
  <c r="J102" i="1" s="1"/>
  <c r="J113" i="1" s="1"/>
  <c r="J111" i="1" s="1"/>
  <c r="J123" i="1" s="1"/>
  <c r="N103" i="1"/>
  <c r="N102" i="1" s="1"/>
  <c r="N113" i="1" s="1"/>
  <c r="N111" i="1" s="1"/>
  <c r="N123" i="1" s="1"/>
  <c r="K103" i="1"/>
  <c r="K102" i="1" s="1"/>
  <c r="K113" i="1" s="1"/>
  <c r="K111" i="1" s="1"/>
  <c r="K123" i="1" s="1"/>
  <c r="Q103" i="1"/>
  <c r="O52" i="1"/>
  <c r="O107" i="1"/>
  <c r="Q108" i="1"/>
  <c r="Q104" i="1"/>
  <c r="P57" i="1"/>
  <c r="M47" i="1"/>
  <c r="M31" i="1"/>
  <c r="M30" i="1" s="1"/>
  <c r="M43" i="1" s="1"/>
  <c r="R32" i="1"/>
  <c r="N13" i="1"/>
  <c r="N8" i="1" s="1"/>
  <c r="N36" i="1" s="1"/>
  <c r="N35" i="1" s="1"/>
  <c r="N44" i="1" s="1"/>
  <c r="M55" i="1"/>
  <c r="M54" i="1" s="1"/>
  <c r="M50" i="1" s="1"/>
  <c r="M66" i="1" s="1"/>
  <c r="O53" i="1"/>
  <c r="N51" i="1"/>
  <c r="P28" i="1"/>
  <c r="N22" i="1"/>
  <c r="N21" i="1" s="1"/>
  <c r="N41" i="1" s="1"/>
  <c r="N18" i="1"/>
  <c r="O23" i="1"/>
  <c r="P14" i="1"/>
  <c r="O13" i="1"/>
  <c r="O9" i="1"/>
  <c r="O26" i="1" s="1"/>
  <c r="O25" i="1" s="1"/>
  <c r="O42" i="1" s="1"/>
  <c r="P10" i="1"/>
  <c r="S39" i="2"/>
  <c r="R39" i="2"/>
  <c r="Q39" i="2"/>
  <c r="P39" i="2"/>
  <c r="O39" i="2"/>
  <c r="N39" i="2"/>
  <c r="M39" i="2"/>
  <c r="L39" i="2"/>
  <c r="K39" i="2"/>
  <c r="J39" i="2"/>
  <c r="I39" i="2"/>
  <c r="R38" i="2"/>
  <c r="Q38" i="2"/>
  <c r="P38" i="2"/>
  <c r="O38" i="2"/>
  <c r="N38" i="2"/>
  <c r="M38" i="2"/>
  <c r="L38" i="2"/>
  <c r="K38" i="2"/>
  <c r="J38" i="2"/>
  <c r="I38" i="2"/>
  <c r="Q37" i="2"/>
  <c r="P37" i="2"/>
  <c r="O37" i="2"/>
  <c r="N37" i="2"/>
  <c r="M37" i="2"/>
  <c r="L37" i="2"/>
  <c r="K37" i="2"/>
  <c r="J37" i="2"/>
  <c r="I37" i="2"/>
  <c r="P36" i="2"/>
  <c r="O36" i="2"/>
  <c r="N36" i="2"/>
  <c r="M36" i="2"/>
  <c r="L36" i="2"/>
  <c r="K36" i="2"/>
  <c r="J36" i="2"/>
  <c r="I36" i="2"/>
  <c r="O35" i="2"/>
  <c r="N35" i="2"/>
  <c r="M35" i="2"/>
  <c r="L35" i="2"/>
  <c r="K35" i="2"/>
  <c r="J35" i="2"/>
  <c r="I35" i="2"/>
  <c r="N34" i="2"/>
  <c r="M34" i="2"/>
  <c r="L34" i="2"/>
  <c r="K34" i="2"/>
  <c r="J34" i="2"/>
  <c r="I34" i="2"/>
  <c r="M33" i="2"/>
  <c r="L33" i="2"/>
  <c r="K33" i="2"/>
  <c r="J33" i="2"/>
  <c r="I33" i="2"/>
  <c r="L32" i="2"/>
  <c r="K32" i="2"/>
  <c r="J32" i="2"/>
  <c r="I32" i="2"/>
  <c r="K31" i="2"/>
  <c r="J31" i="2"/>
  <c r="I31" i="2"/>
  <c r="J30" i="2"/>
  <c r="I30" i="2"/>
  <c r="I29" i="2"/>
  <c r="S24" i="2"/>
  <c r="R24" i="2"/>
  <c r="Q24" i="2"/>
  <c r="P24" i="2"/>
  <c r="O24" i="2"/>
  <c r="N24" i="2"/>
  <c r="M24" i="2"/>
  <c r="L24" i="2"/>
  <c r="K24" i="2"/>
  <c r="J24" i="2"/>
  <c r="I24" i="2"/>
  <c r="R23" i="2"/>
  <c r="Q23" i="2"/>
  <c r="P23" i="2"/>
  <c r="O23" i="2"/>
  <c r="N23" i="2"/>
  <c r="M23" i="2"/>
  <c r="L23" i="2"/>
  <c r="K23" i="2"/>
  <c r="J23" i="2"/>
  <c r="I23" i="2"/>
  <c r="Q22" i="2"/>
  <c r="P22" i="2"/>
  <c r="O22" i="2"/>
  <c r="N22" i="2"/>
  <c r="M22" i="2"/>
  <c r="L22" i="2"/>
  <c r="K22" i="2"/>
  <c r="J22" i="2"/>
  <c r="I22" i="2"/>
  <c r="P21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N19" i="2"/>
  <c r="M19" i="2"/>
  <c r="L19" i="2"/>
  <c r="K19" i="2"/>
  <c r="J19" i="2"/>
  <c r="I19" i="2"/>
  <c r="M18" i="2"/>
  <c r="L18" i="2"/>
  <c r="K18" i="2"/>
  <c r="J18" i="2"/>
  <c r="I18" i="2"/>
  <c r="L17" i="2"/>
  <c r="K17" i="2"/>
  <c r="J17" i="2"/>
  <c r="I17" i="2"/>
  <c r="K16" i="2"/>
  <c r="J16" i="2"/>
  <c r="I16" i="2"/>
  <c r="J15" i="2"/>
  <c r="I15" i="2"/>
  <c r="I14" i="2"/>
  <c r="O106" i="1" l="1"/>
  <c r="O114" i="1" s="1"/>
  <c r="O111" i="1" s="1"/>
  <c r="O123" i="1" s="1"/>
  <c r="I20" i="8"/>
  <c r="I75" i="2"/>
  <c r="R20" i="8"/>
  <c r="R75" i="2"/>
  <c r="L20" i="8"/>
  <c r="L75" i="2"/>
  <c r="M75" i="2"/>
  <c r="M20" i="8"/>
  <c r="N20" i="8"/>
  <c r="N75" i="2"/>
  <c r="K20" i="8"/>
  <c r="K75" i="2"/>
  <c r="P20" i="8"/>
  <c r="P75" i="2"/>
  <c r="Q20" i="8"/>
  <c r="Q75" i="2"/>
  <c r="S20" i="8"/>
  <c r="S75" i="2"/>
  <c r="J20" i="8"/>
  <c r="J75" i="2"/>
  <c r="O20" i="8"/>
  <c r="O75" i="2"/>
  <c r="T20" i="8"/>
  <c r="T75" i="2"/>
  <c r="P52" i="1"/>
  <c r="P107" i="1"/>
  <c r="R108" i="1"/>
  <c r="P114" i="1"/>
  <c r="P111" i="1" s="1"/>
  <c r="P123" i="1" s="1"/>
  <c r="Q109" i="1"/>
  <c r="Q106" i="1" s="1"/>
  <c r="R104" i="1"/>
  <c r="Q102" i="1"/>
  <c r="Q113" i="1" s="1"/>
  <c r="Q57" i="1"/>
  <c r="N47" i="1"/>
  <c r="N31" i="1"/>
  <c r="N30" i="1" s="1"/>
  <c r="N43" i="1" s="1"/>
  <c r="S32" i="1"/>
  <c r="O51" i="1"/>
  <c r="P53" i="1"/>
  <c r="N55" i="1"/>
  <c r="N54" i="1" s="1"/>
  <c r="N50" i="1" s="1"/>
  <c r="N66" i="1" s="1"/>
  <c r="Q28" i="1"/>
  <c r="O22" i="1"/>
  <c r="O21" i="1" s="1"/>
  <c r="O41" i="1" s="1"/>
  <c r="O18" i="1"/>
  <c r="O8" i="1"/>
  <c r="O36" i="1" s="1"/>
  <c r="O35" i="1" s="1"/>
  <c r="O44" i="1" s="1"/>
  <c r="P23" i="1"/>
  <c r="P9" i="1"/>
  <c r="P26" i="1" s="1"/>
  <c r="P25" i="1" s="1"/>
  <c r="P42" i="1" s="1"/>
  <c r="Q10" i="1"/>
  <c r="P13" i="1"/>
  <c r="Q14" i="1"/>
  <c r="Q52" i="1" l="1"/>
  <c r="Q107" i="1"/>
  <c r="R109" i="1"/>
  <c r="R106" i="1" s="1"/>
  <c r="Q114" i="1"/>
  <c r="Q111" i="1" s="1"/>
  <c r="Q123" i="1" s="1"/>
  <c r="S108" i="1"/>
  <c r="R102" i="1"/>
  <c r="R113" i="1" s="1"/>
  <c r="S104" i="1"/>
  <c r="R57" i="1"/>
  <c r="O47" i="1"/>
  <c r="O31" i="1"/>
  <c r="O30" i="1" s="1"/>
  <c r="O43" i="1" s="1"/>
  <c r="T32" i="1"/>
  <c r="O55" i="1"/>
  <c r="O54" i="1" s="1"/>
  <c r="O50" i="1" s="1"/>
  <c r="O66" i="1" s="1"/>
  <c r="Q53" i="1"/>
  <c r="P51" i="1"/>
  <c r="R28" i="1"/>
  <c r="P22" i="1"/>
  <c r="P21" i="1" s="1"/>
  <c r="P41" i="1" s="1"/>
  <c r="P18" i="1"/>
  <c r="P8" i="1"/>
  <c r="P36" i="1" s="1"/>
  <c r="P35" i="1" s="1"/>
  <c r="P44" i="1" s="1"/>
  <c r="Q23" i="1"/>
  <c r="R14" i="1"/>
  <c r="Q13" i="1"/>
  <c r="R10" i="1"/>
  <c r="Q9" i="1"/>
  <c r="Q26" i="1" s="1"/>
  <c r="Q25" i="1" s="1"/>
  <c r="Q42" i="1" s="1"/>
  <c r="F16" i="4"/>
  <c r="I42" i="6"/>
  <c r="I41" i="6"/>
  <c r="I40" i="6"/>
  <c r="I32" i="6"/>
  <c r="I47" i="6" s="1"/>
  <c r="I31" i="6"/>
  <c r="I46" i="6" s="1"/>
  <c r="I30" i="6"/>
  <c r="I45" i="6" s="1"/>
  <c r="I29" i="6"/>
  <c r="I44" i="6" s="1"/>
  <c r="I28" i="6"/>
  <c r="I43" i="6" s="1"/>
  <c r="I27" i="6"/>
  <c r="I26" i="6"/>
  <c r="I25" i="6"/>
  <c r="I24" i="6"/>
  <c r="I39" i="6" s="1"/>
  <c r="I23" i="6"/>
  <c r="I38" i="6" s="1"/>
  <c r="I22" i="6"/>
  <c r="I37" i="6" s="1"/>
  <c r="I21" i="6"/>
  <c r="I36" i="6" s="1"/>
  <c r="M14" i="6"/>
  <c r="R52" i="1" l="1"/>
  <c r="R107" i="1"/>
  <c r="R114" i="1" s="1"/>
  <c r="R111" i="1" s="1"/>
  <c r="R123" i="1" s="1"/>
  <c r="T108" i="1"/>
  <c r="S109" i="1"/>
  <c r="S106" i="1" s="1"/>
  <c r="T104" i="1"/>
  <c r="T102" i="1" s="1"/>
  <c r="T113" i="1" s="1"/>
  <c r="S102" i="1"/>
  <c r="S113" i="1" s="1"/>
  <c r="S57" i="1"/>
  <c r="P47" i="1"/>
  <c r="P31" i="1"/>
  <c r="P30" i="1" s="1"/>
  <c r="P43" i="1" s="1"/>
  <c r="R53" i="1"/>
  <c r="Q51" i="1"/>
  <c r="P55" i="1"/>
  <c r="P54" i="1" s="1"/>
  <c r="P50" i="1" s="1"/>
  <c r="P66" i="1" s="1"/>
  <c r="S28" i="1"/>
  <c r="Q8" i="1"/>
  <c r="Q36" i="1" s="1"/>
  <c r="Q35" i="1" s="1"/>
  <c r="Q44" i="1" s="1"/>
  <c r="Q22" i="1"/>
  <c r="Q21" i="1" s="1"/>
  <c r="Q41" i="1" s="1"/>
  <c r="Q18" i="1"/>
  <c r="R23" i="1"/>
  <c r="R9" i="1"/>
  <c r="R26" i="1" s="1"/>
  <c r="R25" i="1" s="1"/>
  <c r="R42" i="1" s="1"/>
  <c r="S10" i="1"/>
  <c r="R13" i="1"/>
  <c r="S14" i="1"/>
  <c r="F15" i="4"/>
  <c r="S52" i="1" l="1"/>
  <c r="S107" i="1"/>
  <c r="T109" i="1"/>
  <c r="S114" i="1"/>
  <c r="S111" i="1" s="1"/>
  <c r="S123" i="1" s="1"/>
  <c r="T57" i="1"/>
  <c r="Q47" i="1"/>
  <c r="Q31" i="1"/>
  <c r="Q30" i="1" s="1"/>
  <c r="Q43" i="1" s="1"/>
  <c r="Q55" i="1"/>
  <c r="Q54" i="1" s="1"/>
  <c r="Q50" i="1" s="1"/>
  <c r="Q66" i="1" s="1"/>
  <c r="S53" i="1"/>
  <c r="R51" i="1"/>
  <c r="T28" i="1"/>
  <c r="R22" i="1"/>
  <c r="R21" i="1" s="1"/>
  <c r="R41" i="1" s="1"/>
  <c r="R18" i="1"/>
  <c r="R8" i="1"/>
  <c r="R36" i="1" s="1"/>
  <c r="R35" i="1" s="1"/>
  <c r="R44" i="1" s="1"/>
  <c r="S23" i="1"/>
  <c r="T14" i="1"/>
  <c r="T13" i="1" s="1"/>
  <c r="S13" i="1"/>
  <c r="T10" i="1"/>
  <c r="S9" i="1"/>
  <c r="S26" i="1" s="1"/>
  <c r="S25" i="1" s="1"/>
  <c r="S42" i="1" s="1"/>
  <c r="T106" i="1" l="1"/>
  <c r="T114" i="1" s="1"/>
  <c r="T111" i="1" s="1"/>
  <c r="T123" i="1" s="1"/>
  <c r="T107" i="1"/>
  <c r="R47" i="1"/>
  <c r="R31" i="1"/>
  <c r="R30" i="1" s="1"/>
  <c r="R43" i="1" s="1"/>
  <c r="T9" i="1"/>
  <c r="T26" i="1" s="1"/>
  <c r="T25" i="1" s="1"/>
  <c r="T42" i="1" s="1"/>
  <c r="T52" i="1"/>
  <c r="R55" i="1"/>
  <c r="R54" i="1" s="1"/>
  <c r="R50" i="1" s="1"/>
  <c r="R66" i="1" s="1"/>
  <c r="S51" i="1"/>
  <c r="T53" i="1"/>
  <c r="S22" i="1"/>
  <c r="S21" i="1" s="1"/>
  <c r="S41" i="1" s="1"/>
  <c r="S18" i="1"/>
  <c r="S8" i="1"/>
  <c r="S36" i="1" s="1"/>
  <c r="S35" i="1" s="1"/>
  <c r="S44" i="1" s="1"/>
  <c r="T23" i="1"/>
  <c r="F13" i="4"/>
  <c r="F10" i="4"/>
  <c r="T22" i="1" l="1"/>
  <c r="T21" i="1" s="1"/>
  <c r="T41" i="1" s="1"/>
  <c r="S47" i="1"/>
  <c r="S31" i="1"/>
  <c r="S30" i="1" s="1"/>
  <c r="S43" i="1" s="1"/>
  <c r="T18" i="1"/>
  <c r="T8" i="1"/>
  <c r="T36" i="1" s="1"/>
  <c r="T35" i="1" s="1"/>
  <c r="T44" i="1" s="1"/>
  <c r="T51" i="1"/>
  <c r="S55" i="1"/>
  <c r="S54" i="1" s="1"/>
  <c r="S50" i="1" s="1"/>
  <c r="S66" i="1" s="1"/>
  <c r="T47" i="1" l="1"/>
  <c r="T31" i="1"/>
  <c r="T30" i="1" s="1"/>
  <c r="T43" i="1" s="1"/>
  <c r="T55" i="1"/>
  <c r="T54" i="1" s="1"/>
  <c r="T50" i="1" s="1"/>
  <c r="T66" i="1" s="1"/>
  <c r="J77" i="1"/>
  <c r="K77" i="1" s="1"/>
  <c r="J75" i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J74" i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J73" i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J72" i="1"/>
  <c r="K72" i="1" s="1"/>
  <c r="L72" i="1" s="1"/>
  <c r="M72" i="1" l="1"/>
  <c r="L77" i="1"/>
  <c r="M77" i="1" l="1"/>
  <c r="N72" i="1"/>
  <c r="N77" i="1" l="1"/>
  <c r="O72" i="1"/>
  <c r="P72" i="1" l="1"/>
  <c r="O77" i="1"/>
  <c r="P77" i="1" l="1"/>
  <c r="Q72" i="1"/>
  <c r="R72" i="1" l="1"/>
  <c r="Q77" i="1"/>
  <c r="R77" i="1" l="1"/>
  <c r="S72" i="1"/>
  <c r="T72" i="1" l="1"/>
  <c r="S77" i="1"/>
  <c r="T77" i="1" l="1"/>
  <c r="K47" i="2" l="1"/>
  <c r="J47" i="2"/>
  <c r="J65" i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J63" i="1"/>
  <c r="K63" i="1" s="1"/>
  <c r="L63" i="1" s="1"/>
  <c r="J19" i="1"/>
  <c r="Q21" i="2" l="1"/>
  <c r="M17" i="2"/>
  <c r="I13" i="2"/>
  <c r="I12" i="2" s="1"/>
  <c r="R22" i="2"/>
  <c r="N18" i="2"/>
  <c r="J14" i="2"/>
  <c r="T24" i="2"/>
  <c r="P20" i="2"/>
  <c r="L16" i="2"/>
  <c r="S23" i="2"/>
  <c r="O19" i="2"/>
  <c r="K15" i="2"/>
  <c r="I133" i="1"/>
  <c r="I78" i="1"/>
  <c r="I76" i="1" s="1"/>
  <c r="I71" i="1" s="1"/>
  <c r="K19" i="1"/>
  <c r="L47" i="2"/>
  <c r="I32" i="7" l="1"/>
  <c r="I30" i="7" s="1"/>
  <c r="I29" i="7"/>
  <c r="I27" i="7" s="1"/>
  <c r="I26" i="7"/>
  <c r="I24" i="7" s="1"/>
  <c r="I52" i="2"/>
  <c r="J6" i="6"/>
  <c r="J78" i="1"/>
  <c r="J76" i="1" s="1"/>
  <c r="J71" i="1" s="1"/>
  <c r="J17" i="1"/>
  <c r="L19" i="1"/>
  <c r="M47" i="2"/>
  <c r="I17" i="1"/>
  <c r="I9" i="2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I8" i="7" l="1"/>
  <c r="I42" i="2" s="1"/>
  <c r="I40" i="1"/>
  <c r="I39" i="1" s="1"/>
  <c r="I48" i="1" s="1"/>
  <c r="I46" i="1" s="1"/>
  <c r="I82" i="1" s="1"/>
  <c r="J40" i="1"/>
  <c r="J39" i="1" s="1"/>
  <c r="J48" i="1" s="1"/>
  <c r="J46" i="1" s="1"/>
  <c r="J82" i="1" s="1"/>
  <c r="Q19" i="2"/>
  <c r="M15" i="2"/>
  <c r="T22" i="2"/>
  <c r="P18" i="2"/>
  <c r="L14" i="2"/>
  <c r="N16" i="2"/>
  <c r="S21" i="2"/>
  <c r="O17" i="2"/>
  <c r="K13" i="2"/>
  <c r="R20" i="2"/>
  <c r="K133" i="1"/>
  <c r="Q20" i="2"/>
  <c r="M16" i="2"/>
  <c r="J13" i="2"/>
  <c r="J12" i="2" s="1"/>
  <c r="T23" i="2"/>
  <c r="P19" i="2"/>
  <c r="L15" i="2"/>
  <c r="R21" i="2"/>
  <c r="S22" i="2"/>
  <c r="O18" i="2"/>
  <c r="K14" i="2"/>
  <c r="N17" i="2"/>
  <c r="J133" i="1"/>
  <c r="K78" i="1"/>
  <c r="K76" i="1" s="1"/>
  <c r="K71" i="1" s="1"/>
  <c r="M19" i="1"/>
  <c r="N47" i="2"/>
  <c r="M63" i="1"/>
  <c r="N63" i="1" s="1"/>
  <c r="O63" i="1" s="1"/>
  <c r="J68" i="1"/>
  <c r="K68" i="1" s="1"/>
  <c r="K70" i="1"/>
  <c r="L70" i="1" s="1"/>
  <c r="M70" i="1" s="1"/>
  <c r="N70" i="1" s="1"/>
  <c r="O70" i="1" s="1"/>
  <c r="P70" i="1" s="1"/>
  <c r="Q70" i="1" s="1"/>
  <c r="R70" i="1" s="1"/>
  <c r="S70" i="1" s="1"/>
  <c r="T70" i="1" s="1"/>
  <c r="J69" i="1"/>
  <c r="K69" i="1" s="1"/>
  <c r="L69" i="1" s="1"/>
  <c r="M69" i="1" s="1"/>
  <c r="N69" i="1" s="1"/>
  <c r="O69" i="1" s="1"/>
  <c r="I62" i="1"/>
  <c r="I61" i="1" s="1"/>
  <c r="I83" i="2" l="1"/>
  <c r="I95" i="2"/>
  <c r="I47" i="2"/>
  <c r="J7" i="6"/>
  <c r="J32" i="7"/>
  <c r="J30" i="7" s="1"/>
  <c r="J29" i="7"/>
  <c r="J27" i="7" s="1"/>
  <c r="J26" i="7"/>
  <c r="J24" i="7" s="1"/>
  <c r="J52" i="2"/>
  <c r="K12" i="2"/>
  <c r="N19" i="1"/>
  <c r="K17" i="1"/>
  <c r="O47" i="2"/>
  <c r="I67" i="1"/>
  <c r="P63" i="1"/>
  <c r="Q63" i="1" s="1"/>
  <c r="R63" i="1" s="1"/>
  <c r="S63" i="1" s="1"/>
  <c r="T63" i="1" s="1"/>
  <c r="P69" i="1"/>
  <c r="Q69" i="1" s="1"/>
  <c r="R69" i="1" s="1"/>
  <c r="S69" i="1" s="1"/>
  <c r="T69" i="1" s="1"/>
  <c r="K67" i="1"/>
  <c r="L68" i="1"/>
  <c r="J67" i="1"/>
  <c r="J64" i="1"/>
  <c r="I64" i="1"/>
  <c r="J8" i="6" l="1"/>
  <c r="K32" i="7"/>
  <c r="K30" i="7" s="1"/>
  <c r="K29" i="7"/>
  <c r="K27" i="7" s="1"/>
  <c r="K26" i="7"/>
  <c r="K24" i="7" s="1"/>
  <c r="K40" i="1"/>
  <c r="K39" i="1" s="1"/>
  <c r="K48" i="1" s="1"/>
  <c r="K46" i="1" s="1"/>
  <c r="K82" i="1" s="1"/>
  <c r="K52" i="2"/>
  <c r="I60" i="1"/>
  <c r="O19" i="1"/>
  <c r="L17" i="1"/>
  <c r="P47" i="2"/>
  <c r="K64" i="1"/>
  <c r="L67" i="1"/>
  <c r="M68" i="1"/>
  <c r="I83" i="1" l="1"/>
  <c r="I81" i="1" s="1"/>
  <c r="I122" i="1" s="1"/>
  <c r="L40" i="1"/>
  <c r="L39" i="1" s="1"/>
  <c r="L48" i="1" s="1"/>
  <c r="L46" i="1" s="1"/>
  <c r="L82" i="1" s="1"/>
  <c r="P19" i="1"/>
  <c r="M17" i="1"/>
  <c r="Q47" i="2"/>
  <c r="M67" i="1"/>
  <c r="N68" i="1"/>
  <c r="L64" i="1"/>
  <c r="N33" i="2" l="1"/>
  <c r="J29" i="2"/>
  <c r="S38" i="2"/>
  <c r="R37" i="2"/>
  <c r="L31" i="2"/>
  <c r="T39" i="2"/>
  <c r="I132" i="1"/>
  <c r="I131" i="1" s="1"/>
  <c r="Q36" i="2"/>
  <c r="P35" i="2"/>
  <c r="K30" i="2"/>
  <c r="I28" i="2"/>
  <c r="I27" i="2" s="1"/>
  <c r="I46" i="2" s="1"/>
  <c r="I45" i="2" s="1"/>
  <c r="I51" i="2" s="1"/>
  <c r="I50" i="2" s="1"/>
  <c r="O34" i="2"/>
  <c r="M32" i="2"/>
  <c r="M40" i="1"/>
  <c r="M39" i="1" s="1"/>
  <c r="M48" i="1" s="1"/>
  <c r="M46" i="1" s="1"/>
  <c r="M82" i="1" s="1"/>
  <c r="Q18" i="2"/>
  <c r="M14" i="2"/>
  <c r="R19" i="2"/>
  <c r="N15" i="2"/>
  <c r="T21" i="2"/>
  <c r="P17" i="2"/>
  <c r="L13" i="2"/>
  <c r="L12" i="2" s="1"/>
  <c r="S20" i="2"/>
  <c r="O16" i="2"/>
  <c r="L78" i="1"/>
  <c r="L76" i="1" s="1"/>
  <c r="L71" i="1" s="1"/>
  <c r="Q19" i="1"/>
  <c r="L133" i="1"/>
  <c r="N17" i="1"/>
  <c r="R47" i="2"/>
  <c r="O68" i="1"/>
  <c r="N67" i="1"/>
  <c r="M64" i="1"/>
  <c r="J36" i="6" l="1"/>
  <c r="J21" i="6"/>
  <c r="I9" i="9"/>
  <c r="I8" i="9" s="1"/>
  <c r="I13" i="9" s="1"/>
  <c r="I14" i="8"/>
  <c r="I13" i="8" s="1"/>
  <c r="I78" i="2" s="1"/>
  <c r="L32" i="7"/>
  <c r="L30" i="7" s="1"/>
  <c r="L26" i="7"/>
  <c r="L24" i="7" s="1"/>
  <c r="L29" i="7"/>
  <c r="L27" i="7" s="1"/>
  <c r="N40" i="1"/>
  <c r="N39" i="1" s="1"/>
  <c r="N48" i="1" s="1"/>
  <c r="N46" i="1" s="1"/>
  <c r="N82" i="1" s="1"/>
  <c r="Q17" i="2"/>
  <c r="M13" i="2"/>
  <c r="M12" i="2" s="1"/>
  <c r="T20" i="2"/>
  <c r="P16" i="2"/>
  <c r="R18" i="2"/>
  <c r="N14" i="2"/>
  <c r="S19" i="2"/>
  <c r="O15" i="2"/>
  <c r="L52" i="2"/>
  <c r="J9" i="6"/>
  <c r="M78" i="1"/>
  <c r="M76" i="1" s="1"/>
  <c r="M71" i="1" s="1"/>
  <c r="R19" i="1"/>
  <c r="O17" i="1"/>
  <c r="S47" i="2"/>
  <c r="T47" i="2"/>
  <c r="M133" i="1"/>
  <c r="N64" i="1"/>
  <c r="O64" i="1"/>
  <c r="P68" i="1"/>
  <c r="O67" i="1"/>
  <c r="I21" i="8" l="1"/>
  <c r="I18" i="8" s="1"/>
  <c r="I14" i="9" s="1"/>
  <c r="I12" i="9" s="1"/>
  <c r="I19" i="9" s="1"/>
  <c r="I18" i="9" s="1"/>
  <c r="M29" i="7"/>
  <c r="M27" i="7" s="1"/>
  <c r="M26" i="7"/>
  <c r="M24" i="7" s="1"/>
  <c r="M32" i="7"/>
  <c r="M30" i="7" s="1"/>
  <c r="O40" i="1"/>
  <c r="O39" i="1" s="1"/>
  <c r="O48" i="1" s="1"/>
  <c r="O46" i="1" s="1"/>
  <c r="O82" i="1" s="1"/>
  <c r="Q16" i="2"/>
  <c r="R17" i="2"/>
  <c r="T19" i="2"/>
  <c r="P15" i="2"/>
  <c r="N13" i="2"/>
  <c r="N12" i="2" s="1"/>
  <c r="S18" i="2"/>
  <c r="O14" i="2"/>
  <c r="M52" i="2"/>
  <c r="J10" i="6"/>
  <c r="N78" i="1"/>
  <c r="N76" i="1" s="1"/>
  <c r="N71" i="1" s="1"/>
  <c r="N133" i="1"/>
  <c r="S19" i="1"/>
  <c r="P17" i="1"/>
  <c r="P67" i="1"/>
  <c r="Q68" i="1"/>
  <c r="Q64" i="1"/>
  <c r="P64" i="1"/>
  <c r="J19" i="8" l="1"/>
  <c r="J25" i="8" s="1"/>
  <c r="I26" i="8"/>
  <c r="I24" i="8" s="1"/>
  <c r="I76" i="2" s="1"/>
  <c r="I74" i="2" s="1"/>
  <c r="I85" i="2" s="1"/>
  <c r="N32" i="7"/>
  <c r="N30" i="7" s="1"/>
  <c r="N29" i="7"/>
  <c r="N27" i="7" s="1"/>
  <c r="N26" i="7"/>
  <c r="N24" i="7" s="1"/>
  <c r="P40" i="1"/>
  <c r="P39" i="1" s="1"/>
  <c r="P48" i="1" s="1"/>
  <c r="P46" i="1" s="1"/>
  <c r="P82" i="1" s="1"/>
  <c r="Q15" i="2"/>
  <c r="T18" i="2"/>
  <c r="P14" i="2"/>
  <c r="O13" i="2"/>
  <c r="O12" i="2" s="1"/>
  <c r="S17" i="2"/>
  <c r="R16" i="2"/>
  <c r="N52" i="2"/>
  <c r="J11" i="6"/>
  <c r="O78" i="1"/>
  <c r="O76" i="1" s="1"/>
  <c r="O71" i="1" s="1"/>
  <c r="T19" i="1"/>
  <c r="O133" i="1"/>
  <c r="Q17" i="1"/>
  <c r="Q67" i="1"/>
  <c r="R68" i="1"/>
  <c r="R64" i="1"/>
  <c r="I96" i="2" l="1"/>
  <c r="O32" i="7"/>
  <c r="O30" i="7" s="1"/>
  <c r="O29" i="7"/>
  <c r="O27" i="7" s="1"/>
  <c r="O26" i="7"/>
  <c r="O24" i="7" s="1"/>
  <c r="Q40" i="1"/>
  <c r="Q39" i="1" s="1"/>
  <c r="Q48" i="1" s="1"/>
  <c r="Q46" i="1" s="1"/>
  <c r="Q82" i="1" s="1"/>
  <c r="Q14" i="2"/>
  <c r="T17" i="2"/>
  <c r="P13" i="2"/>
  <c r="P12" i="2" s="1"/>
  <c r="S16" i="2"/>
  <c r="R15" i="2"/>
  <c r="O52" i="2"/>
  <c r="J12" i="6"/>
  <c r="P78" i="1"/>
  <c r="P76" i="1" s="1"/>
  <c r="P71" i="1" s="1"/>
  <c r="R17" i="1"/>
  <c r="P133" i="1"/>
  <c r="S68" i="1"/>
  <c r="R67" i="1"/>
  <c r="S64" i="1"/>
  <c r="P32" i="7" l="1"/>
  <c r="P30" i="7" s="1"/>
  <c r="P29" i="7"/>
  <c r="P27" i="7" s="1"/>
  <c r="P26" i="7"/>
  <c r="P24" i="7" s="1"/>
  <c r="R40" i="1"/>
  <c r="R39" i="1" s="1"/>
  <c r="R48" i="1" s="1"/>
  <c r="R46" i="1" s="1"/>
  <c r="R82" i="1" s="1"/>
  <c r="Q13" i="2"/>
  <c r="Q12" i="2" s="1"/>
  <c r="T16" i="2"/>
  <c r="S15" i="2"/>
  <c r="R14" i="2"/>
  <c r="P52" i="2"/>
  <c r="J13" i="6"/>
  <c r="Q78" i="1"/>
  <c r="Q76" i="1" s="1"/>
  <c r="Q71" i="1" s="1"/>
  <c r="Q133" i="1"/>
  <c r="S17" i="1"/>
  <c r="S67" i="1"/>
  <c r="T68" i="1"/>
  <c r="T67" i="1" s="1"/>
  <c r="T64" i="1"/>
  <c r="Q32" i="7" l="1"/>
  <c r="Q30" i="7" s="1"/>
  <c r="Q29" i="7"/>
  <c r="Q27" i="7" s="1"/>
  <c r="Q26" i="7"/>
  <c r="Q24" i="7" s="1"/>
  <c r="S40" i="1"/>
  <c r="S39" i="1" s="1"/>
  <c r="S48" i="1" s="1"/>
  <c r="S46" i="1" s="1"/>
  <c r="S82" i="1" s="1"/>
  <c r="T15" i="2"/>
  <c r="S14" i="2"/>
  <c r="R13" i="2"/>
  <c r="R12" i="2" s="1"/>
  <c r="Q52" i="2"/>
  <c r="J14" i="6"/>
  <c r="R78" i="1"/>
  <c r="R76" i="1" s="1"/>
  <c r="R71" i="1" s="1"/>
  <c r="R133" i="1"/>
  <c r="T17" i="1"/>
  <c r="R62" i="1"/>
  <c r="R61" i="1" s="1"/>
  <c r="R60" i="1" s="1"/>
  <c r="N62" i="1"/>
  <c r="N61" i="1" s="1"/>
  <c r="N60" i="1" s="1"/>
  <c r="M62" i="1"/>
  <c r="M61" i="1" s="1"/>
  <c r="M60" i="1" s="1"/>
  <c r="J62" i="1"/>
  <c r="J61" i="1" s="1"/>
  <c r="J60" i="1" s="1"/>
  <c r="K62" i="1"/>
  <c r="K61" i="1" s="1"/>
  <c r="K60" i="1" s="1"/>
  <c r="Q62" i="1"/>
  <c r="Q61" i="1" s="1"/>
  <c r="Q60" i="1" s="1"/>
  <c r="L62" i="1"/>
  <c r="L61" i="1" s="1"/>
  <c r="L60" i="1" s="1"/>
  <c r="P62" i="1"/>
  <c r="P61" i="1" s="1"/>
  <c r="P60" i="1" s="1"/>
  <c r="O62" i="1"/>
  <c r="O61" i="1" s="1"/>
  <c r="O60" i="1" s="1"/>
  <c r="N83" i="1" l="1"/>
  <c r="N81" i="1" s="1"/>
  <c r="N122" i="1" s="1"/>
  <c r="N121" i="1" s="1"/>
  <c r="L83" i="1"/>
  <c r="L81" i="1" s="1"/>
  <c r="T36" i="2" s="1"/>
  <c r="Q83" i="1"/>
  <c r="Q81" i="1" s="1"/>
  <c r="Q122" i="1" s="1"/>
  <c r="Q121" i="1" s="1"/>
  <c r="R83" i="1"/>
  <c r="R81" i="1" s="1"/>
  <c r="R28" i="2" s="1"/>
  <c r="M83" i="1"/>
  <c r="M81" i="1" s="1"/>
  <c r="M122" i="1" s="1"/>
  <c r="M121" i="1" s="1"/>
  <c r="O83" i="1"/>
  <c r="O81" i="1" s="1"/>
  <c r="T33" i="2" s="1"/>
  <c r="K83" i="1"/>
  <c r="K81" i="1" s="1"/>
  <c r="K122" i="1" s="1"/>
  <c r="K121" i="1" s="1"/>
  <c r="P83" i="1"/>
  <c r="P81" i="1" s="1"/>
  <c r="P28" i="2" s="1"/>
  <c r="J83" i="1"/>
  <c r="J81" i="1" s="1"/>
  <c r="J28" i="2" s="1"/>
  <c r="J27" i="2" s="1"/>
  <c r="R32" i="7"/>
  <c r="R30" i="7" s="1"/>
  <c r="R29" i="7"/>
  <c r="R27" i="7" s="1"/>
  <c r="R26" i="7"/>
  <c r="R24" i="7" s="1"/>
  <c r="T40" i="1"/>
  <c r="T39" i="1" s="1"/>
  <c r="T48" i="1" s="1"/>
  <c r="T46" i="1" s="1"/>
  <c r="T82" i="1" s="1"/>
  <c r="O30" i="2"/>
  <c r="T14" i="2"/>
  <c r="S13" i="2"/>
  <c r="S12" i="2" s="1"/>
  <c r="R52" i="2"/>
  <c r="J15" i="6"/>
  <c r="S62" i="1"/>
  <c r="S61" i="1" s="1"/>
  <c r="S60" i="1" s="1"/>
  <c r="T13" i="2"/>
  <c r="S78" i="1"/>
  <c r="S76" i="1" s="1"/>
  <c r="S71" i="1" s="1"/>
  <c r="S133" i="1"/>
  <c r="T35" i="2" l="1"/>
  <c r="P31" i="2"/>
  <c r="L30" i="2"/>
  <c r="R33" i="2"/>
  <c r="M28" i="2"/>
  <c r="N28" i="2"/>
  <c r="Q32" i="2"/>
  <c r="S34" i="2"/>
  <c r="N29" i="2"/>
  <c r="S35" i="2"/>
  <c r="M29" i="2"/>
  <c r="O33" i="2"/>
  <c r="Q35" i="2"/>
  <c r="S37" i="2"/>
  <c r="N32" i="2"/>
  <c r="R32" i="2"/>
  <c r="O29" i="2"/>
  <c r="P34" i="2"/>
  <c r="S33" i="2"/>
  <c r="J132" i="1"/>
  <c r="J131" i="1" s="1"/>
  <c r="S32" i="2"/>
  <c r="T38" i="2"/>
  <c r="P30" i="2"/>
  <c r="N132" i="1"/>
  <c r="N131" i="1" s="1"/>
  <c r="R36" i="2"/>
  <c r="T34" i="2"/>
  <c r="K29" i="2"/>
  <c r="M31" i="2"/>
  <c r="Q31" i="2"/>
  <c r="K132" i="1"/>
  <c r="K131" i="1" s="1"/>
  <c r="Q34" i="2"/>
  <c r="P33" i="2"/>
  <c r="T31" i="2"/>
  <c r="O32" i="2"/>
  <c r="Q30" i="2"/>
  <c r="T37" i="2"/>
  <c r="Q28" i="2"/>
  <c r="K28" i="2"/>
  <c r="M30" i="2"/>
  <c r="S36" i="2"/>
  <c r="N31" i="2"/>
  <c r="R29" i="2"/>
  <c r="T32" i="2"/>
  <c r="Q132" i="1"/>
  <c r="Q131" i="1" s="1"/>
  <c r="T30" i="2"/>
  <c r="L29" i="2"/>
  <c r="R35" i="2"/>
  <c r="S30" i="2"/>
  <c r="R64" i="2"/>
  <c r="T66" i="2"/>
  <c r="N60" i="2"/>
  <c r="L58" i="2"/>
  <c r="Q63" i="2"/>
  <c r="O61" i="2"/>
  <c r="S65" i="2"/>
  <c r="P62" i="2"/>
  <c r="M59" i="2"/>
  <c r="R58" i="2"/>
  <c r="S59" i="2"/>
  <c r="T60" i="2"/>
  <c r="R62" i="2"/>
  <c r="N58" i="2"/>
  <c r="Q61" i="2"/>
  <c r="S63" i="2"/>
  <c r="O59" i="2"/>
  <c r="T64" i="2"/>
  <c r="P60" i="2"/>
  <c r="R61" i="2"/>
  <c r="Q60" i="2"/>
  <c r="S62" i="2"/>
  <c r="T63" i="2"/>
  <c r="P59" i="2"/>
  <c r="O58" i="2"/>
  <c r="R31" i="2"/>
  <c r="N30" i="2"/>
  <c r="Q33" i="2"/>
  <c r="P122" i="1"/>
  <c r="P121" i="1" s="1"/>
  <c r="P57" i="2" s="1"/>
  <c r="O122" i="1"/>
  <c r="O121" i="1" s="1"/>
  <c r="O57" i="2" s="1"/>
  <c r="L122" i="1"/>
  <c r="L121" i="1" s="1"/>
  <c r="L57" i="2" s="1"/>
  <c r="L28" i="2"/>
  <c r="R30" i="2"/>
  <c r="R122" i="1"/>
  <c r="R121" i="1" s="1"/>
  <c r="R57" i="2" s="1"/>
  <c r="R132" i="1"/>
  <c r="R131" i="1" s="1"/>
  <c r="S29" i="2"/>
  <c r="P29" i="2"/>
  <c r="R34" i="2"/>
  <c r="P32" i="2"/>
  <c r="S31" i="2"/>
  <c r="Q29" i="2"/>
  <c r="P132" i="1"/>
  <c r="P131" i="1" s="1"/>
  <c r="O132" i="1"/>
  <c r="O131" i="1" s="1"/>
  <c r="S83" i="1"/>
  <c r="S81" i="1" s="1"/>
  <c r="S28" i="2" s="1"/>
  <c r="O28" i="2"/>
  <c r="O31" i="2"/>
  <c r="J122" i="1"/>
  <c r="J121" i="1" s="1"/>
  <c r="J57" i="2" s="1"/>
  <c r="S32" i="7"/>
  <c r="S30" i="7" s="1"/>
  <c r="S26" i="7"/>
  <c r="S24" i="7" s="1"/>
  <c r="S29" i="7"/>
  <c r="S27" i="7" s="1"/>
  <c r="N57" i="2"/>
  <c r="J46" i="2"/>
  <c r="J45" i="2" s="1"/>
  <c r="J22" i="6"/>
  <c r="S52" i="2"/>
  <c r="J16" i="6"/>
  <c r="T12" i="2"/>
  <c r="T78" i="1"/>
  <c r="T76" i="1" s="1"/>
  <c r="T71" i="1" s="1"/>
  <c r="T133" i="1"/>
  <c r="T62" i="1"/>
  <c r="T61" i="1" s="1"/>
  <c r="T60" i="1" s="1"/>
  <c r="T83" i="1" s="1"/>
  <c r="T81" i="1" s="1"/>
  <c r="L132" i="1"/>
  <c r="L131" i="1" s="1"/>
  <c r="M132" i="1"/>
  <c r="M131" i="1" s="1"/>
  <c r="K27" i="2" l="1"/>
  <c r="K46" i="2" s="1"/>
  <c r="K45" i="2" s="1"/>
  <c r="K14" i="8" s="1"/>
  <c r="K13" i="8" s="1"/>
  <c r="K21" i="8" s="1"/>
  <c r="M27" i="2"/>
  <c r="M46" i="2" s="1"/>
  <c r="M45" i="2" s="1"/>
  <c r="P27" i="2"/>
  <c r="J28" i="6" s="1"/>
  <c r="N27" i="2"/>
  <c r="N46" i="2" s="1"/>
  <c r="N45" i="2" s="1"/>
  <c r="O27" i="2"/>
  <c r="J27" i="6" s="1"/>
  <c r="S132" i="1"/>
  <c r="S131" i="1" s="1"/>
  <c r="T29" i="2"/>
  <c r="R27" i="2"/>
  <c r="R46" i="2" s="1"/>
  <c r="R45" i="2" s="1"/>
  <c r="J14" i="8"/>
  <c r="J13" i="8" s="1"/>
  <c r="J21" i="8" s="1"/>
  <c r="J18" i="8" s="1"/>
  <c r="J14" i="9" s="1"/>
  <c r="J9" i="9"/>
  <c r="J8" i="9" s="1"/>
  <c r="J13" i="9" s="1"/>
  <c r="S122" i="1"/>
  <c r="S121" i="1" s="1"/>
  <c r="T58" i="2" s="1"/>
  <c r="S27" i="2"/>
  <c r="S46" i="2" s="1"/>
  <c r="S45" i="2" s="1"/>
  <c r="L27" i="2"/>
  <c r="L46" i="2" s="1"/>
  <c r="L45" i="2" s="1"/>
  <c r="Q27" i="2"/>
  <c r="Q46" i="2" s="1"/>
  <c r="Q45" i="2" s="1"/>
  <c r="O60" i="2"/>
  <c r="M58" i="2"/>
  <c r="S64" i="2"/>
  <c r="R63" i="2"/>
  <c r="T65" i="2"/>
  <c r="N59" i="2"/>
  <c r="P61" i="2"/>
  <c r="Q62" i="2"/>
  <c r="T59" i="2"/>
  <c r="S58" i="2"/>
  <c r="T62" i="2"/>
  <c r="Q59" i="2"/>
  <c r="S61" i="2"/>
  <c r="P58" i="2"/>
  <c r="R60" i="2"/>
  <c r="S66" i="2"/>
  <c r="N61" i="2"/>
  <c r="P63" i="2"/>
  <c r="T67" i="2"/>
  <c r="O62" i="2"/>
  <c r="Q64" i="2"/>
  <c r="L59" i="2"/>
  <c r="K58" i="2"/>
  <c r="M60" i="2"/>
  <c r="R65" i="2"/>
  <c r="Q58" i="2"/>
  <c r="R59" i="2"/>
  <c r="T61" i="2"/>
  <c r="S60" i="2"/>
  <c r="T32" i="7"/>
  <c r="T30" i="7" s="1"/>
  <c r="T29" i="7"/>
  <c r="T27" i="7" s="1"/>
  <c r="T26" i="7"/>
  <c r="T24" i="7" s="1"/>
  <c r="T28" i="2"/>
  <c r="T122" i="1"/>
  <c r="T121" i="1" s="1"/>
  <c r="J23" i="6"/>
  <c r="Q57" i="2"/>
  <c r="M57" i="2"/>
  <c r="K57" i="2"/>
  <c r="T52" i="2"/>
  <c r="J17" i="6"/>
  <c r="J51" i="2"/>
  <c r="J50" i="2" s="1"/>
  <c r="J37" i="6"/>
  <c r="T132" i="1"/>
  <c r="T131" i="1" s="1"/>
  <c r="J38" i="6" l="1"/>
  <c r="K9" i="9"/>
  <c r="K8" i="9" s="1"/>
  <c r="K13" i="9" s="1"/>
  <c r="K51" i="2"/>
  <c r="K50" i="2" s="1"/>
  <c r="P46" i="2"/>
  <c r="P45" i="2" s="1"/>
  <c r="P9" i="9" s="1"/>
  <c r="P8" i="9" s="1"/>
  <c r="P13" i="9" s="1"/>
  <c r="O46" i="2"/>
  <c r="O45" i="2" s="1"/>
  <c r="O14" i="8" s="1"/>
  <c r="O13" i="8" s="1"/>
  <c r="O21" i="8" s="1"/>
  <c r="J30" i="6"/>
  <c r="J25" i="6"/>
  <c r="J26" i="6"/>
  <c r="T27" i="2"/>
  <c r="T46" i="2" s="1"/>
  <c r="T45" i="2" s="1"/>
  <c r="S57" i="2"/>
  <c r="K78" i="2"/>
  <c r="J29" i="6"/>
  <c r="J78" i="2"/>
  <c r="J12" i="9"/>
  <c r="J19" i="9" s="1"/>
  <c r="J18" i="9" s="1"/>
  <c r="L14" i="8"/>
  <c r="L13" i="8" s="1"/>
  <c r="L78" i="2" s="1"/>
  <c r="L9" i="9"/>
  <c r="L8" i="9" s="1"/>
  <c r="L13" i="9" s="1"/>
  <c r="S14" i="8"/>
  <c r="S13" i="8" s="1"/>
  <c r="S21" i="8" s="1"/>
  <c r="S9" i="9"/>
  <c r="S8" i="9" s="1"/>
  <c r="S13" i="9" s="1"/>
  <c r="J31" i="6"/>
  <c r="J24" i="6"/>
  <c r="R14" i="8"/>
  <c r="R13" i="8" s="1"/>
  <c r="R78" i="2" s="1"/>
  <c r="R9" i="9"/>
  <c r="R8" i="9" s="1"/>
  <c r="R13" i="9" s="1"/>
  <c r="N14" i="8"/>
  <c r="N13" i="8" s="1"/>
  <c r="N78" i="2" s="1"/>
  <c r="N9" i="9"/>
  <c r="N8" i="9" s="1"/>
  <c r="N13" i="9" s="1"/>
  <c r="M14" i="8"/>
  <c r="M13" i="8" s="1"/>
  <c r="M21" i="8" s="1"/>
  <c r="M9" i="9"/>
  <c r="M8" i="9" s="1"/>
  <c r="M13" i="9" s="1"/>
  <c r="Q14" i="8"/>
  <c r="Q13" i="8" s="1"/>
  <c r="Q21" i="8" s="1"/>
  <c r="Q9" i="9"/>
  <c r="Q8" i="9" s="1"/>
  <c r="Q13" i="9" s="1"/>
  <c r="K19" i="8"/>
  <c r="J26" i="8"/>
  <c r="J24" i="8" s="1"/>
  <c r="J76" i="2" s="1"/>
  <c r="T57" i="2"/>
  <c r="R51" i="2"/>
  <c r="R50" i="2" s="1"/>
  <c r="J45" i="6"/>
  <c r="N51" i="2"/>
  <c r="N50" i="2" s="1"/>
  <c r="J41" i="6"/>
  <c r="M51" i="2"/>
  <c r="M50" i="2" s="1"/>
  <c r="J40" i="6"/>
  <c r="Q51" i="2"/>
  <c r="Q50" i="2" s="1"/>
  <c r="J44" i="6"/>
  <c r="S51" i="2"/>
  <c r="S50" i="2" s="1"/>
  <c r="J46" i="6"/>
  <c r="L51" i="2"/>
  <c r="L50" i="2" s="1"/>
  <c r="J39" i="6"/>
  <c r="P14" i="8" l="1"/>
  <c r="P13" i="8" s="1"/>
  <c r="P21" i="8" s="1"/>
  <c r="J43" i="6"/>
  <c r="O51" i="2"/>
  <c r="O50" i="2" s="1"/>
  <c r="P51" i="2"/>
  <c r="P50" i="2" s="1"/>
  <c r="J32" i="6"/>
  <c r="O9" i="9"/>
  <c r="O8" i="9" s="1"/>
  <c r="O13" i="9" s="1"/>
  <c r="J42" i="6"/>
  <c r="L21" i="8"/>
  <c r="O78" i="2"/>
  <c r="M78" i="2"/>
  <c r="R21" i="8"/>
  <c r="N21" i="8"/>
  <c r="T14" i="8"/>
  <c r="T13" i="8" s="1"/>
  <c r="T21" i="8" s="1"/>
  <c r="T9" i="9"/>
  <c r="T8" i="9" s="1"/>
  <c r="T13" i="9" s="1"/>
  <c r="S78" i="2"/>
  <c r="Q78" i="2"/>
  <c r="K18" i="8"/>
  <c r="K14" i="9" s="1"/>
  <c r="K12" i="9" s="1"/>
  <c r="K19" i="9" s="1"/>
  <c r="K18" i="9" s="1"/>
  <c r="K25" i="8"/>
  <c r="T51" i="2"/>
  <c r="T50" i="2" s="1"/>
  <c r="J47" i="6"/>
  <c r="P78" i="2" l="1"/>
  <c r="T78" i="2"/>
  <c r="L19" i="8"/>
  <c r="K26" i="8"/>
  <c r="K24" i="8" s="1"/>
  <c r="K76" i="2" s="1"/>
  <c r="I102" i="1"/>
  <c r="I113" i="1" s="1"/>
  <c r="I111" i="1" s="1"/>
  <c r="I123" i="1" s="1"/>
  <c r="I121" i="1" s="1"/>
  <c r="S67" i="2" l="1"/>
  <c r="S56" i="2" s="1"/>
  <c r="O63" i="2"/>
  <c r="O56" i="2" s="1"/>
  <c r="K59" i="2"/>
  <c r="K56" i="2" s="1"/>
  <c r="N62" i="2"/>
  <c r="N56" i="2" s="1"/>
  <c r="J58" i="2"/>
  <c r="J56" i="2" s="1"/>
  <c r="Q65" i="2"/>
  <c r="Q56" i="2" s="1"/>
  <c r="M61" i="2"/>
  <c r="M56" i="2" s="1"/>
  <c r="T68" i="2"/>
  <c r="T56" i="2" s="1"/>
  <c r="P64" i="2"/>
  <c r="P56" i="2" s="1"/>
  <c r="L60" i="2"/>
  <c r="L56" i="2" s="1"/>
  <c r="R66" i="2"/>
  <c r="R56" i="2" s="1"/>
  <c r="I57" i="2"/>
  <c r="I56" i="2" s="1"/>
  <c r="L18" i="8"/>
  <c r="L14" i="9" s="1"/>
  <c r="L12" i="9" s="1"/>
  <c r="L19" i="9" s="1"/>
  <c r="L18" i="9" s="1"/>
  <c r="L25" i="8"/>
  <c r="I129" i="1"/>
  <c r="I126" i="1"/>
  <c r="T82" i="2" l="1"/>
  <c r="T94" i="2"/>
  <c r="R82" i="2"/>
  <c r="R94" i="2"/>
  <c r="K82" i="2"/>
  <c r="K94" i="2"/>
  <c r="L82" i="2"/>
  <c r="L94" i="2"/>
  <c r="Q94" i="2"/>
  <c r="Q82" i="2"/>
  <c r="O82" i="2"/>
  <c r="O94" i="2"/>
  <c r="I82" i="2"/>
  <c r="I81" i="2" s="1"/>
  <c r="I90" i="2" s="1"/>
  <c r="I88" i="2" s="1"/>
  <c r="I94" i="2"/>
  <c r="I93" i="2" s="1"/>
  <c r="N82" i="2"/>
  <c r="N94" i="2"/>
  <c r="M82" i="2"/>
  <c r="M94" i="2"/>
  <c r="P94" i="2"/>
  <c r="P82" i="2"/>
  <c r="J82" i="2"/>
  <c r="J94" i="2"/>
  <c r="S82" i="2"/>
  <c r="S94" i="2"/>
  <c r="M19" i="8"/>
  <c r="L26" i="8"/>
  <c r="L24" i="8" s="1"/>
  <c r="L76" i="2" s="1"/>
  <c r="J31" i="8" l="1"/>
  <c r="J89" i="2"/>
  <c r="M18" i="8"/>
  <c r="M14" i="9" s="1"/>
  <c r="M12" i="9" s="1"/>
  <c r="M19" i="9" s="1"/>
  <c r="M18" i="9" s="1"/>
  <c r="M25" i="8"/>
  <c r="J30" i="8" l="1"/>
  <c r="J77" i="2" s="1"/>
  <c r="J74" i="2" s="1"/>
  <c r="N19" i="8"/>
  <c r="M26" i="8"/>
  <c r="M24" i="8" s="1"/>
  <c r="M76" i="2" s="1"/>
  <c r="J85" i="2" l="1"/>
  <c r="J81" i="2" s="1"/>
  <c r="J90" i="2" s="1"/>
  <c r="J88" i="2" s="1"/>
  <c r="K31" i="8" s="1"/>
  <c r="J96" i="2"/>
  <c r="J93" i="2" s="1"/>
  <c r="N18" i="8"/>
  <c r="N14" i="9" s="1"/>
  <c r="N12" i="9" s="1"/>
  <c r="N19" i="9" s="1"/>
  <c r="N18" i="9" s="1"/>
  <c r="N25" i="8"/>
  <c r="K89" i="2" l="1"/>
  <c r="K30" i="8"/>
  <c r="K77" i="2" s="1"/>
  <c r="K74" i="2" s="1"/>
  <c r="O19" i="8"/>
  <c r="N26" i="8"/>
  <c r="N24" i="8" s="1"/>
  <c r="N76" i="2" s="1"/>
  <c r="K96" i="2" l="1"/>
  <c r="K93" i="2" s="1"/>
  <c r="K85" i="2"/>
  <c r="K81" i="2" s="1"/>
  <c r="K90" i="2" s="1"/>
  <c r="K88" i="2" s="1"/>
  <c r="L31" i="8" s="1"/>
  <c r="O18" i="8"/>
  <c r="O14" i="9" s="1"/>
  <c r="O12" i="9" s="1"/>
  <c r="O19" i="9" s="1"/>
  <c r="O18" i="9" s="1"/>
  <c r="O25" i="8"/>
  <c r="L89" i="2" l="1"/>
  <c r="L30" i="8"/>
  <c r="L77" i="2" s="1"/>
  <c r="L74" i="2" s="1"/>
  <c r="P19" i="8"/>
  <c r="O26" i="8"/>
  <c r="O24" i="8" s="1"/>
  <c r="O76" i="2" s="1"/>
  <c r="L85" i="2" l="1"/>
  <c r="L81" i="2" s="1"/>
  <c r="L90" i="2" s="1"/>
  <c r="L88" i="2" s="1"/>
  <c r="M89" i="2" s="1"/>
  <c r="L96" i="2"/>
  <c r="L93" i="2" s="1"/>
  <c r="P18" i="8"/>
  <c r="P14" i="9" s="1"/>
  <c r="P12" i="9" s="1"/>
  <c r="P19" i="9" s="1"/>
  <c r="P18" i="9" s="1"/>
  <c r="P25" i="8"/>
  <c r="M31" i="8" l="1"/>
  <c r="M30" i="8" s="1"/>
  <c r="M77" i="2" s="1"/>
  <c r="M74" i="2" s="1"/>
  <c r="Q19" i="8"/>
  <c r="P26" i="8"/>
  <c r="P24" i="8" s="1"/>
  <c r="P76" i="2" s="1"/>
  <c r="M85" i="2" l="1"/>
  <c r="M81" i="2" s="1"/>
  <c r="M90" i="2" s="1"/>
  <c r="M88" i="2" s="1"/>
  <c r="N89" i="2" s="1"/>
  <c r="M96" i="2"/>
  <c r="M93" i="2" s="1"/>
  <c r="Q18" i="8"/>
  <c r="Q14" i="9" s="1"/>
  <c r="Q12" i="9" s="1"/>
  <c r="Q19" i="9" s="1"/>
  <c r="Q18" i="9" s="1"/>
  <c r="Q25" i="8"/>
  <c r="N31" i="8" l="1"/>
  <c r="R19" i="8"/>
  <c r="Q26" i="8"/>
  <c r="Q24" i="8" s="1"/>
  <c r="Q76" i="2" s="1"/>
  <c r="N30" i="8" l="1"/>
  <c r="N77" i="2" s="1"/>
  <c r="N74" i="2" s="1"/>
  <c r="R18" i="8"/>
  <c r="R14" i="9" s="1"/>
  <c r="R12" i="9" s="1"/>
  <c r="R19" i="9" s="1"/>
  <c r="R18" i="9" s="1"/>
  <c r="R25" i="8"/>
  <c r="N85" i="2" l="1"/>
  <c r="N81" i="2" s="1"/>
  <c r="N90" i="2" s="1"/>
  <c r="N88" i="2" s="1"/>
  <c r="N96" i="2"/>
  <c r="N93" i="2" s="1"/>
  <c r="S19" i="8"/>
  <c r="R26" i="8"/>
  <c r="R24" i="8" s="1"/>
  <c r="R76" i="2" s="1"/>
  <c r="O89" i="2" l="1"/>
  <c r="O31" i="8"/>
  <c r="S18" i="8"/>
  <c r="S14" i="9" s="1"/>
  <c r="S12" i="9" s="1"/>
  <c r="S19" i="9" s="1"/>
  <c r="S18" i="9" s="1"/>
  <c r="S25" i="8"/>
  <c r="O30" i="8" l="1"/>
  <c r="O77" i="2" s="1"/>
  <c r="O74" i="2" s="1"/>
  <c r="T19" i="8"/>
  <c r="S26" i="8"/>
  <c r="S24" i="8" s="1"/>
  <c r="S76" i="2" s="1"/>
  <c r="O85" i="2" l="1"/>
  <c r="O81" i="2" s="1"/>
  <c r="O90" i="2" s="1"/>
  <c r="O88" i="2" s="1"/>
  <c r="O96" i="2"/>
  <c r="O93" i="2" s="1"/>
  <c r="T18" i="8"/>
  <c r="T25" i="8"/>
  <c r="T26" i="8" l="1"/>
  <c r="T24" i="8" s="1"/>
  <c r="T76" i="2" s="1"/>
  <c r="T14" i="9"/>
  <c r="T12" i="9" s="1"/>
  <c r="T19" i="9" s="1"/>
  <c r="T18" i="9" s="1"/>
  <c r="P89" i="2"/>
  <c r="P31" i="8"/>
  <c r="P30" i="8" l="1"/>
  <c r="P77" i="2" s="1"/>
  <c r="P74" i="2" s="1"/>
  <c r="P85" i="2" l="1"/>
  <c r="P81" i="2" s="1"/>
  <c r="P90" i="2" s="1"/>
  <c r="P88" i="2" s="1"/>
  <c r="P96" i="2"/>
  <c r="P93" i="2" s="1"/>
  <c r="Q89" i="2" l="1"/>
  <c r="Q31" i="8"/>
  <c r="Q30" i="8" l="1"/>
  <c r="Q77" i="2" s="1"/>
  <c r="Q74" i="2" s="1"/>
  <c r="Q85" i="2" l="1"/>
  <c r="Q81" i="2" s="1"/>
  <c r="Q90" i="2" s="1"/>
  <c r="Q88" i="2" s="1"/>
  <c r="Q96" i="2"/>
  <c r="Q93" i="2" s="1"/>
  <c r="R89" i="2" l="1"/>
  <c r="R31" i="8"/>
  <c r="R30" i="8" l="1"/>
  <c r="R77" i="2" s="1"/>
  <c r="R74" i="2" s="1"/>
  <c r="R96" i="2" l="1"/>
  <c r="R93" i="2" s="1"/>
  <c r="R85" i="2"/>
  <c r="R81" i="2" s="1"/>
  <c r="R90" i="2" s="1"/>
  <c r="R88" i="2" s="1"/>
  <c r="S89" i="2" l="1"/>
  <c r="S31" i="8"/>
  <c r="S30" i="8" l="1"/>
  <c r="S77" i="2" s="1"/>
  <c r="S74" i="2" s="1"/>
  <c r="S96" i="2" l="1"/>
  <c r="S93" i="2" s="1"/>
  <c r="S85" i="2"/>
  <c r="S81" i="2" s="1"/>
  <c r="S90" i="2" s="1"/>
  <c r="S88" i="2" s="1"/>
  <c r="T89" i="2" l="1"/>
  <c r="T31" i="8"/>
  <c r="T30" i="8" l="1"/>
  <c r="T77" i="2" s="1"/>
  <c r="T74" i="2" s="1"/>
  <c r="T85" i="2" l="1"/>
  <c r="T81" i="2" s="1"/>
  <c r="T90" i="2" s="1"/>
  <c r="T88" i="2" s="1"/>
  <c r="T96" i="2"/>
  <c r="T9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8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38"/>
          </rPr>
          <t>StartupAkademia:</t>
        </r>
        <r>
          <rPr>
            <sz val="9"/>
            <color indexed="81"/>
            <rFont val="Tahoma"/>
            <family val="2"/>
            <charset val="238"/>
          </rPr>
          <t xml:space="preserve">
Here you input how many new outlets you open every year
</t>
        </r>
      </text>
    </comment>
  </commentList>
</comments>
</file>

<file path=xl/sharedStrings.xml><?xml version="1.0" encoding="utf-8"?>
<sst xmlns="http://schemas.openxmlformats.org/spreadsheetml/2006/main" count="467" uniqueCount="185">
  <si>
    <t>Revenues</t>
  </si>
  <si>
    <t>Royalties</t>
  </si>
  <si>
    <t>Labour</t>
  </si>
  <si>
    <t>Marketing activities</t>
  </si>
  <si>
    <t>Number of FTE</t>
  </si>
  <si>
    <t>Cost per FTE</t>
  </si>
  <si>
    <t>[FTE]</t>
  </si>
  <si>
    <t>% Rolayties</t>
  </si>
  <si>
    <t>[sqm]</t>
  </si>
  <si>
    <t>[%]</t>
  </si>
  <si>
    <t>EBITDA store level</t>
  </si>
  <si>
    <t>FCFF</t>
  </si>
  <si>
    <t>Inventory</t>
  </si>
  <si>
    <t>Opex HQ</t>
  </si>
  <si>
    <t>Net revenues</t>
  </si>
  <si>
    <t>Investment HQ</t>
  </si>
  <si>
    <t>Other costs</t>
  </si>
  <si>
    <t>Phones</t>
  </si>
  <si>
    <t>SaaS montly payments</t>
  </si>
  <si>
    <t>Utilities</t>
  </si>
  <si>
    <t>Remaining</t>
  </si>
  <si>
    <t>% of Revenues</t>
  </si>
  <si>
    <t>Cost per sq m</t>
  </si>
  <si>
    <t>Table of content</t>
  </si>
  <si>
    <t>back</t>
  </si>
  <si>
    <t>['000 USD]</t>
  </si>
  <si>
    <t>Categories used in the calculations</t>
  </si>
  <si>
    <t>Years</t>
  </si>
  <si>
    <t>All data yearly</t>
  </si>
  <si>
    <t>Discounting rate</t>
  </si>
  <si>
    <t>EBITDA after HQ costs</t>
  </si>
  <si>
    <t>% EBITDA after HQ costs</t>
  </si>
  <si>
    <t>Useful for the case links</t>
  </si>
  <si>
    <t>Data for the slide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</si>
  <si>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</si>
  <si>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</si>
  <si>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</si>
  <si>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</si>
  <si>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</si>
  <si>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</si>
  <si>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</si>
  <si>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</si>
  <si>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</si>
  <si>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</si>
  <si>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</si>
  <si>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</si>
  <si>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Revenues by years  in M of USD</t>
  </si>
  <si>
    <t>EBITDA  on store level by years  in M of USD</t>
  </si>
  <si>
    <t>EBITDA  after HQ costs by years  in M of USD</t>
  </si>
  <si>
    <t>Presentation with additional tips on how to open restaurant</t>
  </si>
  <si>
    <t>Tips on how to create financial models in Excel</t>
  </si>
  <si>
    <t>My other finacial models on Eloquens</t>
  </si>
  <si>
    <t>Tips on how to gather data that will help you select the best spot for your restaurants</t>
  </si>
  <si>
    <t>Store checks example</t>
  </si>
  <si>
    <t>How to chose the right concept for your restaurant</t>
  </si>
  <si>
    <t>How to use Yelp to pick the best spot for your restaurant</t>
  </si>
  <si>
    <t>Total CF</t>
  </si>
  <si>
    <t>Financial CF</t>
  </si>
  <si>
    <t>Business model for the whole chain of hotels</t>
  </si>
  <si>
    <t>Revenues from hotel renting</t>
  </si>
  <si>
    <t># of nights sold</t>
  </si>
  <si>
    <t># of rooms</t>
  </si>
  <si>
    <t># of days per period</t>
  </si>
  <si>
    <t>Average number of rooms per hotel</t>
  </si>
  <si>
    <t>% Occupancy rate</t>
  </si>
  <si>
    <t>Average Daily Rate (ADR)</t>
  </si>
  <si>
    <t>RevPAR explained</t>
  </si>
  <si>
    <t>Video manual to a restaurant model in Excel</t>
  </si>
  <si>
    <t>Additional explanation to the restaurant model</t>
  </si>
  <si>
    <t>Average price per 1 night</t>
  </si>
  <si>
    <t>Additional revenue per 1 night</t>
  </si>
  <si>
    <t>[night]</t>
  </si>
  <si>
    <t>[room]</t>
  </si>
  <si>
    <t>[night / room]</t>
  </si>
  <si>
    <t>[USD / night]</t>
  </si>
  <si>
    <t>Cost of Cleaning the Rooms</t>
  </si>
  <si>
    <t>Cost per 1 night</t>
  </si>
  <si>
    <t>Cost of Breakfast</t>
  </si>
  <si>
    <t>Cost related to additional revenues</t>
  </si>
  <si>
    <t>Cost of delivering revenue e as % of revenue</t>
  </si>
  <si>
    <t>Gross Margin After Variable Costs</t>
  </si>
  <si>
    <t>Variable Costs</t>
  </si>
  <si>
    <t>Fixed Costs</t>
  </si>
  <si>
    <t>['000 USD / FTE]</t>
  </si>
  <si>
    <t>How many people you need to run a hotel</t>
  </si>
  <si>
    <t>Size of the hotel</t>
  </si>
  <si>
    <t>Space for rooms</t>
  </si>
  <si>
    <t>Space per 1 room</t>
  </si>
  <si>
    <t>Other space as % o Space for rooms</t>
  </si>
  <si>
    <t>Other space on the floors</t>
  </si>
  <si>
    <t>Kitchen</t>
  </si>
  <si>
    <t>Other space</t>
  </si>
  <si>
    <t>[sq m]</t>
  </si>
  <si>
    <t>[sq m / room]</t>
  </si>
  <si>
    <t>Booking Fees</t>
  </si>
  <si>
    <t>% Sold via booking sites</t>
  </si>
  <si>
    <t>Booking fee as % of revenue</t>
  </si>
  <si>
    <t>Transactional Fees</t>
  </si>
  <si>
    <t>EBITDA on the hotel level</t>
  </si>
  <si>
    <t>Fixed Costs related to space</t>
  </si>
  <si>
    <t>[USD / sqm]</t>
  </si>
  <si>
    <t>Cleaning outside rooms</t>
  </si>
  <si>
    <t>Building the Hotel</t>
  </si>
  <si>
    <t>Furniture &amp; Others</t>
  </si>
  <si>
    <t>Average cost per 1 sq m</t>
  </si>
  <si>
    <t>Cost per 1 room</t>
  </si>
  <si>
    <t>[USD / room]</t>
  </si>
  <si>
    <t>Space around the hotel</t>
  </si>
  <si>
    <t>Space around the hotel - size</t>
  </si>
  <si>
    <t>Investment in Building</t>
  </si>
  <si>
    <t>Maintenance Investment</t>
  </si>
  <si>
    <t>% of initial investment</t>
  </si>
  <si>
    <t>How to calculate average room rate</t>
  </si>
  <si>
    <t>Refurbishment &amp; renovation of rooms</t>
  </si>
  <si>
    <t>How many years between rennovation</t>
  </si>
  <si>
    <t>Total investment</t>
  </si>
  <si>
    <t>Invesntor per 1 room</t>
  </si>
  <si>
    <t>[year]</t>
  </si>
  <si>
    <t>Buying the land</t>
  </si>
  <si>
    <t># of sq m of hotel per sq m of land</t>
  </si>
  <si>
    <t>% EBITDA hotel level</t>
  </si>
  <si>
    <t>IRR - for 12 years</t>
  </si>
  <si>
    <t>NPV for 12 years</t>
  </si>
  <si>
    <t>Revenues from hotels by cohorts (years of opening)</t>
  </si>
  <si>
    <t># of new hotels opened</t>
  </si>
  <si>
    <t>Total # of hotels</t>
  </si>
  <si>
    <t>EBITDA from hotels by cohorts (years of opening)</t>
  </si>
  <si>
    <t xml:space="preserve">EBITDA from hotels </t>
  </si>
  <si>
    <t>CEO</t>
  </si>
  <si>
    <t>Marketing specialist</t>
  </si>
  <si>
    <t>% of Sales</t>
  </si>
  <si>
    <t>Travel</t>
  </si>
  <si>
    <t>Marketing costs</t>
  </si>
  <si>
    <t>Rent for HQ</t>
  </si>
  <si>
    <t># of FTE</t>
  </si>
  <si>
    <t>Cost per 1 FTE</t>
  </si>
  <si>
    <t>Regional Managers</t>
  </si>
  <si>
    <t>Board Members</t>
  </si>
  <si>
    <t>B2B sales</t>
  </si>
  <si>
    <t>Hotel design specialist</t>
  </si>
  <si>
    <t>Rent per sq m</t>
  </si>
  <si>
    <t># of sq m</t>
  </si>
  <si>
    <t>[USD / sq m]</t>
  </si>
  <si>
    <t>People / Labor costs</t>
  </si>
  <si>
    <t>Operational &amp; Investment CF from hotels by cohorts (years of opening)</t>
  </si>
  <si>
    <t>Loan Increase</t>
  </si>
  <si>
    <t>Interest Paid</t>
  </si>
  <si>
    <t>Repayment of the Loan</t>
  </si>
  <si>
    <t>Loan required for new hotel</t>
  </si>
  <si>
    <t>Capex per 1 hotel - initial amount</t>
  </si>
  <si>
    <t>Repayment of the loan</t>
  </si>
  <si>
    <t>Total EBITDA</t>
  </si>
  <si>
    <t>% of total EBITDA</t>
  </si>
  <si>
    <t>Loan at the end of the year</t>
  </si>
  <si>
    <t>Loan at beginning of the year</t>
  </si>
  <si>
    <t>Increase in the loan</t>
  </si>
  <si>
    <t>Repaymanet of the loan</t>
  </si>
  <si>
    <t>Interest paid</t>
  </si>
  <si>
    <t>Interest rate</t>
  </si>
  <si>
    <t>Operational &amp; Investment CF from hotels by cohorts</t>
  </si>
  <si>
    <t>Cash Invested by owners</t>
  </si>
  <si>
    <t>Change</t>
  </si>
  <si>
    <t>Cash Position at the end of the year</t>
  </si>
  <si>
    <t>Cash Position at the beginning of the year</t>
  </si>
  <si>
    <t>Interest received</t>
  </si>
  <si>
    <t>Cash position</t>
  </si>
  <si>
    <t>Interest Received</t>
  </si>
  <si>
    <t>CF before payment of the loans</t>
  </si>
  <si>
    <t>Financial CF without repayment of loans</t>
  </si>
  <si>
    <t>Space for the hotel</t>
  </si>
  <si>
    <t>Cost per 1 sqm</t>
  </si>
  <si>
    <t>['000 USD / FTE]]</t>
  </si>
  <si>
    <t>Enterpise value of the Business</t>
  </si>
  <si>
    <t>EBITDA</t>
  </si>
  <si>
    <t>Multiplier</t>
  </si>
  <si>
    <t>EBITDA multiplier for hotels analysis</t>
  </si>
  <si>
    <t>Equity Value</t>
  </si>
  <si>
    <t>Total Debt</t>
  </si>
  <si>
    <t>Business model for a single hotel</t>
  </si>
  <si>
    <t>Head Office Costs</t>
  </si>
  <si>
    <t>Loan projection</t>
  </si>
  <si>
    <t>Valuation of the Hotel Business</t>
  </si>
  <si>
    <t>Hotel business model - A single hotel &amp; a whole chain</t>
  </si>
  <si>
    <t>Return On Investment</t>
  </si>
  <si>
    <t>Equity Value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</si>
</sst>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</cellStyleXfs>
  <cellXfs count="38">
    <xf numFmtId="0" fontId="0" fillId="0" borderId="0" xfId="0"/>
    <xf numFmtId="0" fontId="0" fillId="2" borderId="0" xfId="0" applyFill="1"/>
    <xf numFmtId="0" fontId="9" fillId="2" borderId="0" xfId="0" applyFont="1" applyFill="1"/>
    <xf numFmtId="3" fontId="0" fillId="2" borderId="0" xfId="0" applyNumberFormat="1" applyFill="1"/>
    <xf numFmtId="0" fontId="8" fillId="2" borderId="0" xfId="0" applyFont="1" applyFill="1"/>
    <xf numFmtId="9" fontId="0" fillId="2" borderId="0" xfId="0" applyNumberFormat="1" applyFill="1"/>
    <xf numFmtId="164" fontId="0" fillId="2" borderId="0" xfId="0" applyNumberFormat="1" applyFill="1"/>
    <xf numFmtId="3" fontId="9" fillId="2" borderId="0" xfId="0" applyNumberFormat="1" applyFont="1" applyFill="1"/>
    <xf numFmtId="0" fontId="0" fillId="3" borderId="0" xfId="0" applyFill="1"/>
    <xf numFmtId="3" fontId="0" fillId="3" borderId="0" xfId="0" applyNumberFormat="1" applyFill="1"/>
    <xf numFmtId="3" fontId="7" fillId="2" borderId="0" xfId="0" applyNumberFormat="1" applyFont="1" applyFill="1"/>
    <xf numFmtId="3" fontId="6" fillId="2" borderId="0" xfId="0" applyNumberFormat="1" applyFont="1" applyFill="1"/>
    <xf numFmtId="9" fontId="0" fillId="3" borderId="0" xfId="0" applyNumberFormat="1" applyFill="1"/>
    <xf numFmtId="0" fontId="5" fillId="2" borderId="0" xfId="0" applyFont="1" applyFill="1"/>
    <xf numFmtId="9" fontId="9" fillId="2" borderId="0" xfId="1" applyFont="1" applyFill="1"/>
    <xf numFmtId="0" fontId="13" fillId="2" borderId="0" xfId="2" applyFill="1"/>
    <xf numFmtId="0" fontId="14" fillId="2" borderId="0" xfId="0" applyFont="1" applyFill="1"/>
    <xf numFmtId="0" fontId="15" fillId="2" borderId="0" xfId="2" applyFont="1" applyFill="1"/>
    <xf numFmtId="9" fontId="9" fillId="2" borderId="0" xfId="0" applyNumberFormat="1" applyFont="1" applyFill="1"/>
    <xf numFmtId="0" fontId="4" fillId="2" borderId="0" xfId="0" applyFont="1" applyFill="1"/>
    <xf numFmtId="1" fontId="14" fillId="2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0" fontId="16" fillId="2" borderId="0" xfId="3" applyFont="1" applyFill="1"/>
    <xf numFmtId="0" fontId="17" fillId="2" borderId="0" xfId="2" applyFont="1" applyFill="1"/>
    <xf numFmtId="0" fontId="0" fillId="2" borderId="0" xfId="0" applyFill="1" applyBorder="1"/>
    <xf numFmtId="3" fontId="13" fillId="2" borderId="0" xfId="2" applyNumberFormat="1" applyFill="1"/>
    <xf numFmtId="3" fontId="0" fillId="2" borderId="0" xfId="0" applyNumberFormat="1" applyFill="1" applyBorder="1"/>
    <xf numFmtId="9" fontId="0" fillId="3" borderId="0" xfId="1" applyFont="1" applyFill="1"/>
    <xf numFmtId="9" fontId="0" fillId="2" borderId="0" xfId="1" applyFont="1" applyFill="1"/>
    <xf numFmtId="0" fontId="3" fillId="2" borderId="0" xfId="0" applyFont="1" applyFill="1"/>
    <xf numFmtId="164" fontId="0" fillId="3" borderId="0" xfId="0" applyNumberFormat="1" applyFill="1"/>
    <xf numFmtId="3" fontId="3" fillId="2" borderId="0" xfId="0" applyNumberFormat="1" applyFont="1" applyFill="1"/>
    <xf numFmtId="0" fontId="2" fillId="2" borderId="0" xfId="0" applyFont="1" applyFill="1"/>
    <xf numFmtId="3" fontId="2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65" fontId="0" fillId="3" borderId="0" xfId="0" applyNumberFormat="1" applyFill="1"/>
    <xf numFmtId="3" fontId="17" fillId="2" borderId="0" xfId="2" applyNumberFormat="1" applyFont="1" applyFill="1"/>
  </cellXfs>
  <cellStyles count="4">
    <cellStyle name="Hyperlink" xfId="2" builtinId="8"/>
    <cellStyle name="Normal" xfId="0" builtinId="0"/>
    <cellStyle name="Normal 2" xfId="3" xr:uid="{00000000-0005-0000-0000-000002000000}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Slide!$I$6:$I$17</c:f>
              <c:strCache>
                <c:ptCount val="12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</c:strCache>
            </c:strRef>
          </c:cat>
          <c:val>
            <c:numRef>
              <c:f>Slide!$J$6:$J$17</c:f>
              <c:numCache>
                <c:formatCode>0</c:formatCode>
                <c:ptCount val="12"/>
                <c:pt idx="0">
                  <c:v>0.71820000000000006</c:v>
                </c:pt>
                <c:pt idx="1">
                  <c:v>1.7010000000000001</c:v>
                </c:pt>
                <c:pt idx="2">
                  <c:v>2.9181599999999999</c:v>
                </c:pt>
                <c:pt idx="3">
                  <c:v>4.3091999999999997</c:v>
                </c:pt>
                <c:pt idx="4">
                  <c:v>5.7871800000000002</c:v>
                </c:pt>
                <c:pt idx="5">
                  <c:v>7.3521000000000001</c:v>
                </c:pt>
                <c:pt idx="6">
                  <c:v>8.9170200000000008</c:v>
                </c:pt>
                <c:pt idx="7">
                  <c:v>10.48194</c:v>
                </c:pt>
                <c:pt idx="8">
                  <c:v>12.046860000000001</c:v>
                </c:pt>
                <c:pt idx="9">
                  <c:v>13.61178</c:v>
                </c:pt>
                <c:pt idx="10">
                  <c:v>15.1767</c:v>
                </c:pt>
                <c:pt idx="11">
                  <c:v>16.741619999999998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F-4823-9C05-8DF8C65E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14"/>
        <c:axId val="1775687136"/>
        <c:axId val="1775687680"/>
      </c:barChart>
      <c:catAx>
        <c:axId val="17756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87680"/>
        <c:crossesAt val="0"/>
        <c:auto val="1"/>
        <c:lblAlgn val="ctr"/>
        <c:lblOffset val="100"/>
        <c:noMultiLvlLbl val="0"/>
      </c:catAx>
      <c:valAx>
        <c:axId val="1775687680"/>
        <c:scaling>
          <c:orientation val="minMax"/>
          <c:max val="100"/>
        </c:scaling>
        <c:delete val="1"/>
        <c:axPos val="l"/>
        <c:numFmt formatCode="0" sourceLinked="1"/>
        <c:majorTickMark val="none"/>
        <c:minorTickMark val="none"/>
        <c:tickLblPos val="nextTo"/>
        <c:crossAx val="17756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Slide!$I$21:$I$32</c:f>
              <c:strCache>
                <c:ptCount val="12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</c:strCache>
            </c:strRef>
          </c:cat>
          <c:val>
            <c:numRef>
              <c:f>Slide!$J$21:$J$32</c:f>
              <c:numCache>
                <c:formatCode>0</c:formatCode>
                <c:ptCount val="12"/>
                <c:pt idx="0">
                  <c:v>-7.635320000000001E-2</c:v>
                </c:pt>
                <c:pt idx="1">
                  <c:v>9.9893999999999886E-2</c:v>
                </c:pt>
                <c:pt idx="2">
                  <c:v>0.48601184000000003</c:v>
                </c:pt>
                <c:pt idx="3">
                  <c:v>1.0291408000000002</c:v>
                </c:pt>
                <c:pt idx="4">
                  <c:v>1.6507753200000002</c:v>
                </c:pt>
                <c:pt idx="5">
                  <c:v>2.3509154000000003</c:v>
                </c:pt>
                <c:pt idx="6">
                  <c:v>3.0510554800000005</c:v>
                </c:pt>
                <c:pt idx="7">
                  <c:v>3.7511955600000007</c:v>
                </c:pt>
                <c:pt idx="8">
                  <c:v>4.4513356400000008</c:v>
                </c:pt>
                <c:pt idx="9">
                  <c:v>5.1514757200000005</c:v>
                </c:pt>
                <c:pt idx="10">
                  <c:v>5.8516157999999994</c:v>
                </c:pt>
                <c:pt idx="11">
                  <c:v>6.5517558800000009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A-42FB-B74D-E00C8599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14"/>
        <c:axId val="1775689312"/>
        <c:axId val="1775688224"/>
      </c:barChart>
      <c:catAx>
        <c:axId val="17756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88224"/>
        <c:crossesAt val="0"/>
        <c:auto val="1"/>
        <c:lblAlgn val="ctr"/>
        <c:lblOffset val="100"/>
        <c:noMultiLvlLbl val="0"/>
      </c:catAx>
      <c:valAx>
        <c:axId val="1775688224"/>
        <c:scaling>
          <c:orientation val="minMax"/>
          <c:max val="100"/>
        </c:scaling>
        <c:delete val="1"/>
        <c:axPos val="l"/>
        <c:numFmt formatCode="0" sourceLinked="1"/>
        <c:majorTickMark val="none"/>
        <c:minorTickMark val="none"/>
        <c:tickLblPos val="nextTo"/>
        <c:crossAx val="17756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Slide!$I$36:$I$47</c:f>
              <c:strCache>
                <c:ptCount val="12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</c:strCache>
            </c:strRef>
          </c:cat>
          <c:val>
            <c:numRef>
              <c:f>Slide!$J$36:$J$47</c:f>
              <c:numCache>
                <c:formatCode>0</c:formatCode>
                <c:ptCount val="12"/>
                <c:pt idx="0">
                  <c:v>-0.25101455135135137</c:v>
                </c:pt>
                <c:pt idx="1">
                  <c:v>-0.32834924324324333</c:v>
                </c:pt>
                <c:pt idx="2">
                  <c:v>-2.8515187027026968E-2</c:v>
                </c:pt>
                <c:pt idx="3">
                  <c:v>0.33943809729729751</c:v>
                </c:pt>
                <c:pt idx="4">
                  <c:v>0.96107261729729765</c:v>
                </c:pt>
                <c:pt idx="5">
                  <c:v>1.5006451297297301</c:v>
                </c:pt>
                <c:pt idx="6">
                  <c:v>1.7802176421621627</c:v>
                </c:pt>
                <c:pt idx="7">
                  <c:v>2.4803577221621627</c:v>
                </c:pt>
                <c:pt idx="8">
                  <c:v>3.1804978021621637</c:v>
                </c:pt>
                <c:pt idx="9">
                  <c:v>3.880637882162163</c:v>
                </c:pt>
                <c:pt idx="10">
                  <c:v>4.5807779621621618</c:v>
                </c:pt>
                <c:pt idx="11">
                  <c:v>5.2809180421621633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D-48D1-9591-546F80E0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14"/>
        <c:axId val="1775688768"/>
        <c:axId val="1775689856"/>
      </c:barChart>
      <c:catAx>
        <c:axId val="17756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89856"/>
        <c:crossesAt val="0"/>
        <c:auto val="1"/>
        <c:lblAlgn val="ctr"/>
        <c:lblOffset val="100"/>
        <c:noMultiLvlLbl val="0"/>
      </c:catAx>
      <c:valAx>
        <c:axId val="1775689856"/>
        <c:scaling>
          <c:orientation val="minMax"/>
          <c:max val="100"/>
        </c:scaling>
        <c:delete val="1"/>
        <c:axPos val="l"/>
        <c:numFmt formatCode="0" sourceLinked="1"/>
        <c:majorTickMark val="none"/>
        <c:minorTickMark val="none"/>
        <c:tickLblPos val="nextTo"/>
        <c:crossAx val="177568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7933</xdr:rowOff>
    </xdr:from>
    <xdr:to>
      <xdr:col>2</xdr:col>
      <xdr:colOff>388938</xdr:colOff>
      <xdr:row>4</xdr:row>
      <xdr:rowOff>179451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E30726-CD1B-49C5-8AF4-E3FFEAFAE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33"/>
          <a:ext cx="1674813" cy="901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638664</xdr:colOff>
      <xdr:row>4</xdr:row>
      <xdr:rowOff>173159</xdr:rowOff>
    </xdr:from>
    <xdr:to>
      <xdr:col>20</xdr:col>
      <xdr:colOff>256442</xdr:colOff>
      <xdr:row>17</xdr:row>
      <xdr:rowOff>48846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598366</xdr:colOff>
      <xdr:row>19</xdr:row>
      <xdr:rowOff>122116</xdr:rowOff>
    </xdr:from>
    <xdr:to>
      <xdr:col>20</xdr:col>
      <xdr:colOff>216144</xdr:colOff>
      <xdr:row>31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612775</xdr:colOff>
      <xdr:row>35</xdr:row>
      <xdr:rowOff>107950</xdr:rowOff>
    </xdr:from>
    <xdr:to>
      <xdr:col>20</xdr:col>
      <xdr:colOff>237880</xdr:colOff>
      <xdr:row>47</xdr:row>
      <xdr:rowOff>166810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P3rrLgaaOLI" TargetMode="External"/><Relationship Id="rId13" Type="http://schemas.openxmlformats.org/officeDocument/2006/relationships/hyperlink" Target="https://www.littlehotelier.com/r/calculate-average-room-rate/" TargetMode="External"/><Relationship Id="rId3" Type="http://schemas.openxmlformats.org/officeDocument/2006/relationships/hyperlink" Target="https://www.eloquens.com/channel/asen-gyczew" TargetMode="External"/><Relationship Id="rId7" Type="http://schemas.openxmlformats.org/officeDocument/2006/relationships/hyperlink" Target="https://www.youtube.com/watch?v=WYu_B7vPchk" TargetMode="External"/><Relationship Id="rId12" Type="http://schemas.openxmlformats.org/officeDocument/2006/relationships/hyperlink" Target="https://www.quora.com/How-many-people-does-it-take-to-run-a-hotel" TargetMode="External"/><Relationship Id="rId2" Type="http://schemas.openxmlformats.org/officeDocument/2006/relationships/hyperlink" Target="https://www.slideshare.net/AsenGyczew/how-to-open-a-restaurant" TargetMode="External"/><Relationship Id="rId1" Type="http://schemas.openxmlformats.org/officeDocument/2006/relationships/hyperlink" Target="https://www.udemy.com/how-to-open-a-restaurant/?couponCode=ELOQUENS" TargetMode="External"/><Relationship Id="rId6" Type="http://schemas.openxmlformats.org/officeDocument/2006/relationships/hyperlink" Target="https://www.youtube.com/watch?v=u5OZqTWsEFM" TargetMode="External"/><Relationship Id="rId11" Type="http://schemas.openxmlformats.org/officeDocument/2006/relationships/hyperlink" Target="https://www.siteminder.com/r/calculate-revpar/" TargetMode="External"/><Relationship Id="rId5" Type="http://schemas.openxmlformats.org/officeDocument/2006/relationships/hyperlink" Target="https://badassconsultants.com/2019/02/19/how-to-conduct-market-research-during-consulting-projects/" TargetMode="External"/><Relationship Id="rId10" Type="http://schemas.openxmlformats.org/officeDocument/2006/relationships/hyperlink" Target="https://www.statista.com/statistics/823786/average-number-of-rooms-per-hotel-by-chain-type/" TargetMode="External"/><Relationship Id="rId4" Type="http://schemas.openxmlformats.org/officeDocument/2006/relationships/hyperlink" Target="https://badassconsultants.com/2018/09/26/how-to-create-a-finacial-model/" TargetMode="External"/><Relationship Id="rId9" Type="http://schemas.openxmlformats.org/officeDocument/2006/relationships/hyperlink" Target="https://www.youtube.com/watch?v=_VEw9xWpJPA" TargetMode="External"/><Relationship Id="rId14" Type="http://schemas.openxmlformats.org/officeDocument/2006/relationships/hyperlink" Target="https://marketrealist.com/2016/01/strong-us-dollar-mean-us-hotel-indus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17"/>
  <sheetViews>
    <sheetView tabSelected="1" zoomScale="80" zoomScaleNormal="80" workbookViewId="0">
      <selection activeCell="F13" sqref="F13"/>
    </sheetView>
  </sheetViews>
  <sheetFormatPr defaultColWidth="9.1796875" defaultRowHeight="14.5" x14ac:dyDescent="0.35"/>
  <cols>
    <col min="1" max="4" width="9.1796875" style="1"/>
    <col min="5" max="5" width="3.1796875" style="1" customWidth="1"/>
    <col min="6" max="6" width="38.453125" style="1" customWidth="1"/>
    <col min="7" max="7" width="39" style="1" customWidth="1"/>
    <col min="8" max="8" width="1.81640625" style="1" customWidth="1"/>
    <col min="9" max="16384" width="9.1796875" style="1"/>
  </cols>
  <sheetData>
    <row r="1" spans="1:7" x14ac:dyDescent="0.35">
      <c r="A1" s="2"/>
    </row>
    <row r="3" spans="1:7" x14ac:dyDescent="0.35">
      <c r="E3" s="2"/>
      <c r="G3" s="17"/>
    </row>
    <row r="7" spans="1:7" x14ac:dyDescent="0.35">
      <c r="E7" s="22" t="s">
        <v>182</v>
      </c>
    </row>
    <row r="9" spans="1:7" x14ac:dyDescent="0.35">
      <c r="E9" s="16" t="s">
        <v>23</v>
      </c>
      <c r="F9" s="15"/>
    </row>
    <row r="10" spans="1:7" x14ac:dyDescent="0.35">
      <c r="F10" s="15" t="str">
        <f>Hotel!A1</f>
        <v>Business model for a single hotel</v>
      </c>
    </row>
    <row r="11" spans="1:7" x14ac:dyDescent="0.35">
      <c r="F11" s="15" t="str">
        <f>HQ!A1</f>
        <v>Head Office Costs</v>
      </c>
    </row>
    <row r="12" spans="1:7" x14ac:dyDescent="0.35">
      <c r="F12" s="15" t="str">
        <f>Loan!A1</f>
        <v>Loan projection</v>
      </c>
    </row>
    <row r="13" spans="1:7" x14ac:dyDescent="0.35">
      <c r="F13" s="15" t="str">
        <f>'Total Chain'!A1</f>
        <v>Business model for the whole chain of hotels</v>
      </c>
    </row>
    <row r="14" spans="1:7" x14ac:dyDescent="0.35">
      <c r="F14" s="15" t="str">
        <f>Value!A1</f>
        <v>Valuation of the Hotel Business</v>
      </c>
    </row>
    <row r="15" spans="1:7" x14ac:dyDescent="0.35">
      <c r="F15" s="15" t="str">
        <f>Slide!A1</f>
        <v>Data for the slide</v>
      </c>
    </row>
    <row r="16" spans="1:7" x14ac:dyDescent="0.35">
      <c r="F16" s="15" t="str">
        <f>Links!A1</f>
        <v>Useful for the case links</v>
      </c>
    </row>
    <row r="17" spans="6:6" x14ac:dyDescent="0.35">
      <c r="F17" s="15"/>
    </row>
  </sheetData>
  <hyperlinks>
    <hyperlink ref="F13" location="'Total Chain'!A1" display="'Total Chain'!A1" xr:uid="{00000000-0004-0000-0000-000000000000}"/>
    <hyperlink ref="F10" location="Hotel!A1" display="Hotel!A1" xr:uid="{00000000-0004-0000-0000-000001000000}"/>
    <hyperlink ref="F9" location="'P&amp;L'!A1" display="Profit &amp; Loss - operational level" xr:uid="{00000000-0004-0000-0000-000002000000}"/>
    <hyperlink ref="F16" location="Links!A1" display="Links!A1" xr:uid="{00000000-0004-0000-0000-000003000000}"/>
    <hyperlink ref="F15" location="Slide!A1" display="Slide!A1" xr:uid="{00000000-0004-0000-0000-000004000000}"/>
    <hyperlink ref="F11" location="HQ!A1" display="HQ!A1" xr:uid="{00000000-0004-0000-0000-000006000000}"/>
    <hyperlink ref="F12" location="Loan!A1" display="Loan!A1" xr:uid="{00000000-0004-0000-0000-000007000000}"/>
    <hyperlink ref="F14" location="Value!A1" display="Value!A1" xr:uid="{00000000-0004-0000-0000-000008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T133"/>
  <sheetViews>
    <sheetView zoomScale="60" zoomScaleNormal="60" workbookViewId="0">
      <pane xSplit="8" ySplit="6" topLeftCell="I84" activePane="bottomRight" state="frozen"/>
      <selection activeCell="I10" sqref="I10"/>
      <selection pane="topRight" activeCell="I10" sqref="I10"/>
      <selection pane="bottomLeft" activeCell="I10" sqref="I10"/>
      <selection pane="bottomRight" activeCell="A121" sqref="A121:XFD121"/>
    </sheetView>
  </sheetViews>
  <sheetFormatPr defaultColWidth="9.1796875" defaultRowHeight="14.5" outlineLevelRow="1" x14ac:dyDescent="0.35"/>
  <cols>
    <col min="1" max="1" width="9.1796875" style="1"/>
    <col min="2" max="2" width="2.1796875" style="1" customWidth="1"/>
    <col min="3" max="3" width="3" style="1" customWidth="1"/>
    <col min="4" max="4" width="2.54296875" style="1" customWidth="1"/>
    <col min="5" max="5" width="9.1796875" style="1"/>
    <col min="6" max="6" width="32.7265625" style="1" customWidth="1"/>
    <col min="7" max="7" width="9.1796875" style="29"/>
    <col min="8" max="16384" width="9.1796875" style="1"/>
  </cols>
  <sheetData>
    <row r="1" spans="1:20" x14ac:dyDescent="0.35">
      <c r="A1" s="2" t="s">
        <v>178</v>
      </c>
    </row>
    <row r="2" spans="1:20" x14ac:dyDescent="0.35">
      <c r="A2" s="1" t="s">
        <v>28</v>
      </c>
      <c r="K2" s="15" t="s">
        <v>24</v>
      </c>
    </row>
    <row r="6" spans="1:20" x14ac:dyDescent="0.35">
      <c r="I6" s="2">
        <v>1</v>
      </c>
      <c r="J6" s="2">
        <v>2</v>
      </c>
      <c r="K6" s="2">
        <v>3</v>
      </c>
      <c r="L6" s="2">
        <v>4</v>
      </c>
      <c r="M6" s="2">
        <v>5</v>
      </c>
      <c r="N6" s="2">
        <v>6</v>
      </c>
      <c r="O6" s="2">
        <v>7</v>
      </c>
      <c r="P6" s="2">
        <v>8</v>
      </c>
      <c r="Q6" s="2">
        <v>9</v>
      </c>
      <c r="R6" s="2">
        <v>10</v>
      </c>
      <c r="S6" s="2">
        <v>11</v>
      </c>
      <c r="T6" s="2">
        <v>12</v>
      </c>
    </row>
    <row r="8" spans="1:20" x14ac:dyDescent="0.35">
      <c r="B8" s="2" t="s">
        <v>59</v>
      </c>
      <c r="G8" s="29" t="s">
        <v>25</v>
      </c>
      <c r="I8" s="7">
        <f>I9*I13/1000</f>
        <v>718.2</v>
      </c>
      <c r="J8" s="7">
        <f t="shared" ref="J8:T8" si="0">J9*J13/1000</f>
        <v>982.8</v>
      </c>
      <c r="K8" s="7">
        <f t="shared" si="0"/>
        <v>1217.1600000000001</v>
      </c>
      <c r="L8" s="7">
        <f t="shared" si="0"/>
        <v>1391.04</v>
      </c>
      <c r="M8" s="7">
        <f t="shared" si="0"/>
        <v>1477.98</v>
      </c>
      <c r="N8" s="7">
        <f t="shared" si="0"/>
        <v>1564.92</v>
      </c>
      <c r="O8" s="7">
        <f t="shared" si="0"/>
        <v>1564.92</v>
      </c>
      <c r="P8" s="7">
        <f t="shared" si="0"/>
        <v>1564.92</v>
      </c>
      <c r="Q8" s="7">
        <f t="shared" si="0"/>
        <v>1564.92</v>
      </c>
      <c r="R8" s="7">
        <f t="shared" si="0"/>
        <v>1564.92</v>
      </c>
      <c r="S8" s="7">
        <f t="shared" si="0"/>
        <v>1564.92</v>
      </c>
      <c r="T8" s="7">
        <f t="shared" si="0"/>
        <v>1564.92</v>
      </c>
    </row>
    <row r="9" spans="1:20" x14ac:dyDescent="0.35">
      <c r="B9" s="2"/>
      <c r="C9" s="1" t="s">
        <v>60</v>
      </c>
      <c r="G9" s="29" t="s">
        <v>71</v>
      </c>
      <c r="I9" s="10">
        <f>I10*I11*I12</f>
        <v>12600</v>
      </c>
      <c r="J9" s="10">
        <f>J10*J11*J12</f>
        <v>15120</v>
      </c>
      <c r="K9" s="10">
        <f t="shared" ref="K9:T9" si="1">K10*K11*K12</f>
        <v>17640</v>
      </c>
      <c r="L9" s="10">
        <f t="shared" si="1"/>
        <v>20160</v>
      </c>
      <c r="M9" s="10">
        <f t="shared" si="1"/>
        <v>21420</v>
      </c>
      <c r="N9" s="10">
        <f t="shared" si="1"/>
        <v>22680</v>
      </c>
      <c r="O9" s="10">
        <f t="shared" si="1"/>
        <v>22680</v>
      </c>
      <c r="P9" s="10">
        <f t="shared" si="1"/>
        <v>22680</v>
      </c>
      <c r="Q9" s="10">
        <f t="shared" si="1"/>
        <v>22680</v>
      </c>
      <c r="R9" s="10">
        <f t="shared" si="1"/>
        <v>22680</v>
      </c>
      <c r="S9" s="10">
        <f t="shared" si="1"/>
        <v>22680</v>
      </c>
      <c r="T9" s="10">
        <f t="shared" si="1"/>
        <v>22680</v>
      </c>
    </row>
    <row r="10" spans="1:20" hidden="1" outlineLevel="1" x14ac:dyDescent="0.35">
      <c r="D10" s="1" t="s">
        <v>61</v>
      </c>
      <c r="G10" s="29" t="s">
        <v>72</v>
      </c>
      <c r="I10" s="9">
        <v>70</v>
      </c>
      <c r="J10" s="3">
        <f>I10</f>
        <v>70</v>
      </c>
      <c r="K10" s="3">
        <f t="shared" ref="K10:T10" si="2">J10</f>
        <v>70</v>
      </c>
      <c r="L10" s="3">
        <f t="shared" si="2"/>
        <v>70</v>
      </c>
      <c r="M10" s="3">
        <f t="shared" si="2"/>
        <v>70</v>
      </c>
      <c r="N10" s="3">
        <f t="shared" si="2"/>
        <v>70</v>
      </c>
      <c r="O10" s="3">
        <f t="shared" si="2"/>
        <v>70</v>
      </c>
      <c r="P10" s="3">
        <f t="shared" si="2"/>
        <v>70</v>
      </c>
      <c r="Q10" s="3">
        <f t="shared" si="2"/>
        <v>70</v>
      </c>
      <c r="R10" s="3">
        <f t="shared" si="2"/>
        <v>70</v>
      </c>
      <c r="S10" s="3">
        <f t="shared" si="2"/>
        <v>70</v>
      </c>
      <c r="T10" s="3">
        <f t="shared" si="2"/>
        <v>70</v>
      </c>
    </row>
    <row r="11" spans="1:20" hidden="1" outlineLevel="1" x14ac:dyDescent="0.35">
      <c r="D11" s="1" t="s">
        <v>62</v>
      </c>
      <c r="G11" s="29" t="s">
        <v>73</v>
      </c>
      <c r="I11" s="9">
        <v>360</v>
      </c>
      <c r="J11" s="3">
        <f>I11</f>
        <v>360</v>
      </c>
      <c r="K11" s="3">
        <f t="shared" ref="K11:T11" si="3">J11</f>
        <v>360</v>
      </c>
      <c r="L11" s="3">
        <f t="shared" si="3"/>
        <v>360</v>
      </c>
      <c r="M11" s="3">
        <f t="shared" si="3"/>
        <v>360</v>
      </c>
      <c r="N11" s="3">
        <f t="shared" si="3"/>
        <v>360</v>
      </c>
      <c r="O11" s="3">
        <f t="shared" si="3"/>
        <v>360</v>
      </c>
      <c r="P11" s="3">
        <f t="shared" si="3"/>
        <v>360</v>
      </c>
      <c r="Q11" s="3">
        <f t="shared" si="3"/>
        <v>360</v>
      </c>
      <c r="R11" s="3">
        <f t="shared" si="3"/>
        <v>360</v>
      </c>
      <c r="S11" s="3">
        <f t="shared" si="3"/>
        <v>360</v>
      </c>
      <c r="T11" s="3">
        <f t="shared" si="3"/>
        <v>360</v>
      </c>
    </row>
    <row r="12" spans="1:20" hidden="1" outlineLevel="1" x14ac:dyDescent="0.35">
      <c r="D12" s="1" t="s">
        <v>64</v>
      </c>
      <c r="G12" s="29" t="s">
        <v>9</v>
      </c>
      <c r="I12" s="27">
        <v>0.5</v>
      </c>
      <c r="J12" s="27">
        <v>0.6</v>
      </c>
      <c r="K12" s="27">
        <v>0.7</v>
      </c>
      <c r="L12" s="27">
        <v>0.8</v>
      </c>
      <c r="M12" s="27">
        <v>0.85</v>
      </c>
      <c r="N12" s="27">
        <v>0.9</v>
      </c>
      <c r="O12" s="28">
        <f t="shared" ref="O12:T12" si="4">N12</f>
        <v>0.9</v>
      </c>
      <c r="P12" s="28">
        <f t="shared" si="4"/>
        <v>0.9</v>
      </c>
      <c r="Q12" s="28">
        <f t="shared" si="4"/>
        <v>0.9</v>
      </c>
      <c r="R12" s="28">
        <f t="shared" si="4"/>
        <v>0.9</v>
      </c>
      <c r="S12" s="28">
        <f t="shared" si="4"/>
        <v>0.9</v>
      </c>
      <c r="T12" s="28">
        <f t="shared" si="4"/>
        <v>0.9</v>
      </c>
    </row>
    <row r="13" spans="1:20" collapsed="1" x14ac:dyDescent="0.35">
      <c r="C13" s="1" t="s">
        <v>65</v>
      </c>
      <c r="G13" s="29" t="s">
        <v>74</v>
      </c>
      <c r="I13" s="3">
        <f>I14+I15</f>
        <v>57</v>
      </c>
      <c r="J13" s="3">
        <f>J14+J15</f>
        <v>65</v>
      </c>
      <c r="K13" s="3">
        <f t="shared" ref="K13:T13" si="5">K14+K15</f>
        <v>69</v>
      </c>
      <c r="L13" s="3">
        <f t="shared" si="5"/>
        <v>69</v>
      </c>
      <c r="M13" s="3">
        <f t="shared" si="5"/>
        <v>69</v>
      </c>
      <c r="N13" s="3">
        <f t="shared" si="5"/>
        <v>69</v>
      </c>
      <c r="O13" s="3">
        <f t="shared" si="5"/>
        <v>69</v>
      </c>
      <c r="P13" s="3">
        <f t="shared" si="5"/>
        <v>69</v>
      </c>
      <c r="Q13" s="3">
        <f t="shared" si="5"/>
        <v>69</v>
      </c>
      <c r="R13" s="3">
        <f t="shared" si="5"/>
        <v>69</v>
      </c>
      <c r="S13" s="3">
        <f t="shared" si="5"/>
        <v>69</v>
      </c>
      <c r="T13" s="3">
        <f t="shared" si="5"/>
        <v>69</v>
      </c>
    </row>
    <row r="14" spans="1:20" hidden="1" outlineLevel="1" x14ac:dyDescent="0.35">
      <c r="D14" s="1" t="s">
        <v>69</v>
      </c>
      <c r="G14" s="29" t="s">
        <v>74</v>
      </c>
      <c r="I14" s="9">
        <v>50</v>
      </c>
      <c r="J14" s="9">
        <v>55</v>
      </c>
      <c r="K14" s="3">
        <f t="shared" ref="K14:T14" si="6">J14</f>
        <v>55</v>
      </c>
      <c r="L14" s="3">
        <f t="shared" si="6"/>
        <v>55</v>
      </c>
      <c r="M14" s="3">
        <f t="shared" si="6"/>
        <v>55</v>
      </c>
      <c r="N14" s="3">
        <f t="shared" si="6"/>
        <v>55</v>
      </c>
      <c r="O14" s="3">
        <f t="shared" si="6"/>
        <v>55</v>
      </c>
      <c r="P14" s="3">
        <f t="shared" si="6"/>
        <v>55</v>
      </c>
      <c r="Q14" s="3">
        <f t="shared" si="6"/>
        <v>55</v>
      </c>
      <c r="R14" s="3">
        <f t="shared" si="6"/>
        <v>55</v>
      </c>
      <c r="S14" s="3">
        <f t="shared" si="6"/>
        <v>55</v>
      </c>
      <c r="T14" s="3">
        <f t="shared" si="6"/>
        <v>55</v>
      </c>
    </row>
    <row r="15" spans="1:20" hidden="1" outlineLevel="1" x14ac:dyDescent="0.35">
      <c r="D15" s="1" t="s">
        <v>70</v>
      </c>
      <c r="G15" s="29" t="s">
        <v>74</v>
      </c>
      <c r="I15" s="9">
        <v>7</v>
      </c>
      <c r="J15" s="9">
        <v>10</v>
      </c>
      <c r="K15" s="9">
        <v>14</v>
      </c>
      <c r="L15" s="3">
        <f t="shared" ref="L15:T15" si="7">K15</f>
        <v>14</v>
      </c>
      <c r="M15" s="3">
        <f t="shared" si="7"/>
        <v>14</v>
      </c>
      <c r="N15" s="3">
        <f t="shared" si="7"/>
        <v>14</v>
      </c>
      <c r="O15" s="3">
        <f t="shared" si="7"/>
        <v>14</v>
      </c>
      <c r="P15" s="3">
        <f t="shared" si="7"/>
        <v>14</v>
      </c>
      <c r="Q15" s="3">
        <f t="shared" si="7"/>
        <v>14</v>
      </c>
      <c r="R15" s="3">
        <f t="shared" si="7"/>
        <v>14</v>
      </c>
      <c r="S15" s="3">
        <f t="shared" si="7"/>
        <v>14</v>
      </c>
      <c r="T15" s="3">
        <f t="shared" si="7"/>
        <v>14</v>
      </c>
    </row>
    <row r="16" spans="1:20" collapsed="1" x14ac:dyDescent="0.35"/>
    <row r="17" spans="2:20" x14ac:dyDescent="0.35">
      <c r="B17" s="2" t="s">
        <v>75</v>
      </c>
      <c r="G17" s="29" t="s">
        <v>25</v>
      </c>
      <c r="I17" s="7">
        <f>I18*I19/1000</f>
        <v>25.2</v>
      </c>
      <c r="J17" s="7">
        <f t="shared" ref="J17:T17" si="8">J18*J19/1000</f>
        <v>30.24</v>
      </c>
      <c r="K17" s="7">
        <f t="shared" si="8"/>
        <v>35.28</v>
      </c>
      <c r="L17" s="7">
        <f t="shared" si="8"/>
        <v>40.32</v>
      </c>
      <c r="M17" s="7">
        <f t="shared" si="8"/>
        <v>42.84</v>
      </c>
      <c r="N17" s="7">
        <f t="shared" si="8"/>
        <v>45.36</v>
      </c>
      <c r="O17" s="7">
        <f t="shared" si="8"/>
        <v>45.36</v>
      </c>
      <c r="P17" s="7">
        <f t="shared" si="8"/>
        <v>45.36</v>
      </c>
      <c r="Q17" s="7">
        <f t="shared" si="8"/>
        <v>45.36</v>
      </c>
      <c r="R17" s="7">
        <f t="shared" si="8"/>
        <v>45.36</v>
      </c>
      <c r="S17" s="7">
        <f t="shared" si="8"/>
        <v>45.36</v>
      </c>
      <c r="T17" s="7">
        <f t="shared" si="8"/>
        <v>45.36</v>
      </c>
    </row>
    <row r="18" spans="2:20" x14ac:dyDescent="0.35">
      <c r="B18" s="2"/>
      <c r="C18" s="1" t="s">
        <v>60</v>
      </c>
      <c r="G18" s="29" t="s">
        <v>71</v>
      </c>
      <c r="I18" s="3">
        <f>I$9</f>
        <v>12600</v>
      </c>
      <c r="J18" s="3">
        <f t="shared" ref="J18:T18" si="9">J$9</f>
        <v>15120</v>
      </c>
      <c r="K18" s="3">
        <f t="shared" si="9"/>
        <v>17640</v>
      </c>
      <c r="L18" s="3">
        <f t="shared" si="9"/>
        <v>20160</v>
      </c>
      <c r="M18" s="3">
        <f t="shared" si="9"/>
        <v>21420</v>
      </c>
      <c r="N18" s="3">
        <f t="shared" si="9"/>
        <v>22680</v>
      </c>
      <c r="O18" s="3">
        <f t="shared" si="9"/>
        <v>22680</v>
      </c>
      <c r="P18" s="3">
        <f t="shared" si="9"/>
        <v>22680</v>
      </c>
      <c r="Q18" s="3">
        <f t="shared" si="9"/>
        <v>22680</v>
      </c>
      <c r="R18" s="3">
        <f t="shared" si="9"/>
        <v>22680</v>
      </c>
      <c r="S18" s="3">
        <f t="shared" si="9"/>
        <v>22680</v>
      </c>
      <c r="T18" s="3">
        <f t="shared" si="9"/>
        <v>22680</v>
      </c>
    </row>
    <row r="19" spans="2:20" x14ac:dyDescent="0.35">
      <c r="B19" s="2"/>
      <c r="C19" s="1" t="s">
        <v>76</v>
      </c>
      <c r="G19" s="29" t="s">
        <v>74</v>
      </c>
      <c r="I19" s="9">
        <v>2</v>
      </c>
      <c r="J19" s="3">
        <f>I19</f>
        <v>2</v>
      </c>
      <c r="K19" s="3">
        <f t="shared" ref="K19:T19" si="10">J19</f>
        <v>2</v>
      </c>
      <c r="L19" s="3">
        <f t="shared" si="10"/>
        <v>2</v>
      </c>
      <c r="M19" s="3">
        <f t="shared" si="10"/>
        <v>2</v>
      </c>
      <c r="N19" s="3">
        <f t="shared" si="10"/>
        <v>2</v>
      </c>
      <c r="O19" s="3">
        <f t="shared" si="10"/>
        <v>2</v>
      </c>
      <c r="P19" s="3">
        <f t="shared" si="10"/>
        <v>2</v>
      </c>
      <c r="Q19" s="3">
        <f t="shared" si="10"/>
        <v>2</v>
      </c>
      <c r="R19" s="3">
        <f t="shared" si="10"/>
        <v>2</v>
      </c>
      <c r="S19" s="3">
        <f t="shared" si="10"/>
        <v>2</v>
      </c>
      <c r="T19" s="3">
        <f t="shared" si="10"/>
        <v>2</v>
      </c>
    </row>
    <row r="20" spans="2:20" x14ac:dyDescent="0.35">
      <c r="B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 x14ac:dyDescent="0.35">
      <c r="B21" s="2" t="s">
        <v>77</v>
      </c>
      <c r="G21" s="29" t="s">
        <v>25</v>
      </c>
      <c r="I21" s="7">
        <f>I22*I23/1000</f>
        <v>18.899999999999999</v>
      </c>
      <c r="J21" s="7">
        <f t="shared" ref="J21:T21" si="11">J22*J23/1000</f>
        <v>22.68</v>
      </c>
      <c r="K21" s="7">
        <f t="shared" si="11"/>
        <v>26.46</v>
      </c>
      <c r="L21" s="7">
        <f t="shared" si="11"/>
        <v>30.24</v>
      </c>
      <c r="M21" s="7">
        <f t="shared" si="11"/>
        <v>32.130000000000003</v>
      </c>
      <c r="N21" s="7">
        <f t="shared" si="11"/>
        <v>34.020000000000003</v>
      </c>
      <c r="O21" s="7">
        <f t="shared" si="11"/>
        <v>34.020000000000003</v>
      </c>
      <c r="P21" s="7">
        <f t="shared" si="11"/>
        <v>34.020000000000003</v>
      </c>
      <c r="Q21" s="7">
        <f t="shared" si="11"/>
        <v>34.020000000000003</v>
      </c>
      <c r="R21" s="7">
        <f t="shared" si="11"/>
        <v>34.020000000000003</v>
      </c>
      <c r="S21" s="7">
        <f t="shared" si="11"/>
        <v>34.020000000000003</v>
      </c>
      <c r="T21" s="7">
        <f t="shared" si="11"/>
        <v>34.020000000000003</v>
      </c>
    </row>
    <row r="22" spans="2:20" x14ac:dyDescent="0.35">
      <c r="B22" s="2"/>
      <c r="C22" s="1" t="s">
        <v>60</v>
      </c>
      <c r="G22" s="29" t="s">
        <v>71</v>
      </c>
      <c r="I22" s="3">
        <f>I$9</f>
        <v>12600</v>
      </c>
      <c r="J22" s="3">
        <f t="shared" ref="J22:T22" si="12">J$9</f>
        <v>15120</v>
      </c>
      <c r="K22" s="3">
        <f t="shared" si="12"/>
        <v>17640</v>
      </c>
      <c r="L22" s="3">
        <f t="shared" si="12"/>
        <v>20160</v>
      </c>
      <c r="M22" s="3">
        <f t="shared" si="12"/>
        <v>21420</v>
      </c>
      <c r="N22" s="3">
        <f t="shared" si="12"/>
        <v>22680</v>
      </c>
      <c r="O22" s="3">
        <f t="shared" si="12"/>
        <v>22680</v>
      </c>
      <c r="P22" s="3">
        <f t="shared" si="12"/>
        <v>22680</v>
      </c>
      <c r="Q22" s="3">
        <f t="shared" si="12"/>
        <v>22680</v>
      </c>
      <c r="R22" s="3">
        <f t="shared" si="12"/>
        <v>22680</v>
      </c>
      <c r="S22" s="3">
        <f t="shared" si="12"/>
        <v>22680</v>
      </c>
      <c r="T22" s="3">
        <f t="shared" si="12"/>
        <v>22680</v>
      </c>
    </row>
    <row r="23" spans="2:20" x14ac:dyDescent="0.35">
      <c r="B23" s="2"/>
      <c r="C23" s="1" t="s">
        <v>76</v>
      </c>
      <c r="G23" s="29" t="s">
        <v>74</v>
      </c>
      <c r="I23" s="9">
        <v>1.5</v>
      </c>
      <c r="J23" s="3">
        <f>I23</f>
        <v>1.5</v>
      </c>
      <c r="K23" s="3">
        <f t="shared" ref="K23" si="13">J23</f>
        <v>1.5</v>
      </c>
      <c r="L23" s="3">
        <f t="shared" ref="L23" si="14">K23</f>
        <v>1.5</v>
      </c>
      <c r="M23" s="3">
        <f t="shared" ref="M23" si="15">L23</f>
        <v>1.5</v>
      </c>
      <c r="N23" s="3">
        <f t="shared" ref="N23" si="16">M23</f>
        <v>1.5</v>
      </c>
      <c r="O23" s="3">
        <f t="shared" ref="O23" si="17">N23</f>
        <v>1.5</v>
      </c>
      <c r="P23" s="3">
        <f t="shared" ref="P23" si="18">O23</f>
        <v>1.5</v>
      </c>
      <c r="Q23" s="3">
        <f t="shared" ref="Q23" si="19">P23</f>
        <v>1.5</v>
      </c>
      <c r="R23" s="3">
        <f t="shared" ref="R23" si="20">Q23</f>
        <v>1.5</v>
      </c>
      <c r="S23" s="3">
        <f t="shared" ref="S23" si="21">R23</f>
        <v>1.5</v>
      </c>
      <c r="T23" s="3">
        <f t="shared" ref="T23" si="22">S23</f>
        <v>1.5</v>
      </c>
    </row>
    <row r="24" spans="2:20" x14ac:dyDescent="0.35">
      <c r="B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2:20" x14ac:dyDescent="0.35">
      <c r="B25" s="2" t="s">
        <v>78</v>
      </c>
      <c r="G25" s="29" t="s">
        <v>25</v>
      </c>
      <c r="I25" s="7">
        <f>I26*I27/1000*I28</f>
        <v>8.82</v>
      </c>
      <c r="J25" s="7">
        <f t="shared" ref="J25:T25" si="23">J26*J27/1000*J28</f>
        <v>15.12</v>
      </c>
      <c r="K25" s="7">
        <f t="shared" si="23"/>
        <v>24.696000000000002</v>
      </c>
      <c r="L25" s="7">
        <f t="shared" si="23"/>
        <v>28.224000000000004</v>
      </c>
      <c r="M25" s="7">
        <f t="shared" si="23"/>
        <v>29.988</v>
      </c>
      <c r="N25" s="7">
        <f t="shared" si="23"/>
        <v>31.751999999999999</v>
      </c>
      <c r="O25" s="7">
        <f t="shared" si="23"/>
        <v>31.751999999999999</v>
      </c>
      <c r="P25" s="7">
        <f t="shared" si="23"/>
        <v>31.751999999999999</v>
      </c>
      <c r="Q25" s="7">
        <f t="shared" si="23"/>
        <v>31.751999999999999</v>
      </c>
      <c r="R25" s="7">
        <f t="shared" si="23"/>
        <v>31.751999999999999</v>
      </c>
      <c r="S25" s="7">
        <f t="shared" si="23"/>
        <v>31.751999999999999</v>
      </c>
      <c r="T25" s="7">
        <f t="shared" si="23"/>
        <v>31.751999999999999</v>
      </c>
    </row>
    <row r="26" spans="2:20" x14ac:dyDescent="0.35">
      <c r="B26" s="2"/>
      <c r="C26" s="1" t="s">
        <v>60</v>
      </c>
      <c r="G26" s="29" t="s">
        <v>71</v>
      </c>
      <c r="I26" s="3">
        <f>I$9</f>
        <v>12600</v>
      </c>
      <c r="J26" s="3">
        <f t="shared" ref="J26:T26" si="24">J$9</f>
        <v>15120</v>
      </c>
      <c r="K26" s="3">
        <f t="shared" si="24"/>
        <v>17640</v>
      </c>
      <c r="L26" s="3">
        <f t="shared" si="24"/>
        <v>20160</v>
      </c>
      <c r="M26" s="3">
        <f t="shared" si="24"/>
        <v>21420</v>
      </c>
      <c r="N26" s="3">
        <f t="shared" si="24"/>
        <v>22680</v>
      </c>
      <c r="O26" s="3">
        <f t="shared" si="24"/>
        <v>22680</v>
      </c>
      <c r="P26" s="3">
        <f t="shared" si="24"/>
        <v>22680</v>
      </c>
      <c r="Q26" s="3">
        <f t="shared" si="24"/>
        <v>22680</v>
      </c>
      <c r="R26" s="3">
        <f t="shared" si="24"/>
        <v>22680</v>
      </c>
      <c r="S26" s="3">
        <f t="shared" si="24"/>
        <v>22680</v>
      </c>
      <c r="T26" s="3">
        <f t="shared" si="24"/>
        <v>22680</v>
      </c>
    </row>
    <row r="27" spans="2:20" x14ac:dyDescent="0.35">
      <c r="B27" s="2"/>
      <c r="C27" s="1" t="s">
        <v>70</v>
      </c>
      <c r="G27" s="29" t="s">
        <v>74</v>
      </c>
      <c r="I27" s="3">
        <f t="shared" ref="I27:T27" si="25">I15</f>
        <v>7</v>
      </c>
      <c r="J27" s="3">
        <f t="shared" si="25"/>
        <v>10</v>
      </c>
      <c r="K27" s="3">
        <f t="shared" si="25"/>
        <v>14</v>
      </c>
      <c r="L27" s="3">
        <f t="shared" si="25"/>
        <v>14</v>
      </c>
      <c r="M27" s="3">
        <f t="shared" si="25"/>
        <v>14</v>
      </c>
      <c r="N27" s="3">
        <f t="shared" si="25"/>
        <v>14</v>
      </c>
      <c r="O27" s="3">
        <f t="shared" si="25"/>
        <v>14</v>
      </c>
      <c r="P27" s="3">
        <f t="shared" si="25"/>
        <v>14</v>
      </c>
      <c r="Q27" s="3">
        <f t="shared" si="25"/>
        <v>14</v>
      </c>
      <c r="R27" s="3">
        <f t="shared" si="25"/>
        <v>14</v>
      </c>
      <c r="S27" s="3">
        <f t="shared" si="25"/>
        <v>14</v>
      </c>
      <c r="T27" s="3">
        <f t="shared" si="25"/>
        <v>14</v>
      </c>
    </row>
    <row r="28" spans="2:20" x14ac:dyDescent="0.35">
      <c r="B28" s="2"/>
      <c r="C28" s="1" t="s">
        <v>79</v>
      </c>
      <c r="G28" s="34" t="s">
        <v>9</v>
      </c>
      <c r="I28" s="27">
        <v>0.1</v>
      </c>
      <c r="J28" s="28">
        <f>I28</f>
        <v>0.1</v>
      </c>
      <c r="K28" s="28">
        <f t="shared" ref="K28:T28" si="26">J28</f>
        <v>0.1</v>
      </c>
      <c r="L28" s="28">
        <f t="shared" si="26"/>
        <v>0.1</v>
      </c>
      <c r="M28" s="28">
        <f t="shared" si="26"/>
        <v>0.1</v>
      </c>
      <c r="N28" s="28">
        <f t="shared" si="26"/>
        <v>0.1</v>
      </c>
      <c r="O28" s="28">
        <f t="shared" si="26"/>
        <v>0.1</v>
      </c>
      <c r="P28" s="28">
        <f t="shared" si="26"/>
        <v>0.1</v>
      </c>
      <c r="Q28" s="28">
        <f t="shared" si="26"/>
        <v>0.1</v>
      </c>
      <c r="R28" s="28">
        <f t="shared" si="26"/>
        <v>0.1</v>
      </c>
      <c r="S28" s="28">
        <f t="shared" si="26"/>
        <v>0.1</v>
      </c>
      <c r="T28" s="28">
        <f t="shared" si="26"/>
        <v>0.1</v>
      </c>
    </row>
    <row r="29" spans="2:20" x14ac:dyDescent="0.35">
      <c r="B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2:20" x14ac:dyDescent="0.35">
      <c r="B30" s="2" t="s">
        <v>94</v>
      </c>
      <c r="G30" s="29" t="s">
        <v>25</v>
      </c>
      <c r="I30" s="7">
        <f>I31*I32*I33</f>
        <v>11.491200000000001</v>
      </c>
      <c r="J30" s="7">
        <f>J31*J32*J33</f>
        <v>15.7248</v>
      </c>
      <c r="K30" s="7">
        <f t="shared" ref="K30:T30" si="27">K31*K32*K33</f>
        <v>19.47456</v>
      </c>
      <c r="L30" s="7">
        <f t="shared" si="27"/>
        <v>22.256640000000001</v>
      </c>
      <c r="M30" s="7">
        <f t="shared" si="27"/>
        <v>23.647680000000001</v>
      </c>
      <c r="N30" s="7">
        <f t="shared" si="27"/>
        <v>25.038720000000005</v>
      </c>
      <c r="O30" s="7">
        <f t="shared" si="27"/>
        <v>25.038720000000005</v>
      </c>
      <c r="P30" s="7">
        <f t="shared" si="27"/>
        <v>25.038720000000005</v>
      </c>
      <c r="Q30" s="7">
        <f t="shared" si="27"/>
        <v>25.038720000000005</v>
      </c>
      <c r="R30" s="7">
        <f t="shared" si="27"/>
        <v>25.038720000000005</v>
      </c>
      <c r="S30" s="7">
        <f t="shared" si="27"/>
        <v>25.038720000000005</v>
      </c>
      <c r="T30" s="7">
        <f t="shared" si="27"/>
        <v>25.038720000000005</v>
      </c>
    </row>
    <row r="31" spans="2:20" x14ac:dyDescent="0.35">
      <c r="B31" s="2"/>
      <c r="C31" s="29" t="s">
        <v>59</v>
      </c>
      <c r="G31" s="29" t="s">
        <v>25</v>
      </c>
      <c r="I31" s="3">
        <f>I$8</f>
        <v>718.2</v>
      </c>
      <c r="J31" s="3">
        <f>J$8</f>
        <v>982.8</v>
      </c>
      <c r="K31" s="3">
        <f t="shared" ref="K31:T31" si="28">K$8</f>
        <v>1217.1600000000001</v>
      </c>
      <c r="L31" s="3">
        <f t="shared" si="28"/>
        <v>1391.04</v>
      </c>
      <c r="M31" s="3">
        <f t="shared" si="28"/>
        <v>1477.98</v>
      </c>
      <c r="N31" s="3">
        <f t="shared" si="28"/>
        <v>1564.92</v>
      </c>
      <c r="O31" s="3">
        <f t="shared" si="28"/>
        <v>1564.92</v>
      </c>
      <c r="P31" s="3">
        <f t="shared" si="28"/>
        <v>1564.92</v>
      </c>
      <c r="Q31" s="3">
        <f t="shared" si="28"/>
        <v>1564.92</v>
      </c>
      <c r="R31" s="3">
        <f t="shared" si="28"/>
        <v>1564.92</v>
      </c>
      <c r="S31" s="3">
        <f t="shared" si="28"/>
        <v>1564.92</v>
      </c>
      <c r="T31" s="3">
        <f t="shared" si="28"/>
        <v>1564.92</v>
      </c>
    </row>
    <row r="32" spans="2:20" x14ac:dyDescent="0.35">
      <c r="B32" s="2"/>
      <c r="C32" s="1" t="s">
        <v>95</v>
      </c>
      <c r="G32" s="29" t="s">
        <v>9</v>
      </c>
      <c r="I32" s="27">
        <v>0.2</v>
      </c>
      <c r="J32" s="28">
        <f>I32</f>
        <v>0.2</v>
      </c>
      <c r="K32" s="28">
        <f t="shared" ref="K32:T32" si="29">J32</f>
        <v>0.2</v>
      </c>
      <c r="L32" s="28">
        <f t="shared" si="29"/>
        <v>0.2</v>
      </c>
      <c r="M32" s="28">
        <f t="shared" si="29"/>
        <v>0.2</v>
      </c>
      <c r="N32" s="28">
        <f t="shared" si="29"/>
        <v>0.2</v>
      </c>
      <c r="O32" s="28">
        <f t="shared" si="29"/>
        <v>0.2</v>
      </c>
      <c r="P32" s="28">
        <f t="shared" si="29"/>
        <v>0.2</v>
      </c>
      <c r="Q32" s="28">
        <f t="shared" si="29"/>
        <v>0.2</v>
      </c>
      <c r="R32" s="28">
        <f t="shared" si="29"/>
        <v>0.2</v>
      </c>
      <c r="S32" s="28">
        <f t="shared" si="29"/>
        <v>0.2</v>
      </c>
      <c r="T32" s="28">
        <f t="shared" si="29"/>
        <v>0.2</v>
      </c>
    </row>
    <row r="33" spans="2:20" x14ac:dyDescent="0.35">
      <c r="B33" s="2"/>
      <c r="C33" s="1" t="s">
        <v>96</v>
      </c>
      <c r="G33" s="29" t="s">
        <v>9</v>
      </c>
      <c r="I33" s="27">
        <v>0.08</v>
      </c>
      <c r="J33" s="28">
        <f>I33</f>
        <v>0.08</v>
      </c>
      <c r="K33" s="28">
        <f t="shared" ref="K33:T33" si="30">J33</f>
        <v>0.08</v>
      </c>
      <c r="L33" s="28">
        <f t="shared" si="30"/>
        <v>0.08</v>
      </c>
      <c r="M33" s="28">
        <f t="shared" si="30"/>
        <v>0.08</v>
      </c>
      <c r="N33" s="28">
        <f t="shared" si="30"/>
        <v>0.08</v>
      </c>
      <c r="O33" s="28">
        <f t="shared" si="30"/>
        <v>0.08</v>
      </c>
      <c r="P33" s="28">
        <f t="shared" si="30"/>
        <v>0.08</v>
      </c>
      <c r="Q33" s="28">
        <f t="shared" si="30"/>
        <v>0.08</v>
      </c>
      <c r="R33" s="28">
        <f t="shared" si="30"/>
        <v>0.08</v>
      </c>
      <c r="S33" s="28">
        <f t="shared" si="30"/>
        <v>0.08</v>
      </c>
      <c r="T33" s="28">
        <f t="shared" si="30"/>
        <v>0.08</v>
      </c>
    </row>
    <row r="34" spans="2:20" x14ac:dyDescent="0.35">
      <c r="B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2:20" x14ac:dyDescent="0.35">
      <c r="B35" s="2" t="s">
        <v>97</v>
      </c>
      <c r="G35" s="29" t="s">
        <v>25</v>
      </c>
      <c r="I35" s="7">
        <f>I36*I37</f>
        <v>7.1820000000000004</v>
      </c>
      <c r="J35" s="7">
        <f t="shared" ref="J35:T35" si="31">J36*J37</f>
        <v>9.8279999999999994</v>
      </c>
      <c r="K35" s="7">
        <f t="shared" si="31"/>
        <v>12.171600000000002</v>
      </c>
      <c r="L35" s="7">
        <f t="shared" si="31"/>
        <v>13.910399999999999</v>
      </c>
      <c r="M35" s="7">
        <f t="shared" si="31"/>
        <v>14.7798</v>
      </c>
      <c r="N35" s="7">
        <f t="shared" si="31"/>
        <v>15.6492</v>
      </c>
      <c r="O35" s="7">
        <f t="shared" si="31"/>
        <v>15.6492</v>
      </c>
      <c r="P35" s="7">
        <f t="shared" si="31"/>
        <v>15.6492</v>
      </c>
      <c r="Q35" s="7">
        <f t="shared" si="31"/>
        <v>15.6492</v>
      </c>
      <c r="R35" s="7">
        <f t="shared" si="31"/>
        <v>15.6492</v>
      </c>
      <c r="S35" s="7">
        <f t="shared" si="31"/>
        <v>15.6492</v>
      </c>
      <c r="T35" s="7">
        <f t="shared" si="31"/>
        <v>15.6492</v>
      </c>
    </row>
    <row r="36" spans="2:20" x14ac:dyDescent="0.35">
      <c r="B36" s="2"/>
      <c r="C36" s="29" t="s">
        <v>59</v>
      </c>
      <c r="G36" s="29" t="s">
        <v>25</v>
      </c>
      <c r="I36" s="3">
        <f>I$8</f>
        <v>718.2</v>
      </c>
      <c r="J36" s="3">
        <f t="shared" ref="J36:T36" si="32">J$8</f>
        <v>982.8</v>
      </c>
      <c r="K36" s="3">
        <f t="shared" si="32"/>
        <v>1217.1600000000001</v>
      </c>
      <c r="L36" s="3">
        <f t="shared" si="32"/>
        <v>1391.04</v>
      </c>
      <c r="M36" s="3">
        <f t="shared" si="32"/>
        <v>1477.98</v>
      </c>
      <c r="N36" s="3">
        <f t="shared" si="32"/>
        <v>1564.92</v>
      </c>
      <c r="O36" s="3">
        <f t="shared" si="32"/>
        <v>1564.92</v>
      </c>
      <c r="P36" s="3">
        <f t="shared" si="32"/>
        <v>1564.92</v>
      </c>
      <c r="Q36" s="3">
        <f t="shared" si="32"/>
        <v>1564.92</v>
      </c>
      <c r="R36" s="3">
        <f t="shared" si="32"/>
        <v>1564.92</v>
      </c>
      <c r="S36" s="3">
        <f t="shared" si="32"/>
        <v>1564.92</v>
      </c>
      <c r="T36" s="3">
        <f t="shared" si="32"/>
        <v>1564.92</v>
      </c>
    </row>
    <row r="37" spans="2:20" x14ac:dyDescent="0.35">
      <c r="B37" s="2"/>
      <c r="C37" s="1" t="s">
        <v>96</v>
      </c>
      <c r="G37" s="29" t="s">
        <v>9</v>
      </c>
      <c r="I37" s="27">
        <v>0.01</v>
      </c>
      <c r="J37" s="28">
        <f>I37</f>
        <v>0.01</v>
      </c>
      <c r="K37" s="28">
        <f t="shared" ref="K37:T37" si="33">J37</f>
        <v>0.01</v>
      </c>
      <c r="L37" s="28">
        <f t="shared" si="33"/>
        <v>0.01</v>
      </c>
      <c r="M37" s="28">
        <f t="shared" si="33"/>
        <v>0.01</v>
      </c>
      <c r="N37" s="28">
        <f t="shared" si="33"/>
        <v>0.01</v>
      </c>
      <c r="O37" s="28">
        <f t="shared" si="33"/>
        <v>0.01</v>
      </c>
      <c r="P37" s="28">
        <f t="shared" si="33"/>
        <v>0.01</v>
      </c>
      <c r="Q37" s="28">
        <f t="shared" si="33"/>
        <v>0.01</v>
      </c>
      <c r="R37" s="28">
        <f t="shared" si="33"/>
        <v>0.01</v>
      </c>
      <c r="S37" s="28">
        <f t="shared" si="33"/>
        <v>0.01</v>
      </c>
      <c r="T37" s="28">
        <f t="shared" si="33"/>
        <v>0.01</v>
      </c>
    </row>
    <row r="38" spans="2:20" x14ac:dyDescent="0.35">
      <c r="B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2:20" x14ac:dyDescent="0.35">
      <c r="B39" s="2" t="s">
        <v>81</v>
      </c>
      <c r="G39" s="29" t="s">
        <v>25</v>
      </c>
      <c r="I39" s="7">
        <f>SUM(I40:I44)</f>
        <v>71.593199999999996</v>
      </c>
      <c r="J39" s="7">
        <f t="shared" ref="J39:T39" si="34">SUM(J40:J44)</f>
        <v>93.592800000000011</v>
      </c>
      <c r="K39" s="7">
        <f t="shared" si="34"/>
        <v>118.08216</v>
      </c>
      <c r="L39" s="7">
        <f t="shared" si="34"/>
        <v>134.95104000000001</v>
      </c>
      <c r="M39" s="7">
        <f t="shared" si="34"/>
        <v>143.38548</v>
      </c>
      <c r="N39" s="7">
        <f t="shared" si="34"/>
        <v>151.81992</v>
      </c>
      <c r="O39" s="7">
        <f t="shared" si="34"/>
        <v>151.81992</v>
      </c>
      <c r="P39" s="7">
        <f t="shared" si="34"/>
        <v>151.81992</v>
      </c>
      <c r="Q39" s="7">
        <f t="shared" si="34"/>
        <v>151.81992</v>
      </c>
      <c r="R39" s="7">
        <f t="shared" si="34"/>
        <v>151.81992</v>
      </c>
      <c r="S39" s="7">
        <f t="shared" si="34"/>
        <v>151.81992</v>
      </c>
      <c r="T39" s="7">
        <f t="shared" si="34"/>
        <v>151.81992</v>
      </c>
    </row>
    <row r="40" spans="2:20" x14ac:dyDescent="0.35">
      <c r="B40" s="2"/>
      <c r="C40" s="29" t="s">
        <v>75</v>
      </c>
      <c r="G40" s="29" t="s">
        <v>25</v>
      </c>
      <c r="I40" s="3">
        <f t="shared" ref="I40:T40" si="35">I17</f>
        <v>25.2</v>
      </c>
      <c r="J40" s="3">
        <f t="shared" si="35"/>
        <v>30.24</v>
      </c>
      <c r="K40" s="3">
        <f t="shared" si="35"/>
        <v>35.28</v>
      </c>
      <c r="L40" s="3">
        <f t="shared" si="35"/>
        <v>40.32</v>
      </c>
      <c r="M40" s="3">
        <f t="shared" si="35"/>
        <v>42.84</v>
      </c>
      <c r="N40" s="3">
        <f t="shared" si="35"/>
        <v>45.36</v>
      </c>
      <c r="O40" s="3">
        <f t="shared" si="35"/>
        <v>45.36</v>
      </c>
      <c r="P40" s="3">
        <f t="shared" si="35"/>
        <v>45.36</v>
      </c>
      <c r="Q40" s="3">
        <f t="shared" si="35"/>
        <v>45.36</v>
      </c>
      <c r="R40" s="3">
        <f t="shared" si="35"/>
        <v>45.36</v>
      </c>
      <c r="S40" s="3">
        <f t="shared" si="35"/>
        <v>45.36</v>
      </c>
      <c r="T40" s="3">
        <f t="shared" si="35"/>
        <v>45.36</v>
      </c>
    </row>
    <row r="41" spans="2:20" x14ac:dyDescent="0.35">
      <c r="B41" s="2"/>
      <c r="C41" s="29" t="s">
        <v>77</v>
      </c>
      <c r="G41" s="29" t="s">
        <v>25</v>
      </c>
      <c r="I41" s="3">
        <f t="shared" ref="I41:T41" si="36">I21</f>
        <v>18.899999999999999</v>
      </c>
      <c r="J41" s="3">
        <f t="shared" si="36"/>
        <v>22.68</v>
      </c>
      <c r="K41" s="3">
        <f t="shared" si="36"/>
        <v>26.46</v>
      </c>
      <c r="L41" s="3">
        <f t="shared" si="36"/>
        <v>30.24</v>
      </c>
      <c r="M41" s="3">
        <f t="shared" si="36"/>
        <v>32.130000000000003</v>
      </c>
      <c r="N41" s="3">
        <f t="shared" si="36"/>
        <v>34.020000000000003</v>
      </c>
      <c r="O41" s="3">
        <f t="shared" si="36"/>
        <v>34.020000000000003</v>
      </c>
      <c r="P41" s="3">
        <f t="shared" si="36"/>
        <v>34.020000000000003</v>
      </c>
      <c r="Q41" s="3">
        <f t="shared" si="36"/>
        <v>34.020000000000003</v>
      </c>
      <c r="R41" s="3">
        <f t="shared" si="36"/>
        <v>34.020000000000003</v>
      </c>
      <c r="S41" s="3">
        <f t="shared" si="36"/>
        <v>34.020000000000003</v>
      </c>
      <c r="T41" s="3">
        <f t="shared" si="36"/>
        <v>34.020000000000003</v>
      </c>
    </row>
    <row r="42" spans="2:20" x14ac:dyDescent="0.35">
      <c r="B42" s="2"/>
      <c r="C42" s="29" t="s">
        <v>78</v>
      </c>
      <c r="G42" s="29" t="s">
        <v>25</v>
      </c>
      <c r="I42" s="3">
        <f t="shared" ref="I42:T42" si="37">I25</f>
        <v>8.82</v>
      </c>
      <c r="J42" s="3">
        <f t="shared" si="37"/>
        <v>15.12</v>
      </c>
      <c r="K42" s="3">
        <f t="shared" si="37"/>
        <v>24.696000000000002</v>
      </c>
      <c r="L42" s="3">
        <f t="shared" si="37"/>
        <v>28.224000000000004</v>
      </c>
      <c r="M42" s="3">
        <f t="shared" si="37"/>
        <v>29.988</v>
      </c>
      <c r="N42" s="3">
        <f t="shared" si="37"/>
        <v>31.751999999999999</v>
      </c>
      <c r="O42" s="3">
        <f t="shared" si="37"/>
        <v>31.751999999999999</v>
      </c>
      <c r="P42" s="3">
        <f t="shared" si="37"/>
        <v>31.751999999999999</v>
      </c>
      <c r="Q42" s="3">
        <f t="shared" si="37"/>
        <v>31.751999999999999</v>
      </c>
      <c r="R42" s="3">
        <f t="shared" si="37"/>
        <v>31.751999999999999</v>
      </c>
      <c r="S42" s="3">
        <f t="shared" si="37"/>
        <v>31.751999999999999</v>
      </c>
      <c r="T42" s="3">
        <f t="shared" si="37"/>
        <v>31.751999999999999</v>
      </c>
    </row>
    <row r="43" spans="2:20" x14ac:dyDescent="0.35">
      <c r="B43" s="2"/>
      <c r="C43" s="29" t="s">
        <v>94</v>
      </c>
      <c r="G43" s="29" t="s">
        <v>25</v>
      </c>
      <c r="I43" s="3">
        <f t="shared" ref="I43:T43" si="38">I30</f>
        <v>11.491200000000001</v>
      </c>
      <c r="J43" s="3">
        <f t="shared" si="38"/>
        <v>15.7248</v>
      </c>
      <c r="K43" s="3">
        <f t="shared" si="38"/>
        <v>19.47456</v>
      </c>
      <c r="L43" s="3">
        <f t="shared" si="38"/>
        <v>22.256640000000001</v>
      </c>
      <c r="M43" s="3">
        <f t="shared" si="38"/>
        <v>23.647680000000001</v>
      </c>
      <c r="N43" s="3">
        <f t="shared" si="38"/>
        <v>25.038720000000005</v>
      </c>
      <c r="O43" s="3">
        <f t="shared" si="38"/>
        <v>25.038720000000005</v>
      </c>
      <c r="P43" s="3">
        <f t="shared" si="38"/>
        <v>25.038720000000005</v>
      </c>
      <c r="Q43" s="3">
        <f t="shared" si="38"/>
        <v>25.038720000000005</v>
      </c>
      <c r="R43" s="3">
        <f t="shared" si="38"/>
        <v>25.038720000000005</v>
      </c>
      <c r="S43" s="3">
        <f t="shared" si="38"/>
        <v>25.038720000000005</v>
      </c>
      <c r="T43" s="3">
        <f t="shared" si="38"/>
        <v>25.038720000000005</v>
      </c>
    </row>
    <row r="44" spans="2:20" x14ac:dyDescent="0.35">
      <c r="B44" s="2"/>
      <c r="C44" s="29" t="s">
        <v>97</v>
      </c>
      <c r="G44" s="29" t="s">
        <v>25</v>
      </c>
      <c r="I44" s="3">
        <f t="shared" ref="I44:T44" si="39">I35</f>
        <v>7.1820000000000004</v>
      </c>
      <c r="J44" s="3">
        <f t="shared" si="39"/>
        <v>9.8279999999999994</v>
      </c>
      <c r="K44" s="3">
        <f t="shared" si="39"/>
        <v>12.171600000000002</v>
      </c>
      <c r="L44" s="3">
        <f t="shared" si="39"/>
        <v>13.910399999999999</v>
      </c>
      <c r="M44" s="3">
        <f t="shared" si="39"/>
        <v>14.7798</v>
      </c>
      <c r="N44" s="3">
        <f t="shared" si="39"/>
        <v>15.6492</v>
      </c>
      <c r="O44" s="3">
        <f t="shared" si="39"/>
        <v>15.6492</v>
      </c>
      <c r="P44" s="3">
        <f t="shared" si="39"/>
        <v>15.6492</v>
      </c>
      <c r="Q44" s="3">
        <f t="shared" si="39"/>
        <v>15.6492</v>
      </c>
      <c r="R44" s="3">
        <f t="shared" si="39"/>
        <v>15.6492</v>
      </c>
      <c r="S44" s="3">
        <f t="shared" si="39"/>
        <v>15.6492</v>
      </c>
      <c r="T44" s="3">
        <f t="shared" si="39"/>
        <v>15.6492</v>
      </c>
    </row>
    <row r="45" spans="2:20" x14ac:dyDescent="0.35">
      <c r="B45" s="2"/>
      <c r="C45" s="2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2:20" x14ac:dyDescent="0.35">
      <c r="B46" s="2" t="s">
        <v>80</v>
      </c>
      <c r="G46" s="29" t="s">
        <v>25</v>
      </c>
      <c r="I46" s="7">
        <f>I47-I48</f>
        <v>646.60680000000002</v>
      </c>
      <c r="J46" s="7">
        <f t="shared" ref="J46:T46" si="40">J47-J48</f>
        <v>889.20719999999994</v>
      </c>
      <c r="K46" s="7">
        <f t="shared" si="40"/>
        <v>1099.0778400000002</v>
      </c>
      <c r="L46" s="7">
        <f t="shared" si="40"/>
        <v>1256.08896</v>
      </c>
      <c r="M46" s="7">
        <f t="shared" si="40"/>
        <v>1334.5945200000001</v>
      </c>
      <c r="N46" s="7">
        <f t="shared" si="40"/>
        <v>1413.1000800000002</v>
      </c>
      <c r="O46" s="7">
        <f t="shared" si="40"/>
        <v>1413.1000800000002</v>
      </c>
      <c r="P46" s="7">
        <f t="shared" si="40"/>
        <v>1413.1000800000002</v>
      </c>
      <c r="Q46" s="7">
        <f t="shared" si="40"/>
        <v>1413.1000800000002</v>
      </c>
      <c r="R46" s="7">
        <f t="shared" si="40"/>
        <v>1413.1000800000002</v>
      </c>
      <c r="S46" s="7">
        <f t="shared" si="40"/>
        <v>1413.1000800000002</v>
      </c>
      <c r="T46" s="7">
        <f t="shared" si="40"/>
        <v>1413.1000800000002</v>
      </c>
    </row>
    <row r="47" spans="2:20" x14ac:dyDescent="0.35">
      <c r="B47" s="2"/>
      <c r="C47" s="1" t="s">
        <v>0</v>
      </c>
      <c r="G47" s="29" t="s">
        <v>25</v>
      </c>
      <c r="I47" s="11">
        <f t="shared" ref="I47:T47" si="41">I8</f>
        <v>718.2</v>
      </c>
      <c r="J47" s="11">
        <f t="shared" si="41"/>
        <v>982.8</v>
      </c>
      <c r="K47" s="11">
        <f t="shared" si="41"/>
        <v>1217.1600000000001</v>
      </c>
      <c r="L47" s="11">
        <f t="shared" si="41"/>
        <v>1391.04</v>
      </c>
      <c r="M47" s="11">
        <f t="shared" si="41"/>
        <v>1477.98</v>
      </c>
      <c r="N47" s="11">
        <f t="shared" si="41"/>
        <v>1564.92</v>
      </c>
      <c r="O47" s="11">
        <f t="shared" si="41"/>
        <v>1564.92</v>
      </c>
      <c r="P47" s="11">
        <f t="shared" si="41"/>
        <v>1564.92</v>
      </c>
      <c r="Q47" s="11">
        <f t="shared" si="41"/>
        <v>1564.92</v>
      </c>
      <c r="R47" s="11">
        <f t="shared" si="41"/>
        <v>1564.92</v>
      </c>
      <c r="S47" s="11">
        <f t="shared" si="41"/>
        <v>1564.92</v>
      </c>
      <c r="T47" s="11">
        <f t="shared" si="41"/>
        <v>1564.92</v>
      </c>
    </row>
    <row r="48" spans="2:20" x14ac:dyDescent="0.35">
      <c r="B48" s="2"/>
      <c r="C48" s="29" t="s">
        <v>81</v>
      </c>
      <c r="G48" s="29" t="s">
        <v>25</v>
      </c>
      <c r="I48" s="11">
        <f t="shared" ref="I48:T48" si="42">I39</f>
        <v>71.593199999999996</v>
      </c>
      <c r="J48" s="11">
        <f t="shared" si="42"/>
        <v>93.592800000000011</v>
      </c>
      <c r="K48" s="11">
        <f t="shared" si="42"/>
        <v>118.08216</v>
      </c>
      <c r="L48" s="11">
        <f t="shared" si="42"/>
        <v>134.95104000000001</v>
      </c>
      <c r="M48" s="11">
        <f t="shared" si="42"/>
        <v>143.38548</v>
      </c>
      <c r="N48" s="11">
        <f t="shared" si="42"/>
        <v>151.81992</v>
      </c>
      <c r="O48" s="11">
        <f t="shared" si="42"/>
        <v>151.81992</v>
      </c>
      <c r="P48" s="11">
        <f t="shared" si="42"/>
        <v>151.81992</v>
      </c>
      <c r="Q48" s="11">
        <f t="shared" si="42"/>
        <v>151.81992</v>
      </c>
      <c r="R48" s="11">
        <f t="shared" si="42"/>
        <v>151.81992</v>
      </c>
      <c r="S48" s="11">
        <f t="shared" si="42"/>
        <v>151.81992</v>
      </c>
      <c r="T48" s="11">
        <f t="shared" si="42"/>
        <v>151.81992</v>
      </c>
    </row>
    <row r="50" spans="2:20" x14ac:dyDescent="0.35">
      <c r="B50" s="2" t="s">
        <v>85</v>
      </c>
      <c r="G50" s="29" t="s">
        <v>92</v>
      </c>
      <c r="I50" s="7">
        <f>I51+I54+I57+I58</f>
        <v>1876</v>
      </c>
      <c r="J50" s="7">
        <f t="shared" ref="J50:T50" si="43">J51+J54+J57+J58</f>
        <v>1876</v>
      </c>
      <c r="K50" s="7">
        <f t="shared" si="43"/>
        <v>1876</v>
      </c>
      <c r="L50" s="7">
        <f t="shared" si="43"/>
        <v>1876</v>
      </c>
      <c r="M50" s="7">
        <f t="shared" si="43"/>
        <v>1876</v>
      </c>
      <c r="N50" s="7">
        <f t="shared" si="43"/>
        <v>1876</v>
      </c>
      <c r="O50" s="7">
        <f t="shared" si="43"/>
        <v>1876</v>
      </c>
      <c r="P50" s="7">
        <f t="shared" si="43"/>
        <v>1876</v>
      </c>
      <c r="Q50" s="7">
        <f t="shared" si="43"/>
        <v>1876</v>
      </c>
      <c r="R50" s="7">
        <f t="shared" si="43"/>
        <v>1876</v>
      </c>
      <c r="S50" s="7">
        <f t="shared" si="43"/>
        <v>1876</v>
      </c>
      <c r="T50" s="7">
        <f t="shared" si="43"/>
        <v>1876</v>
      </c>
    </row>
    <row r="51" spans="2:20" x14ac:dyDescent="0.35">
      <c r="C51" s="1" t="s">
        <v>86</v>
      </c>
      <c r="G51" s="29" t="s">
        <v>92</v>
      </c>
      <c r="I51" s="3">
        <f>I52*I53</f>
        <v>840</v>
      </c>
      <c r="J51" s="3">
        <f>J52*J53</f>
        <v>840</v>
      </c>
      <c r="K51" s="3">
        <f t="shared" ref="K51:T51" si="44">K52*K53</f>
        <v>840</v>
      </c>
      <c r="L51" s="3">
        <f t="shared" si="44"/>
        <v>840</v>
      </c>
      <c r="M51" s="3">
        <f t="shared" si="44"/>
        <v>840</v>
      </c>
      <c r="N51" s="3">
        <f t="shared" si="44"/>
        <v>840</v>
      </c>
      <c r="O51" s="3">
        <f t="shared" si="44"/>
        <v>840</v>
      </c>
      <c r="P51" s="3">
        <f t="shared" si="44"/>
        <v>840</v>
      </c>
      <c r="Q51" s="3">
        <f t="shared" si="44"/>
        <v>840</v>
      </c>
      <c r="R51" s="3">
        <f t="shared" si="44"/>
        <v>840</v>
      </c>
      <c r="S51" s="3">
        <f t="shared" si="44"/>
        <v>840</v>
      </c>
      <c r="T51" s="3">
        <f t="shared" si="44"/>
        <v>840</v>
      </c>
    </row>
    <row r="52" spans="2:20" hidden="1" outlineLevel="1" x14ac:dyDescent="0.35">
      <c r="D52" s="1" t="s">
        <v>61</v>
      </c>
      <c r="G52" s="29" t="s">
        <v>72</v>
      </c>
      <c r="I52" s="3">
        <f t="shared" ref="I52:T52" si="45">I10</f>
        <v>70</v>
      </c>
      <c r="J52" s="3">
        <f t="shared" si="45"/>
        <v>70</v>
      </c>
      <c r="K52" s="3">
        <f t="shared" si="45"/>
        <v>70</v>
      </c>
      <c r="L52" s="3">
        <f t="shared" si="45"/>
        <v>70</v>
      </c>
      <c r="M52" s="3">
        <f t="shared" si="45"/>
        <v>70</v>
      </c>
      <c r="N52" s="3">
        <f t="shared" si="45"/>
        <v>70</v>
      </c>
      <c r="O52" s="3">
        <f t="shared" si="45"/>
        <v>70</v>
      </c>
      <c r="P52" s="3">
        <f t="shared" si="45"/>
        <v>70</v>
      </c>
      <c r="Q52" s="3">
        <f t="shared" si="45"/>
        <v>70</v>
      </c>
      <c r="R52" s="3">
        <f t="shared" si="45"/>
        <v>70</v>
      </c>
      <c r="S52" s="3">
        <f t="shared" si="45"/>
        <v>70</v>
      </c>
      <c r="T52" s="3">
        <f t="shared" si="45"/>
        <v>70</v>
      </c>
    </row>
    <row r="53" spans="2:20" hidden="1" outlineLevel="1" x14ac:dyDescent="0.35">
      <c r="D53" s="1" t="s">
        <v>87</v>
      </c>
      <c r="G53" s="29" t="s">
        <v>93</v>
      </c>
      <c r="I53" s="9">
        <v>12</v>
      </c>
      <c r="J53" s="3">
        <f>I53</f>
        <v>12</v>
      </c>
      <c r="K53" s="3">
        <f t="shared" ref="K53:T53" si="46">J53</f>
        <v>12</v>
      </c>
      <c r="L53" s="3">
        <f t="shared" si="46"/>
        <v>12</v>
      </c>
      <c r="M53" s="3">
        <f t="shared" si="46"/>
        <v>12</v>
      </c>
      <c r="N53" s="3">
        <f t="shared" si="46"/>
        <v>12</v>
      </c>
      <c r="O53" s="3">
        <f t="shared" si="46"/>
        <v>12</v>
      </c>
      <c r="P53" s="3">
        <f t="shared" si="46"/>
        <v>12</v>
      </c>
      <c r="Q53" s="3">
        <f t="shared" si="46"/>
        <v>12</v>
      </c>
      <c r="R53" s="3">
        <f t="shared" si="46"/>
        <v>12</v>
      </c>
      <c r="S53" s="3">
        <f t="shared" si="46"/>
        <v>12</v>
      </c>
      <c r="T53" s="3">
        <f t="shared" si="46"/>
        <v>12</v>
      </c>
    </row>
    <row r="54" spans="2:20" collapsed="1" x14ac:dyDescent="0.35">
      <c r="C54" s="1" t="s">
        <v>89</v>
      </c>
      <c r="G54" s="29" t="s">
        <v>92</v>
      </c>
      <c r="I54" s="3">
        <f>I55*I56</f>
        <v>336</v>
      </c>
      <c r="J54" s="3">
        <f>J55*J56</f>
        <v>336</v>
      </c>
      <c r="K54" s="3">
        <f t="shared" ref="K54:T54" si="47">K55*K56</f>
        <v>336</v>
      </c>
      <c r="L54" s="3">
        <f t="shared" si="47"/>
        <v>336</v>
      </c>
      <c r="M54" s="3">
        <f t="shared" si="47"/>
        <v>336</v>
      </c>
      <c r="N54" s="3">
        <f t="shared" si="47"/>
        <v>336</v>
      </c>
      <c r="O54" s="3">
        <f t="shared" si="47"/>
        <v>336</v>
      </c>
      <c r="P54" s="3">
        <f t="shared" si="47"/>
        <v>336</v>
      </c>
      <c r="Q54" s="3">
        <f t="shared" si="47"/>
        <v>336</v>
      </c>
      <c r="R54" s="3">
        <f t="shared" si="47"/>
        <v>336</v>
      </c>
      <c r="S54" s="3">
        <f t="shared" si="47"/>
        <v>336</v>
      </c>
      <c r="T54" s="3">
        <f t="shared" si="47"/>
        <v>336</v>
      </c>
    </row>
    <row r="55" spans="2:20" hidden="1" outlineLevel="1" x14ac:dyDescent="0.35">
      <c r="D55" s="1" t="s">
        <v>86</v>
      </c>
      <c r="G55" s="29" t="s">
        <v>92</v>
      </c>
      <c r="I55" s="3">
        <f>I51</f>
        <v>840</v>
      </c>
      <c r="J55" s="3">
        <f>J51</f>
        <v>840</v>
      </c>
      <c r="K55" s="3">
        <f t="shared" ref="K55:T55" si="48">K51</f>
        <v>840</v>
      </c>
      <c r="L55" s="3">
        <f t="shared" si="48"/>
        <v>840</v>
      </c>
      <c r="M55" s="3">
        <f t="shared" si="48"/>
        <v>840</v>
      </c>
      <c r="N55" s="3">
        <f t="shared" si="48"/>
        <v>840</v>
      </c>
      <c r="O55" s="3">
        <f t="shared" si="48"/>
        <v>840</v>
      </c>
      <c r="P55" s="3">
        <f t="shared" si="48"/>
        <v>840</v>
      </c>
      <c r="Q55" s="3">
        <f t="shared" si="48"/>
        <v>840</v>
      </c>
      <c r="R55" s="3">
        <f t="shared" si="48"/>
        <v>840</v>
      </c>
      <c r="S55" s="3">
        <f t="shared" si="48"/>
        <v>840</v>
      </c>
      <c r="T55" s="3">
        <f t="shared" si="48"/>
        <v>840</v>
      </c>
    </row>
    <row r="56" spans="2:20" hidden="1" outlineLevel="1" x14ac:dyDescent="0.35">
      <c r="D56" s="1" t="s">
        <v>88</v>
      </c>
      <c r="G56" s="29" t="s">
        <v>9</v>
      </c>
      <c r="I56" s="27">
        <v>0.4</v>
      </c>
      <c r="J56" s="28">
        <f>I56</f>
        <v>0.4</v>
      </c>
      <c r="K56" s="28">
        <f t="shared" ref="K56:T56" si="49">J56</f>
        <v>0.4</v>
      </c>
      <c r="L56" s="28">
        <f t="shared" si="49"/>
        <v>0.4</v>
      </c>
      <c r="M56" s="28">
        <f t="shared" si="49"/>
        <v>0.4</v>
      </c>
      <c r="N56" s="28">
        <f t="shared" si="49"/>
        <v>0.4</v>
      </c>
      <c r="O56" s="28">
        <f t="shared" si="49"/>
        <v>0.4</v>
      </c>
      <c r="P56" s="28">
        <f t="shared" si="49"/>
        <v>0.4</v>
      </c>
      <c r="Q56" s="28">
        <f t="shared" si="49"/>
        <v>0.4</v>
      </c>
      <c r="R56" s="28">
        <f t="shared" si="49"/>
        <v>0.4</v>
      </c>
      <c r="S56" s="28">
        <f t="shared" si="49"/>
        <v>0.4</v>
      </c>
      <c r="T56" s="28">
        <f t="shared" si="49"/>
        <v>0.4</v>
      </c>
    </row>
    <row r="57" spans="2:20" collapsed="1" x14ac:dyDescent="0.35">
      <c r="C57" s="1" t="s">
        <v>90</v>
      </c>
      <c r="G57" s="29" t="s">
        <v>92</v>
      </c>
      <c r="I57" s="9">
        <v>200</v>
      </c>
      <c r="J57" s="3">
        <f>I57</f>
        <v>200</v>
      </c>
      <c r="K57" s="3">
        <f t="shared" ref="K57:T57" si="50">J57</f>
        <v>200</v>
      </c>
      <c r="L57" s="3">
        <f t="shared" si="50"/>
        <v>200</v>
      </c>
      <c r="M57" s="3">
        <f t="shared" si="50"/>
        <v>200</v>
      </c>
      <c r="N57" s="3">
        <f t="shared" si="50"/>
        <v>200</v>
      </c>
      <c r="O57" s="3">
        <f t="shared" si="50"/>
        <v>200</v>
      </c>
      <c r="P57" s="3">
        <f t="shared" si="50"/>
        <v>200</v>
      </c>
      <c r="Q57" s="3">
        <f t="shared" si="50"/>
        <v>200</v>
      </c>
      <c r="R57" s="3">
        <f t="shared" si="50"/>
        <v>200</v>
      </c>
      <c r="S57" s="3">
        <f t="shared" si="50"/>
        <v>200</v>
      </c>
      <c r="T57" s="3">
        <f t="shared" si="50"/>
        <v>200</v>
      </c>
    </row>
    <row r="58" spans="2:20" x14ac:dyDescent="0.35">
      <c r="C58" s="1" t="s">
        <v>91</v>
      </c>
      <c r="G58" s="29" t="s">
        <v>92</v>
      </c>
      <c r="I58" s="9">
        <v>500</v>
      </c>
      <c r="J58" s="3">
        <f>I58</f>
        <v>500</v>
      </c>
      <c r="K58" s="3">
        <f t="shared" ref="K58:T58" si="51">J58</f>
        <v>500</v>
      </c>
      <c r="L58" s="3">
        <f t="shared" si="51"/>
        <v>500</v>
      </c>
      <c r="M58" s="3">
        <f t="shared" si="51"/>
        <v>500</v>
      </c>
      <c r="N58" s="3">
        <f t="shared" si="51"/>
        <v>500</v>
      </c>
      <c r="O58" s="3">
        <f t="shared" si="51"/>
        <v>500</v>
      </c>
      <c r="P58" s="3">
        <f t="shared" si="51"/>
        <v>500</v>
      </c>
      <c r="Q58" s="3">
        <f t="shared" si="51"/>
        <v>500</v>
      </c>
      <c r="R58" s="3">
        <f t="shared" si="51"/>
        <v>500</v>
      </c>
      <c r="S58" s="3">
        <f t="shared" si="51"/>
        <v>500</v>
      </c>
      <c r="T58" s="3">
        <f t="shared" si="51"/>
        <v>500</v>
      </c>
    </row>
    <row r="60" spans="2:20" x14ac:dyDescent="0.35">
      <c r="B60" s="2" t="s">
        <v>82</v>
      </c>
      <c r="G60" s="29" t="s">
        <v>25</v>
      </c>
      <c r="I60" s="7">
        <f t="shared" ref="I60:P60" si="52">I61+I64+I67+I70</f>
        <v>722.96</v>
      </c>
      <c r="J60" s="7">
        <f t="shared" si="52"/>
        <v>712.96</v>
      </c>
      <c r="K60" s="7">
        <f t="shared" si="52"/>
        <v>712.96</v>
      </c>
      <c r="L60" s="7">
        <f t="shared" si="52"/>
        <v>712.96</v>
      </c>
      <c r="M60" s="7">
        <f t="shared" si="52"/>
        <v>712.96</v>
      </c>
      <c r="N60" s="7">
        <f t="shared" si="52"/>
        <v>712.96</v>
      </c>
      <c r="O60" s="7">
        <f t="shared" si="52"/>
        <v>712.96</v>
      </c>
      <c r="P60" s="7">
        <f t="shared" si="52"/>
        <v>712.96</v>
      </c>
      <c r="Q60" s="7">
        <f t="shared" ref="Q60:T60" si="53">Q61+Q64+Q67+Q70</f>
        <v>712.96</v>
      </c>
      <c r="R60" s="7">
        <f t="shared" si="53"/>
        <v>712.96</v>
      </c>
      <c r="S60" s="7">
        <f t="shared" si="53"/>
        <v>712.96</v>
      </c>
      <c r="T60" s="7">
        <f t="shared" si="53"/>
        <v>712.96</v>
      </c>
    </row>
    <row r="61" spans="2:20" ht="15.5" customHeight="1" x14ac:dyDescent="0.35">
      <c r="C61" s="1" t="s">
        <v>1</v>
      </c>
      <c r="G61" s="29" t="s">
        <v>25</v>
      </c>
      <c r="I61" s="3">
        <f>I62*I63</f>
        <v>0</v>
      </c>
      <c r="J61" s="3">
        <f t="shared" ref="J61:P61" si="54">J62*J63</f>
        <v>0</v>
      </c>
      <c r="K61" s="3">
        <f t="shared" si="54"/>
        <v>0</v>
      </c>
      <c r="L61" s="3">
        <f t="shared" si="54"/>
        <v>0</v>
      </c>
      <c r="M61" s="3">
        <f t="shared" si="54"/>
        <v>0</v>
      </c>
      <c r="N61" s="3">
        <f t="shared" si="54"/>
        <v>0</v>
      </c>
      <c r="O61" s="3">
        <f t="shared" si="54"/>
        <v>0</v>
      </c>
      <c r="P61" s="3">
        <f t="shared" si="54"/>
        <v>0</v>
      </c>
      <c r="Q61" s="3">
        <f t="shared" ref="Q61:T61" si="55">Q62*Q63</f>
        <v>0</v>
      </c>
      <c r="R61" s="3">
        <f t="shared" si="55"/>
        <v>0</v>
      </c>
      <c r="S61" s="3">
        <f t="shared" si="55"/>
        <v>0</v>
      </c>
      <c r="T61" s="3">
        <f t="shared" si="55"/>
        <v>0</v>
      </c>
    </row>
    <row r="62" spans="2:20" hidden="1" outlineLevel="1" x14ac:dyDescent="0.35">
      <c r="D62" s="1" t="s">
        <v>0</v>
      </c>
      <c r="G62" s="29" t="s">
        <v>25</v>
      </c>
      <c r="I62" s="3">
        <f t="shared" ref="I62:T62" si="56">I8</f>
        <v>718.2</v>
      </c>
      <c r="J62" s="3">
        <f t="shared" si="56"/>
        <v>982.8</v>
      </c>
      <c r="K62" s="3">
        <f t="shared" si="56"/>
        <v>1217.1600000000001</v>
      </c>
      <c r="L62" s="3">
        <f t="shared" si="56"/>
        <v>1391.04</v>
      </c>
      <c r="M62" s="3">
        <f t="shared" si="56"/>
        <v>1477.98</v>
      </c>
      <c r="N62" s="3">
        <f t="shared" si="56"/>
        <v>1564.92</v>
      </c>
      <c r="O62" s="3">
        <f t="shared" si="56"/>
        <v>1564.92</v>
      </c>
      <c r="P62" s="3">
        <f t="shared" si="56"/>
        <v>1564.92</v>
      </c>
      <c r="Q62" s="3">
        <f t="shared" si="56"/>
        <v>1564.92</v>
      </c>
      <c r="R62" s="3">
        <f t="shared" si="56"/>
        <v>1564.92</v>
      </c>
      <c r="S62" s="3">
        <f t="shared" si="56"/>
        <v>1564.92</v>
      </c>
      <c r="T62" s="3">
        <f t="shared" si="56"/>
        <v>1564.92</v>
      </c>
    </row>
    <row r="63" spans="2:20" hidden="1" outlineLevel="1" x14ac:dyDescent="0.35">
      <c r="D63" s="1" t="s">
        <v>7</v>
      </c>
      <c r="G63" s="29" t="s">
        <v>9</v>
      </c>
      <c r="I63" s="30">
        <v>0</v>
      </c>
      <c r="J63" s="6">
        <f>I63</f>
        <v>0</v>
      </c>
      <c r="K63" s="6">
        <f>J63</f>
        <v>0</v>
      </c>
      <c r="L63" s="6">
        <f>K63</f>
        <v>0</v>
      </c>
      <c r="M63" s="6">
        <f t="shared" ref="M63:T63" si="57">L63</f>
        <v>0</v>
      </c>
      <c r="N63" s="6">
        <f t="shared" si="57"/>
        <v>0</v>
      </c>
      <c r="O63" s="6">
        <f t="shared" si="57"/>
        <v>0</v>
      </c>
      <c r="P63" s="6">
        <f t="shared" si="57"/>
        <v>0</v>
      </c>
      <c r="Q63" s="6">
        <f t="shared" si="57"/>
        <v>0</v>
      </c>
      <c r="R63" s="6">
        <f t="shared" si="57"/>
        <v>0</v>
      </c>
      <c r="S63" s="6">
        <f t="shared" si="57"/>
        <v>0</v>
      </c>
      <c r="T63" s="6">
        <f t="shared" si="57"/>
        <v>0</v>
      </c>
    </row>
    <row r="64" spans="2:20" collapsed="1" x14ac:dyDescent="0.35">
      <c r="C64" s="1" t="s">
        <v>99</v>
      </c>
      <c r="G64" s="29" t="s">
        <v>25</v>
      </c>
      <c r="I64" s="3">
        <f t="shared" ref="I64:P64" si="58">I65*I66/1000</f>
        <v>112.56</v>
      </c>
      <c r="J64" s="3">
        <f t="shared" si="58"/>
        <v>112.56</v>
      </c>
      <c r="K64" s="3">
        <f t="shared" si="58"/>
        <v>112.56</v>
      </c>
      <c r="L64" s="3">
        <f t="shared" si="58"/>
        <v>112.56</v>
      </c>
      <c r="M64" s="3">
        <f t="shared" si="58"/>
        <v>112.56</v>
      </c>
      <c r="N64" s="3">
        <f t="shared" si="58"/>
        <v>112.56</v>
      </c>
      <c r="O64" s="3">
        <f t="shared" si="58"/>
        <v>112.56</v>
      </c>
      <c r="P64" s="3">
        <f t="shared" si="58"/>
        <v>112.56</v>
      </c>
      <c r="Q64" s="3">
        <f t="shared" ref="Q64:T64" si="59">Q65*Q66/1000</f>
        <v>112.56</v>
      </c>
      <c r="R64" s="3">
        <f t="shared" si="59"/>
        <v>112.56</v>
      </c>
      <c r="S64" s="3">
        <f t="shared" si="59"/>
        <v>112.56</v>
      </c>
      <c r="T64" s="3">
        <f t="shared" si="59"/>
        <v>112.56</v>
      </c>
    </row>
    <row r="65" spans="3:20" hidden="1" outlineLevel="1" x14ac:dyDescent="0.35">
      <c r="D65" s="1" t="s">
        <v>22</v>
      </c>
      <c r="G65" s="29" t="s">
        <v>100</v>
      </c>
      <c r="I65" s="9">
        <f>5*12</f>
        <v>60</v>
      </c>
      <c r="J65" s="3">
        <f>I65</f>
        <v>60</v>
      </c>
      <c r="K65" s="3">
        <f t="shared" ref="K65:T65" si="60">J65</f>
        <v>60</v>
      </c>
      <c r="L65" s="3">
        <f t="shared" si="60"/>
        <v>60</v>
      </c>
      <c r="M65" s="3">
        <f t="shared" si="60"/>
        <v>60</v>
      </c>
      <c r="N65" s="3">
        <f t="shared" si="60"/>
        <v>60</v>
      </c>
      <c r="O65" s="3">
        <f t="shared" si="60"/>
        <v>60</v>
      </c>
      <c r="P65" s="3">
        <f t="shared" si="60"/>
        <v>60</v>
      </c>
      <c r="Q65" s="3">
        <f t="shared" si="60"/>
        <v>60</v>
      </c>
      <c r="R65" s="3">
        <f t="shared" si="60"/>
        <v>60</v>
      </c>
      <c r="S65" s="3">
        <f t="shared" si="60"/>
        <v>60</v>
      </c>
      <c r="T65" s="3">
        <f t="shared" si="60"/>
        <v>60</v>
      </c>
    </row>
    <row r="66" spans="3:20" hidden="1" outlineLevel="1" x14ac:dyDescent="0.35">
      <c r="D66" s="29" t="s">
        <v>85</v>
      </c>
      <c r="G66" s="29" t="s">
        <v>8</v>
      </c>
      <c r="I66" s="3">
        <f>I$50</f>
        <v>1876</v>
      </c>
      <c r="J66" s="3">
        <f t="shared" ref="J66:T66" si="61">J$50</f>
        <v>1876</v>
      </c>
      <c r="K66" s="3">
        <f t="shared" si="61"/>
        <v>1876</v>
      </c>
      <c r="L66" s="3">
        <f t="shared" si="61"/>
        <v>1876</v>
      </c>
      <c r="M66" s="3">
        <f t="shared" si="61"/>
        <v>1876</v>
      </c>
      <c r="N66" s="3">
        <f t="shared" si="61"/>
        <v>1876</v>
      </c>
      <c r="O66" s="3">
        <f t="shared" si="61"/>
        <v>1876</v>
      </c>
      <c r="P66" s="3">
        <f t="shared" si="61"/>
        <v>1876</v>
      </c>
      <c r="Q66" s="3">
        <f t="shared" si="61"/>
        <v>1876</v>
      </c>
      <c r="R66" s="3">
        <f t="shared" si="61"/>
        <v>1876</v>
      </c>
      <c r="S66" s="3">
        <f t="shared" si="61"/>
        <v>1876</v>
      </c>
      <c r="T66" s="3">
        <f t="shared" si="61"/>
        <v>1876</v>
      </c>
    </row>
    <row r="67" spans="3:20" collapsed="1" x14ac:dyDescent="0.35">
      <c r="C67" s="1" t="s">
        <v>2</v>
      </c>
      <c r="G67" s="29" t="s">
        <v>25</v>
      </c>
      <c r="I67" s="3">
        <f t="shared" ref="I67:P67" si="62">I68*I69</f>
        <v>590.40000000000009</v>
      </c>
      <c r="J67" s="3">
        <f t="shared" si="62"/>
        <v>590.40000000000009</v>
      </c>
      <c r="K67" s="3">
        <f t="shared" si="62"/>
        <v>590.40000000000009</v>
      </c>
      <c r="L67" s="3">
        <f t="shared" si="62"/>
        <v>590.40000000000009</v>
      </c>
      <c r="M67" s="3">
        <f t="shared" si="62"/>
        <v>590.40000000000009</v>
      </c>
      <c r="N67" s="3">
        <f t="shared" si="62"/>
        <v>590.40000000000009</v>
      </c>
      <c r="O67" s="3">
        <f t="shared" si="62"/>
        <v>590.40000000000009</v>
      </c>
      <c r="P67" s="3">
        <f t="shared" si="62"/>
        <v>590.40000000000009</v>
      </c>
      <c r="Q67" s="3">
        <f t="shared" ref="Q67:T67" si="63">Q68*Q69</f>
        <v>590.40000000000009</v>
      </c>
      <c r="R67" s="3">
        <f t="shared" si="63"/>
        <v>590.40000000000009</v>
      </c>
      <c r="S67" s="3">
        <f t="shared" si="63"/>
        <v>590.40000000000009</v>
      </c>
      <c r="T67" s="3">
        <f t="shared" si="63"/>
        <v>590.40000000000009</v>
      </c>
    </row>
    <row r="68" spans="3:20" hidden="1" outlineLevel="1" x14ac:dyDescent="0.35">
      <c r="D68" s="1" t="s">
        <v>4</v>
      </c>
      <c r="G68" s="29" t="s">
        <v>6</v>
      </c>
      <c r="I68" s="9">
        <f>12+5+2+1+4</f>
        <v>24</v>
      </c>
      <c r="J68" s="3">
        <f t="shared" ref="J68:T70" si="64">I68</f>
        <v>24</v>
      </c>
      <c r="K68" s="3">
        <f t="shared" si="64"/>
        <v>24</v>
      </c>
      <c r="L68" s="3">
        <f t="shared" si="64"/>
        <v>24</v>
      </c>
      <c r="M68" s="3">
        <f t="shared" si="64"/>
        <v>24</v>
      </c>
      <c r="N68" s="3">
        <f t="shared" si="64"/>
        <v>24</v>
      </c>
      <c r="O68" s="3">
        <f t="shared" si="64"/>
        <v>24</v>
      </c>
      <c r="P68" s="3">
        <f t="shared" si="64"/>
        <v>24</v>
      </c>
      <c r="Q68" s="3">
        <f t="shared" si="64"/>
        <v>24</v>
      </c>
      <c r="R68" s="3">
        <f t="shared" si="64"/>
        <v>24</v>
      </c>
      <c r="S68" s="3">
        <f t="shared" si="64"/>
        <v>24</v>
      </c>
      <c r="T68" s="3">
        <f t="shared" si="64"/>
        <v>24</v>
      </c>
    </row>
    <row r="69" spans="3:20" hidden="1" outlineLevel="1" x14ac:dyDescent="0.35">
      <c r="D69" s="1" t="s">
        <v>5</v>
      </c>
      <c r="G69" s="29" t="s">
        <v>83</v>
      </c>
      <c r="I69" s="9">
        <f>6*1.23*12/3.6</f>
        <v>24.6</v>
      </c>
      <c r="J69" s="3">
        <f t="shared" si="64"/>
        <v>24.6</v>
      </c>
      <c r="K69" s="3">
        <f t="shared" si="64"/>
        <v>24.6</v>
      </c>
      <c r="L69" s="3">
        <f t="shared" si="64"/>
        <v>24.6</v>
      </c>
      <c r="M69" s="3">
        <f t="shared" si="64"/>
        <v>24.6</v>
      </c>
      <c r="N69" s="3">
        <f t="shared" si="64"/>
        <v>24.6</v>
      </c>
      <c r="O69" s="3">
        <f t="shared" si="64"/>
        <v>24.6</v>
      </c>
      <c r="P69" s="3">
        <f t="shared" si="64"/>
        <v>24.6</v>
      </c>
      <c r="Q69" s="3">
        <f t="shared" si="64"/>
        <v>24.6</v>
      </c>
      <c r="R69" s="3">
        <f t="shared" si="64"/>
        <v>24.6</v>
      </c>
      <c r="S69" s="3">
        <f t="shared" si="64"/>
        <v>24.6</v>
      </c>
      <c r="T69" s="3">
        <f t="shared" si="64"/>
        <v>24.6</v>
      </c>
    </row>
    <row r="70" spans="3:20" collapsed="1" x14ac:dyDescent="0.35">
      <c r="C70" s="1" t="s">
        <v>3</v>
      </c>
      <c r="G70" s="29" t="s">
        <v>25</v>
      </c>
      <c r="I70" s="8">
        <v>20</v>
      </c>
      <c r="J70" s="8">
        <v>10</v>
      </c>
      <c r="K70" s="1">
        <f t="shared" si="64"/>
        <v>10</v>
      </c>
      <c r="L70" s="1">
        <f t="shared" si="64"/>
        <v>10</v>
      </c>
      <c r="M70" s="1">
        <f t="shared" si="64"/>
        <v>10</v>
      </c>
      <c r="N70" s="1">
        <f t="shared" si="64"/>
        <v>10</v>
      </c>
      <c r="O70" s="1">
        <f t="shared" si="64"/>
        <v>10</v>
      </c>
      <c r="P70" s="1">
        <f t="shared" si="64"/>
        <v>10</v>
      </c>
      <c r="Q70" s="1">
        <f t="shared" si="64"/>
        <v>10</v>
      </c>
      <c r="R70" s="1">
        <f t="shared" si="64"/>
        <v>10</v>
      </c>
      <c r="S70" s="1">
        <f t="shared" si="64"/>
        <v>10</v>
      </c>
      <c r="T70" s="1">
        <f t="shared" si="64"/>
        <v>10</v>
      </c>
    </row>
    <row r="71" spans="3:20" x14ac:dyDescent="0.35">
      <c r="C71" s="1" t="s">
        <v>16</v>
      </c>
      <c r="G71" s="29" t="s">
        <v>25</v>
      </c>
      <c r="I71" s="3">
        <f>SUM(I72:I76)</f>
        <v>46.364000000000004</v>
      </c>
      <c r="J71" s="3">
        <f>SUM(J72:J76)</f>
        <v>51.655999999999999</v>
      </c>
      <c r="K71" s="3">
        <f t="shared" ref="K71:T71" si="65">SUM(K72:K76)</f>
        <v>56.343200000000003</v>
      </c>
      <c r="L71" s="3">
        <f t="shared" si="65"/>
        <v>59.820799999999998</v>
      </c>
      <c r="M71" s="3">
        <f t="shared" si="65"/>
        <v>61.559600000000003</v>
      </c>
      <c r="N71" s="3">
        <f t="shared" si="65"/>
        <v>63.298400000000001</v>
      </c>
      <c r="O71" s="3">
        <f t="shared" si="65"/>
        <v>63.298400000000001</v>
      </c>
      <c r="P71" s="3">
        <f t="shared" si="65"/>
        <v>63.298400000000001</v>
      </c>
      <c r="Q71" s="3">
        <f t="shared" si="65"/>
        <v>63.298400000000001</v>
      </c>
      <c r="R71" s="3">
        <f t="shared" si="65"/>
        <v>63.298400000000001</v>
      </c>
      <c r="S71" s="3">
        <f t="shared" si="65"/>
        <v>63.298400000000001</v>
      </c>
      <c r="T71" s="3">
        <f t="shared" si="65"/>
        <v>63.298400000000001</v>
      </c>
    </row>
    <row r="72" spans="3:20" hidden="1" outlineLevel="1" x14ac:dyDescent="0.35">
      <c r="D72" s="1" t="s">
        <v>17</v>
      </c>
      <c r="G72" s="29" t="s">
        <v>25</v>
      </c>
      <c r="I72" s="9">
        <v>5</v>
      </c>
      <c r="J72" s="3">
        <f>I72</f>
        <v>5</v>
      </c>
      <c r="K72" s="3">
        <f t="shared" ref="K72:T72" si="66">J72</f>
        <v>5</v>
      </c>
      <c r="L72" s="3">
        <f t="shared" si="66"/>
        <v>5</v>
      </c>
      <c r="M72" s="3">
        <f t="shared" si="66"/>
        <v>5</v>
      </c>
      <c r="N72" s="3">
        <f t="shared" si="66"/>
        <v>5</v>
      </c>
      <c r="O72" s="3">
        <f t="shared" si="66"/>
        <v>5</v>
      </c>
      <c r="P72" s="3">
        <f t="shared" si="66"/>
        <v>5</v>
      </c>
      <c r="Q72" s="3">
        <f t="shared" si="66"/>
        <v>5</v>
      </c>
      <c r="R72" s="3">
        <f t="shared" si="66"/>
        <v>5</v>
      </c>
      <c r="S72" s="3">
        <f t="shared" si="66"/>
        <v>5</v>
      </c>
      <c r="T72" s="3">
        <f t="shared" si="66"/>
        <v>5</v>
      </c>
    </row>
    <row r="73" spans="3:20" hidden="1" outlineLevel="1" x14ac:dyDescent="0.35">
      <c r="D73" s="1" t="s">
        <v>18</v>
      </c>
      <c r="G73" s="29" t="s">
        <v>25</v>
      </c>
      <c r="I73" s="9">
        <v>7</v>
      </c>
      <c r="J73" s="3">
        <f t="shared" ref="J73:T75" si="67">I73</f>
        <v>7</v>
      </c>
      <c r="K73" s="3">
        <f t="shared" si="67"/>
        <v>7</v>
      </c>
      <c r="L73" s="3">
        <f t="shared" si="67"/>
        <v>7</v>
      </c>
      <c r="M73" s="3">
        <f t="shared" si="67"/>
        <v>7</v>
      </c>
      <c r="N73" s="3">
        <f t="shared" si="67"/>
        <v>7</v>
      </c>
      <c r="O73" s="3">
        <f t="shared" si="67"/>
        <v>7</v>
      </c>
      <c r="P73" s="3">
        <f t="shared" si="67"/>
        <v>7</v>
      </c>
      <c r="Q73" s="3">
        <f t="shared" si="67"/>
        <v>7</v>
      </c>
      <c r="R73" s="3">
        <f t="shared" si="67"/>
        <v>7</v>
      </c>
      <c r="S73" s="3">
        <f t="shared" si="67"/>
        <v>7</v>
      </c>
      <c r="T73" s="3">
        <f t="shared" si="67"/>
        <v>7</v>
      </c>
    </row>
    <row r="74" spans="3:20" hidden="1" outlineLevel="1" x14ac:dyDescent="0.35">
      <c r="D74" s="1" t="s">
        <v>19</v>
      </c>
      <c r="G74" s="29" t="s">
        <v>25</v>
      </c>
      <c r="I74" s="9">
        <v>10</v>
      </c>
      <c r="J74" s="3">
        <f t="shared" si="67"/>
        <v>10</v>
      </c>
      <c r="K74" s="3">
        <f t="shared" si="67"/>
        <v>10</v>
      </c>
      <c r="L74" s="3">
        <f t="shared" si="67"/>
        <v>10</v>
      </c>
      <c r="M74" s="3">
        <f t="shared" si="67"/>
        <v>10</v>
      </c>
      <c r="N74" s="3">
        <f t="shared" si="67"/>
        <v>10</v>
      </c>
      <c r="O74" s="3">
        <f t="shared" si="67"/>
        <v>10</v>
      </c>
      <c r="P74" s="3">
        <f t="shared" si="67"/>
        <v>10</v>
      </c>
      <c r="Q74" s="3">
        <f t="shared" si="67"/>
        <v>10</v>
      </c>
      <c r="R74" s="3">
        <f t="shared" si="67"/>
        <v>10</v>
      </c>
      <c r="S74" s="3">
        <f t="shared" si="67"/>
        <v>10</v>
      </c>
      <c r="T74" s="3">
        <f t="shared" si="67"/>
        <v>10</v>
      </c>
    </row>
    <row r="75" spans="3:20" hidden="1" outlineLevel="1" x14ac:dyDescent="0.35">
      <c r="D75" s="1" t="s">
        <v>101</v>
      </c>
      <c r="G75" s="29" t="s">
        <v>25</v>
      </c>
      <c r="I75" s="9">
        <v>10</v>
      </c>
      <c r="J75" s="3">
        <f t="shared" si="67"/>
        <v>10</v>
      </c>
      <c r="K75" s="3">
        <f t="shared" si="67"/>
        <v>10</v>
      </c>
      <c r="L75" s="3">
        <f t="shared" si="67"/>
        <v>10</v>
      </c>
      <c r="M75" s="3">
        <f t="shared" si="67"/>
        <v>10</v>
      </c>
      <c r="N75" s="3">
        <f t="shared" si="67"/>
        <v>10</v>
      </c>
      <c r="O75" s="3">
        <f t="shared" si="67"/>
        <v>10</v>
      </c>
      <c r="P75" s="3">
        <f t="shared" si="67"/>
        <v>10</v>
      </c>
      <c r="Q75" s="3">
        <f t="shared" si="67"/>
        <v>10</v>
      </c>
      <c r="R75" s="3">
        <f t="shared" si="67"/>
        <v>10</v>
      </c>
      <c r="S75" s="3">
        <f t="shared" si="67"/>
        <v>10</v>
      </c>
      <c r="T75" s="3">
        <f t="shared" si="67"/>
        <v>10</v>
      </c>
    </row>
    <row r="76" spans="3:20" hidden="1" outlineLevel="1" x14ac:dyDescent="0.35">
      <c r="D76" s="1" t="s">
        <v>20</v>
      </c>
      <c r="G76" s="29" t="s">
        <v>25</v>
      </c>
      <c r="I76" s="3">
        <f>I77*I78</f>
        <v>14.364000000000001</v>
      </c>
      <c r="J76" s="3">
        <f>J77*J78</f>
        <v>19.655999999999999</v>
      </c>
      <c r="K76" s="3">
        <f t="shared" ref="K76:T76" si="68">K77*K78</f>
        <v>24.343200000000003</v>
      </c>
      <c r="L76" s="3">
        <f t="shared" si="68"/>
        <v>27.820799999999998</v>
      </c>
      <c r="M76" s="3">
        <f t="shared" si="68"/>
        <v>29.5596</v>
      </c>
      <c r="N76" s="3">
        <f t="shared" si="68"/>
        <v>31.298400000000001</v>
      </c>
      <c r="O76" s="3">
        <f t="shared" si="68"/>
        <v>31.298400000000001</v>
      </c>
      <c r="P76" s="3">
        <f t="shared" si="68"/>
        <v>31.298400000000001</v>
      </c>
      <c r="Q76" s="3">
        <f t="shared" si="68"/>
        <v>31.298400000000001</v>
      </c>
      <c r="R76" s="3">
        <f t="shared" si="68"/>
        <v>31.298400000000001</v>
      </c>
      <c r="S76" s="3">
        <f t="shared" si="68"/>
        <v>31.298400000000001</v>
      </c>
      <c r="T76" s="3">
        <f t="shared" si="68"/>
        <v>31.298400000000001</v>
      </c>
    </row>
    <row r="77" spans="3:20" hidden="1" outlineLevel="1" x14ac:dyDescent="0.35">
      <c r="E77" s="1" t="s">
        <v>21</v>
      </c>
      <c r="G77" s="29" t="s">
        <v>9</v>
      </c>
      <c r="I77" s="12">
        <v>0.02</v>
      </c>
      <c r="J77" s="5">
        <f>I77</f>
        <v>0.02</v>
      </c>
      <c r="K77" s="5">
        <f t="shared" ref="K77:T77" si="69">J77</f>
        <v>0.02</v>
      </c>
      <c r="L77" s="5">
        <f t="shared" si="69"/>
        <v>0.02</v>
      </c>
      <c r="M77" s="5">
        <f t="shared" si="69"/>
        <v>0.02</v>
      </c>
      <c r="N77" s="5">
        <f t="shared" si="69"/>
        <v>0.02</v>
      </c>
      <c r="O77" s="5">
        <f t="shared" si="69"/>
        <v>0.02</v>
      </c>
      <c r="P77" s="5">
        <f t="shared" si="69"/>
        <v>0.02</v>
      </c>
      <c r="Q77" s="5">
        <f t="shared" si="69"/>
        <v>0.02</v>
      </c>
      <c r="R77" s="5">
        <f t="shared" si="69"/>
        <v>0.02</v>
      </c>
      <c r="S77" s="5">
        <f t="shared" si="69"/>
        <v>0.02</v>
      </c>
      <c r="T77" s="5">
        <f t="shared" si="69"/>
        <v>0.02</v>
      </c>
    </row>
    <row r="78" spans="3:20" hidden="1" outlineLevel="1" x14ac:dyDescent="0.35">
      <c r="E78" s="1" t="s">
        <v>0</v>
      </c>
      <c r="G78" s="29" t="s">
        <v>25</v>
      </c>
      <c r="I78" s="3">
        <f t="shared" ref="I78:T78" si="70">I8</f>
        <v>718.2</v>
      </c>
      <c r="J78" s="3">
        <f t="shared" si="70"/>
        <v>982.8</v>
      </c>
      <c r="K78" s="3">
        <f t="shared" si="70"/>
        <v>1217.1600000000001</v>
      </c>
      <c r="L78" s="3">
        <f t="shared" si="70"/>
        <v>1391.04</v>
      </c>
      <c r="M78" s="3">
        <f t="shared" si="70"/>
        <v>1477.98</v>
      </c>
      <c r="N78" s="3">
        <f t="shared" si="70"/>
        <v>1564.92</v>
      </c>
      <c r="O78" s="3">
        <f t="shared" si="70"/>
        <v>1564.92</v>
      </c>
      <c r="P78" s="3">
        <f t="shared" si="70"/>
        <v>1564.92</v>
      </c>
      <c r="Q78" s="3">
        <f t="shared" si="70"/>
        <v>1564.92</v>
      </c>
      <c r="R78" s="3">
        <f t="shared" si="70"/>
        <v>1564.92</v>
      </c>
      <c r="S78" s="3">
        <f t="shared" si="70"/>
        <v>1564.92</v>
      </c>
      <c r="T78" s="3">
        <f t="shared" si="70"/>
        <v>1564.92</v>
      </c>
    </row>
    <row r="79" spans="3:20" collapsed="1" x14ac:dyDescent="0.35"/>
    <row r="81" spans="2:20" x14ac:dyDescent="0.35">
      <c r="B81" s="2" t="s">
        <v>98</v>
      </c>
      <c r="G81" s="29" t="s">
        <v>25</v>
      </c>
      <c r="I81" s="7">
        <f>I82-I83</f>
        <v>-76.353200000000015</v>
      </c>
      <c r="J81" s="7">
        <f t="shared" ref="J81:T81" si="71">J82-J83</f>
        <v>176.24719999999991</v>
      </c>
      <c r="K81" s="7">
        <f t="shared" si="71"/>
        <v>386.11784000000011</v>
      </c>
      <c r="L81" s="7">
        <f t="shared" si="71"/>
        <v>543.12896000000001</v>
      </c>
      <c r="M81" s="7">
        <f t="shared" si="71"/>
        <v>621.63452000000007</v>
      </c>
      <c r="N81" s="7">
        <f t="shared" si="71"/>
        <v>700.14008000000013</v>
      </c>
      <c r="O81" s="7">
        <f t="shared" si="71"/>
        <v>700.14008000000013</v>
      </c>
      <c r="P81" s="7">
        <f t="shared" si="71"/>
        <v>700.14008000000013</v>
      </c>
      <c r="Q81" s="7">
        <f t="shared" si="71"/>
        <v>700.14008000000013</v>
      </c>
      <c r="R81" s="7">
        <f t="shared" si="71"/>
        <v>700.14008000000013</v>
      </c>
      <c r="S81" s="7">
        <f t="shared" si="71"/>
        <v>700.14008000000013</v>
      </c>
      <c r="T81" s="7">
        <f t="shared" si="71"/>
        <v>700.14008000000013</v>
      </c>
    </row>
    <row r="82" spans="2:20" x14ac:dyDescent="0.35">
      <c r="B82" s="2"/>
      <c r="C82" s="34" t="s">
        <v>80</v>
      </c>
      <c r="G82" s="29" t="s">
        <v>25</v>
      </c>
      <c r="I82" s="35">
        <f>I46</f>
        <v>646.60680000000002</v>
      </c>
      <c r="J82" s="35">
        <f t="shared" ref="J82:T82" si="72">J46</f>
        <v>889.20719999999994</v>
      </c>
      <c r="K82" s="35">
        <f t="shared" si="72"/>
        <v>1099.0778400000002</v>
      </c>
      <c r="L82" s="35">
        <f t="shared" si="72"/>
        <v>1256.08896</v>
      </c>
      <c r="M82" s="35">
        <f t="shared" si="72"/>
        <v>1334.5945200000001</v>
      </c>
      <c r="N82" s="35">
        <f t="shared" si="72"/>
        <v>1413.1000800000002</v>
      </c>
      <c r="O82" s="35">
        <f t="shared" si="72"/>
        <v>1413.1000800000002</v>
      </c>
      <c r="P82" s="35">
        <f t="shared" si="72"/>
        <v>1413.1000800000002</v>
      </c>
      <c r="Q82" s="35">
        <f t="shared" si="72"/>
        <v>1413.1000800000002</v>
      </c>
      <c r="R82" s="35">
        <f t="shared" si="72"/>
        <v>1413.1000800000002</v>
      </c>
      <c r="S82" s="35">
        <f t="shared" si="72"/>
        <v>1413.1000800000002</v>
      </c>
      <c r="T82" s="35">
        <f t="shared" si="72"/>
        <v>1413.1000800000002</v>
      </c>
    </row>
    <row r="83" spans="2:20" x14ac:dyDescent="0.35">
      <c r="B83" s="2"/>
      <c r="C83" s="34" t="s">
        <v>82</v>
      </c>
      <c r="G83" s="29" t="s">
        <v>25</v>
      </c>
      <c r="I83" s="35">
        <f>I60</f>
        <v>722.96</v>
      </c>
      <c r="J83" s="35">
        <f t="shared" ref="J83:T83" si="73">J60</f>
        <v>712.96</v>
      </c>
      <c r="K83" s="35">
        <f t="shared" si="73"/>
        <v>712.96</v>
      </c>
      <c r="L83" s="35">
        <f t="shared" si="73"/>
        <v>712.96</v>
      </c>
      <c r="M83" s="35">
        <f t="shared" si="73"/>
        <v>712.96</v>
      </c>
      <c r="N83" s="35">
        <f t="shared" si="73"/>
        <v>712.96</v>
      </c>
      <c r="O83" s="35">
        <f t="shared" si="73"/>
        <v>712.96</v>
      </c>
      <c r="P83" s="35">
        <f t="shared" si="73"/>
        <v>712.96</v>
      </c>
      <c r="Q83" s="35">
        <f t="shared" si="73"/>
        <v>712.96</v>
      </c>
      <c r="R83" s="35">
        <f t="shared" si="73"/>
        <v>712.96</v>
      </c>
      <c r="S83" s="35">
        <f t="shared" si="73"/>
        <v>712.96</v>
      </c>
      <c r="T83" s="35">
        <f t="shared" si="73"/>
        <v>712.96</v>
      </c>
    </row>
    <row r="85" spans="2:20" x14ac:dyDescent="0.35">
      <c r="B85" s="2" t="s">
        <v>109</v>
      </c>
      <c r="G85" s="29" t="s">
        <v>25</v>
      </c>
      <c r="I85" s="7">
        <f>I92+I95+I98+I86</f>
        <v>4572.7</v>
      </c>
    </row>
    <row r="86" spans="2:20" x14ac:dyDescent="0.35">
      <c r="B86" s="2"/>
      <c r="C86" s="1" t="s">
        <v>118</v>
      </c>
      <c r="G86" s="29" t="s">
        <v>25</v>
      </c>
      <c r="I86" s="31">
        <f>(I87+I90)*I91/1000</f>
        <v>320.7</v>
      </c>
    </row>
    <row r="87" spans="2:20" hidden="1" outlineLevel="1" x14ac:dyDescent="0.35">
      <c r="B87" s="2"/>
      <c r="D87" s="32" t="s">
        <v>169</v>
      </c>
      <c r="G87" s="29" t="s">
        <v>8</v>
      </c>
      <c r="I87" s="3">
        <f>I88/I89</f>
        <v>469</v>
      </c>
    </row>
    <row r="88" spans="2:20" hidden="1" outlineLevel="1" x14ac:dyDescent="0.35">
      <c r="B88" s="2"/>
      <c r="E88" s="29" t="s">
        <v>85</v>
      </c>
      <c r="G88" s="29" t="s">
        <v>8</v>
      </c>
      <c r="I88" s="3">
        <f>I$50</f>
        <v>1876</v>
      </c>
    </row>
    <row r="89" spans="2:20" hidden="1" outlineLevel="1" x14ac:dyDescent="0.35">
      <c r="B89" s="2"/>
      <c r="D89" s="29"/>
      <c r="E89" s="1" t="s">
        <v>119</v>
      </c>
      <c r="G89" s="29" t="s">
        <v>8</v>
      </c>
      <c r="I89" s="9">
        <v>4</v>
      </c>
    </row>
    <row r="90" spans="2:20" hidden="1" outlineLevel="1" x14ac:dyDescent="0.35">
      <c r="B90" s="2"/>
      <c r="D90" s="1" t="s">
        <v>108</v>
      </c>
      <c r="G90" s="29" t="s">
        <v>8</v>
      </c>
      <c r="I90" s="9">
        <v>600</v>
      </c>
    </row>
    <row r="91" spans="2:20" hidden="1" outlineLevel="1" x14ac:dyDescent="0.35">
      <c r="B91" s="2"/>
      <c r="D91" s="1" t="s">
        <v>170</v>
      </c>
      <c r="G91" s="32" t="s">
        <v>142</v>
      </c>
      <c r="I91" s="9">
        <v>300</v>
      </c>
    </row>
    <row r="92" spans="2:20" collapsed="1" x14ac:dyDescent="0.35">
      <c r="C92" s="1" t="s">
        <v>102</v>
      </c>
      <c r="G92" s="29" t="s">
        <v>25</v>
      </c>
      <c r="I92" s="31">
        <f>I93*I94/1000</f>
        <v>3752</v>
      </c>
    </row>
    <row r="93" spans="2:20" hidden="1" outlineLevel="1" x14ac:dyDescent="0.35">
      <c r="D93" s="29" t="s">
        <v>85</v>
      </c>
      <c r="G93" s="29" t="s">
        <v>8</v>
      </c>
      <c r="I93" s="3">
        <f>I$50</f>
        <v>1876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hidden="1" outlineLevel="1" x14ac:dyDescent="0.35">
      <c r="D94" s="1" t="s">
        <v>104</v>
      </c>
      <c r="G94" s="29" t="s">
        <v>100</v>
      </c>
      <c r="I94" s="9">
        <v>2000</v>
      </c>
    </row>
    <row r="95" spans="2:20" collapsed="1" x14ac:dyDescent="0.35">
      <c r="C95" s="1" t="s">
        <v>103</v>
      </c>
      <c r="G95" s="29" t="s">
        <v>25</v>
      </c>
      <c r="I95" s="31">
        <f>I96*I97/1000</f>
        <v>140</v>
      </c>
    </row>
    <row r="96" spans="2:20" hidden="1" outlineLevel="1" x14ac:dyDescent="0.35">
      <c r="D96" s="1" t="s">
        <v>61</v>
      </c>
      <c r="G96" s="29" t="s">
        <v>72</v>
      </c>
      <c r="I96" s="3">
        <f>I$10</f>
        <v>70</v>
      </c>
    </row>
    <row r="97" spans="2:20" hidden="1" outlineLevel="1" x14ac:dyDescent="0.35">
      <c r="D97" s="1" t="s">
        <v>105</v>
      </c>
      <c r="G97" s="29" t="s">
        <v>106</v>
      </c>
      <c r="I97" s="9">
        <v>2000</v>
      </c>
    </row>
    <row r="98" spans="2:20" collapsed="1" x14ac:dyDescent="0.35">
      <c r="C98" s="1" t="s">
        <v>107</v>
      </c>
      <c r="G98" s="29" t="s">
        <v>25</v>
      </c>
      <c r="I98" s="31">
        <f>I99*I100/1000</f>
        <v>360</v>
      </c>
    </row>
    <row r="99" spans="2:20" hidden="1" outlineLevel="1" x14ac:dyDescent="0.35">
      <c r="D99" s="1" t="s">
        <v>108</v>
      </c>
      <c r="G99" s="29" t="s">
        <v>8</v>
      </c>
      <c r="I99" s="3">
        <f>I90</f>
        <v>600</v>
      </c>
    </row>
    <row r="100" spans="2:20" hidden="1" outlineLevel="1" x14ac:dyDescent="0.35">
      <c r="D100" s="1" t="s">
        <v>104</v>
      </c>
      <c r="G100" s="29" t="s">
        <v>100</v>
      </c>
      <c r="I100" s="3">
        <f>I90</f>
        <v>600</v>
      </c>
    </row>
    <row r="101" spans="2:20" collapsed="1" x14ac:dyDescent="0.35"/>
    <row r="102" spans="2:20" x14ac:dyDescent="0.35">
      <c r="B102" s="2" t="s">
        <v>110</v>
      </c>
      <c r="G102" s="29" t="s">
        <v>25</v>
      </c>
      <c r="I102" s="7">
        <f>I103*I104</f>
        <v>0</v>
      </c>
      <c r="J102" s="7">
        <f>J103*J104</f>
        <v>45.726999999999997</v>
      </c>
      <c r="K102" s="7">
        <f t="shared" ref="K102:T102" si="74">K103*K104</f>
        <v>45.726999999999997</v>
      </c>
      <c r="L102" s="7">
        <f t="shared" si="74"/>
        <v>45.726999999999997</v>
      </c>
      <c r="M102" s="7">
        <f t="shared" si="74"/>
        <v>45.726999999999997</v>
      </c>
      <c r="N102" s="7">
        <f t="shared" si="74"/>
        <v>45.726999999999997</v>
      </c>
      <c r="O102" s="7">
        <f t="shared" si="74"/>
        <v>45.726999999999997</v>
      </c>
      <c r="P102" s="7">
        <f t="shared" si="74"/>
        <v>45.726999999999997</v>
      </c>
      <c r="Q102" s="7">
        <f t="shared" si="74"/>
        <v>45.726999999999997</v>
      </c>
      <c r="R102" s="7">
        <f t="shared" si="74"/>
        <v>45.726999999999997</v>
      </c>
      <c r="S102" s="7">
        <f t="shared" si="74"/>
        <v>45.726999999999997</v>
      </c>
      <c r="T102" s="7">
        <f t="shared" si="74"/>
        <v>45.726999999999997</v>
      </c>
    </row>
    <row r="103" spans="2:20" x14ac:dyDescent="0.35">
      <c r="C103" s="29" t="s">
        <v>109</v>
      </c>
      <c r="G103" s="29" t="s">
        <v>25</v>
      </c>
      <c r="I103" s="3"/>
      <c r="J103" s="3">
        <f>$I$85</f>
        <v>4572.7</v>
      </c>
      <c r="K103" s="3">
        <f t="shared" ref="K103:T103" si="75">$I$85</f>
        <v>4572.7</v>
      </c>
      <c r="L103" s="3">
        <f t="shared" si="75"/>
        <v>4572.7</v>
      </c>
      <c r="M103" s="3">
        <f t="shared" si="75"/>
        <v>4572.7</v>
      </c>
      <c r="N103" s="3">
        <f t="shared" si="75"/>
        <v>4572.7</v>
      </c>
      <c r="O103" s="3">
        <f t="shared" si="75"/>
        <v>4572.7</v>
      </c>
      <c r="P103" s="3">
        <f t="shared" si="75"/>
        <v>4572.7</v>
      </c>
      <c r="Q103" s="3">
        <f t="shared" si="75"/>
        <v>4572.7</v>
      </c>
      <c r="R103" s="3">
        <f t="shared" si="75"/>
        <v>4572.7</v>
      </c>
      <c r="S103" s="3">
        <f t="shared" si="75"/>
        <v>4572.7</v>
      </c>
      <c r="T103" s="3">
        <f t="shared" si="75"/>
        <v>4572.7</v>
      </c>
    </row>
    <row r="104" spans="2:20" x14ac:dyDescent="0.35">
      <c r="C104" s="1" t="s">
        <v>111</v>
      </c>
      <c r="G104" s="29" t="s">
        <v>25</v>
      </c>
      <c r="I104" s="12"/>
      <c r="J104" s="12">
        <v>0.01</v>
      </c>
      <c r="K104" s="5">
        <f t="shared" ref="K104:T104" si="76">J104</f>
        <v>0.01</v>
      </c>
      <c r="L104" s="5">
        <f t="shared" si="76"/>
        <v>0.01</v>
      </c>
      <c r="M104" s="5">
        <f t="shared" si="76"/>
        <v>0.01</v>
      </c>
      <c r="N104" s="5">
        <f t="shared" si="76"/>
        <v>0.01</v>
      </c>
      <c r="O104" s="5">
        <f t="shared" si="76"/>
        <v>0.01</v>
      </c>
      <c r="P104" s="5">
        <f t="shared" si="76"/>
        <v>0.01</v>
      </c>
      <c r="Q104" s="5">
        <f t="shared" si="76"/>
        <v>0.01</v>
      </c>
      <c r="R104" s="5">
        <f t="shared" si="76"/>
        <v>0.01</v>
      </c>
      <c r="S104" s="5">
        <f t="shared" si="76"/>
        <v>0.01</v>
      </c>
      <c r="T104" s="5">
        <f t="shared" si="76"/>
        <v>0.01</v>
      </c>
    </row>
    <row r="106" spans="2:20" x14ac:dyDescent="0.35">
      <c r="B106" s="2" t="s">
        <v>113</v>
      </c>
      <c r="G106" s="29" t="s">
        <v>25</v>
      </c>
      <c r="I106" s="2">
        <f>IF(MOD(I6,I109+1)=0,I107*I108/1000,0)</f>
        <v>0</v>
      </c>
      <c r="J106" s="2">
        <f t="shared" ref="J106:T106" si="77">IF(MOD(J6,J109+1)=0,J107*J108/1000,0)</f>
        <v>0</v>
      </c>
      <c r="K106" s="2">
        <f t="shared" si="77"/>
        <v>0</v>
      </c>
      <c r="L106" s="2">
        <f t="shared" si="77"/>
        <v>0</v>
      </c>
      <c r="M106" s="2">
        <f t="shared" si="77"/>
        <v>0</v>
      </c>
      <c r="N106" s="2">
        <f t="shared" si="77"/>
        <v>0</v>
      </c>
      <c r="O106" s="2">
        <f t="shared" si="77"/>
        <v>70</v>
      </c>
      <c r="P106" s="2">
        <f t="shared" si="77"/>
        <v>0</v>
      </c>
      <c r="Q106" s="2">
        <f t="shared" si="77"/>
        <v>0</v>
      </c>
      <c r="R106" s="2">
        <f t="shared" si="77"/>
        <v>0</v>
      </c>
      <c r="S106" s="2">
        <f t="shared" si="77"/>
        <v>0</v>
      </c>
      <c r="T106" s="2">
        <f t="shared" si="77"/>
        <v>0</v>
      </c>
    </row>
    <row r="107" spans="2:20" hidden="1" outlineLevel="1" x14ac:dyDescent="0.35">
      <c r="C107" s="1" t="s">
        <v>61</v>
      </c>
      <c r="G107" s="29" t="s">
        <v>72</v>
      </c>
      <c r="I107" s="3">
        <f>I$10</f>
        <v>70</v>
      </c>
      <c r="J107" s="3">
        <f>J$10</f>
        <v>70</v>
      </c>
      <c r="K107" s="3">
        <f t="shared" ref="K107:T107" si="78">K$10</f>
        <v>70</v>
      </c>
      <c r="L107" s="3">
        <f t="shared" si="78"/>
        <v>70</v>
      </c>
      <c r="M107" s="3">
        <f t="shared" si="78"/>
        <v>70</v>
      </c>
      <c r="N107" s="3">
        <f t="shared" si="78"/>
        <v>70</v>
      </c>
      <c r="O107" s="3">
        <f t="shared" si="78"/>
        <v>70</v>
      </c>
      <c r="P107" s="3">
        <f t="shared" si="78"/>
        <v>70</v>
      </c>
      <c r="Q107" s="3">
        <f t="shared" si="78"/>
        <v>70</v>
      </c>
      <c r="R107" s="3">
        <f t="shared" si="78"/>
        <v>70</v>
      </c>
      <c r="S107" s="3">
        <f t="shared" si="78"/>
        <v>70</v>
      </c>
      <c r="T107" s="3">
        <f t="shared" si="78"/>
        <v>70</v>
      </c>
    </row>
    <row r="108" spans="2:20" hidden="1" outlineLevel="1" x14ac:dyDescent="0.35">
      <c r="C108" s="1" t="s">
        <v>105</v>
      </c>
      <c r="G108" s="29" t="s">
        <v>106</v>
      </c>
      <c r="I108" s="9">
        <v>1000</v>
      </c>
      <c r="J108" s="3">
        <f>I108</f>
        <v>1000</v>
      </c>
      <c r="K108" s="3">
        <f t="shared" ref="K108:T108" si="79">J108</f>
        <v>1000</v>
      </c>
      <c r="L108" s="3">
        <f t="shared" si="79"/>
        <v>1000</v>
      </c>
      <c r="M108" s="3">
        <f t="shared" si="79"/>
        <v>1000</v>
      </c>
      <c r="N108" s="3">
        <f t="shared" si="79"/>
        <v>1000</v>
      </c>
      <c r="O108" s="3">
        <f t="shared" si="79"/>
        <v>1000</v>
      </c>
      <c r="P108" s="3">
        <f t="shared" si="79"/>
        <v>1000</v>
      </c>
      <c r="Q108" s="3">
        <f t="shared" si="79"/>
        <v>1000</v>
      </c>
      <c r="R108" s="3">
        <f t="shared" si="79"/>
        <v>1000</v>
      </c>
      <c r="S108" s="3">
        <f t="shared" si="79"/>
        <v>1000</v>
      </c>
      <c r="T108" s="3">
        <f t="shared" si="79"/>
        <v>1000</v>
      </c>
    </row>
    <row r="109" spans="2:20" hidden="1" outlineLevel="1" x14ac:dyDescent="0.35">
      <c r="C109" s="1" t="s">
        <v>114</v>
      </c>
      <c r="G109" s="29" t="s">
        <v>117</v>
      </c>
      <c r="I109" s="8">
        <v>6</v>
      </c>
      <c r="J109" s="1">
        <f>I109</f>
        <v>6</v>
      </c>
      <c r="K109" s="1">
        <f t="shared" ref="K109:T109" si="80">J109</f>
        <v>6</v>
      </c>
      <c r="L109" s="1">
        <f t="shared" si="80"/>
        <v>6</v>
      </c>
      <c r="M109" s="1">
        <f t="shared" si="80"/>
        <v>6</v>
      </c>
      <c r="N109" s="1">
        <f t="shared" si="80"/>
        <v>6</v>
      </c>
      <c r="O109" s="1">
        <f t="shared" si="80"/>
        <v>6</v>
      </c>
      <c r="P109" s="1">
        <f t="shared" si="80"/>
        <v>6</v>
      </c>
      <c r="Q109" s="1">
        <f t="shared" si="80"/>
        <v>6</v>
      </c>
      <c r="R109" s="1">
        <f t="shared" si="80"/>
        <v>6</v>
      </c>
      <c r="S109" s="1">
        <f t="shared" si="80"/>
        <v>6</v>
      </c>
      <c r="T109" s="1">
        <f t="shared" si="80"/>
        <v>6</v>
      </c>
    </row>
    <row r="110" spans="2:20" collapsed="1" x14ac:dyDescent="0.35"/>
    <row r="111" spans="2:20" s="2" customFormat="1" x14ac:dyDescent="0.35">
      <c r="B111" s="2" t="s">
        <v>115</v>
      </c>
      <c r="G111" s="29" t="s">
        <v>25</v>
      </c>
      <c r="I111" s="7">
        <f>SUM(I112:I114)</f>
        <v>4572.7</v>
      </c>
      <c r="J111" s="7">
        <f t="shared" ref="J111:T111" si="81">SUM(J112:J114)</f>
        <v>45.726999999999997</v>
      </c>
      <c r="K111" s="7">
        <f t="shared" si="81"/>
        <v>45.726999999999997</v>
      </c>
      <c r="L111" s="7">
        <f t="shared" si="81"/>
        <v>45.726999999999997</v>
      </c>
      <c r="M111" s="7">
        <f t="shared" si="81"/>
        <v>45.726999999999997</v>
      </c>
      <c r="N111" s="7">
        <f t="shared" si="81"/>
        <v>45.726999999999997</v>
      </c>
      <c r="O111" s="7">
        <f t="shared" si="81"/>
        <v>115.727</v>
      </c>
      <c r="P111" s="7">
        <f t="shared" si="81"/>
        <v>45.726999999999997</v>
      </c>
      <c r="Q111" s="7">
        <f t="shared" si="81"/>
        <v>45.726999999999997</v>
      </c>
      <c r="R111" s="7">
        <f t="shared" si="81"/>
        <v>45.726999999999997</v>
      </c>
      <c r="S111" s="7">
        <f t="shared" si="81"/>
        <v>45.726999999999997</v>
      </c>
      <c r="T111" s="7">
        <f t="shared" si="81"/>
        <v>45.726999999999997</v>
      </c>
    </row>
    <row r="112" spans="2:20" hidden="1" outlineLevel="1" x14ac:dyDescent="0.35">
      <c r="C112" s="29" t="s">
        <v>109</v>
      </c>
      <c r="G112" s="29" t="s">
        <v>25</v>
      </c>
      <c r="I112" s="3">
        <f t="shared" ref="I112:T112" si="82">I85</f>
        <v>4572.7</v>
      </c>
      <c r="J112" s="3">
        <f t="shared" si="82"/>
        <v>0</v>
      </c>
      <c r="K112" s="3">
        <f t="shared" si="82"/>
        <v>0</v>
      </c>
      <c r="L112" s="3">
        <f t="shared" si="82"/>
        <v>0</v>
      </c>
      <c r="M112" s="3">
        <f t="shared" si="82"/>
        <v>0</v>
      </c>
      <c r="N112" s="3">
        <f t="shared" si="82"/>
        <v>0</v>
      </c>
      <c r="O112" s="3">
        <f t="shared" si="82"/>
        <v>0</v>
      </c>
      <c r="P112" s="3">
        <f t="shared" si="82"/>
        <v>0</v>
      </c>
      <c r="Q112" s="3">
        <f t="shared" si="82"/>
        <v>0</v>
      </c>
      <c r="R112" s="3">
        <f t="shared" si="82"/>
        <v>0</v>
      </c>
      <c r="S112" s="3">
        <f t="shared" si="82"/>
        <v>0</v>
      </c>
      <c r="T112" s="3">
        <f t="shared" si="82"/>
        <v>0</v>
      </c>
    </row>
    <row r="113" spans="2:20" hidden="1" outlineLevel="1" x14ac:dyDescent="0.35">
      <c r="C113" s="29" t="s">
        <v>110</v>
      </c>
      <c r="G113" s="29" t="s">
        <v>25</v>
      </c>
      <c r="I113" s="3">
        <f t="shared" ref="I113:T113" si="83">I102</f>
        <v>0</v>
      </c>
      <c r="J113" s="3">
        <f t="shared" si="83"/>
        <v>45.726999999999997</v>
      </c>
      <c r="K113" s="3">
        <f t="shared" si="83"/>
        <v>45.726999999999997</v>
      </c>
      <c r="L113" s="3">
        <f t="shared" si="83"/>
        <v>45.726999999999997</v>
      </c>
      <c r="M113" s="3">
        <f t="shared" si="83"/>
        <v>45.726999999999997</v>
      </c>
      <c r="N113" s="3">
        <f t="shared" si="83"/>
        <v>45.726999999999997</v>
      </c>
      <c r="O113" s="3">
        <f t="shared" si="83"/>
        <v>45.726999999999997</v>
      </c>
      <c r="P113" s="3">
        <f t="shared" si="83"/>
        <v>45.726999999999997</v>
      </c>
      <c r="Q113" s="3">
        <f t="shared" si="83"/>
        <v>45.726999999999997</v>
      </c>
      <c r="R113" s="3">
        <f t="shared" si="83"/>
        <v>45.726999999999997</v>
      </c>
      <c r="S113" s="3">
        <f t="shared" si="83"/>
        <v>45.726999999999997</v>
      </c>
      <c r="T113" s="3">
        <f t="shared" si="83"/>
        <v>45.726999999999997</v>
      </c>
    </row>
    <row r="114" spans="2:20" hidden="1" outlineLevel="1" x14ac:dyDescent="0.35">
      <c r="C114" s="29" t="s">
        <v>113</v>
      </c>
      <c r="G114" s="29" t="s">
        <v>25</v>
      </c>
      <c r="I114" s="1">
        <f>I106</f>
        <v>0</v>
      </c>
      <c r="J114" s="1">
        <f t="shared" ref="J114:T114" si="84">J106</f>
        <v>0</v>
      </c>
      <c r="K114" s="1">
        <f t="shared" si="84"/>
        <v>0</v>
      </c>
      <c r="L114" s="1">
        <f t="shared" si="84"/>
        <v>0</v>
      </c>
      <c r="M114" s="1">
        <f t="shared" si="84"/>
        <v>0</v>
      </c>
      <c r="N114" s="1">
        <f t="shared" si="84"/>
        <v>0</v>
      </c>
      <c r="O114" s="1">
        <f t="shared" si="84"/>
        <v>70</v>
      </c>
      <c r="P114" s="1">
        <f t="shared" si="84"/>
        <v>0</v>
      </c>
      <c r="Q114" s="1">
        <f t="shared" si="84"/>
        <v>0</v>
      </c>
      <c r="R114" s="1">
        <f t="shared" si="84"/>
        <v>0</v>
      </c>
      <c r="S114" s="1">
        <f t="shared" si="84"/>
        <v>0</v>
      </c>
      <c r="T114" s="1">
        <f t="shared" si="84"/>
        <v>0</v>
      </c>
    </row>
    <row r="115" spans="2:20" collapsed="1" x14ac:dyDescent="0.35">
      <c r="C115" s="2"/>
    </row>
    <row r="116" spans="2:20" collapsed="1" x14ac:dyDescent="0.35">
      <c r="B116" s="2" t="s">
        <v>12</v>
      </c>
      <c r="G116" s="29" t="s">
        <v>25</v>
      </c>
      <c r="I116" s="7">
        <f>I117*I118/1000</f>
        <v>3.5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2:20" hidden="1" outlineLevel="1" x14ac:dyDescent="0.35">
      <c r="B117" s="2"/>
      <c r="C117" s="1" t="s">
        <v>61</v>
      </c>
      <c r="G117" s="29" t="s">
        <v>72</v>
      </c>
      <c r="I117" s="3">
        <f>I$10</f>
        <v>70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2:20" hidden="1" outlineLevel="1" x14ac:dyDescent="0.35">
      <c r="B118" s="2"/>
      <c r="C118" s="1" t="s">
        <v>116</v>
      </c>
      <c r="G118" s="29" t="s">
        <v>106</v>
      </c>
      <c r="I118" s="9">
        <v>50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2:20" collapsed="1" x14ac:dyDescent="0.35">
      <c r="B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2:20" x14ac:dyDescent="0.35">
      <c r="B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2:20" x14ac:dyDescent="0.35">
      <c r="B121" s="2" t="s">
        <v>11</v>
      </c>
      <c r="G121" s="29" t="s">
        <v>25</v>
      </c>
      <c r="I121" s="7">
        <f>SUM(I122:I124)</f>
        <v>-4645.5532000000003</v>
      </c>
      <c r="J121" s="7">
        <f t="shared" ref="J121:T121" si="85">SUM(J122:J124)</f>
        <v>130.5201999999999</v>
      </c>
      <c r="K121" s="7">
        <f t="shared" si="85"/>
        <v>340.39084000000014</v>
      </c>
      <c r="L121" s="7">
        <f t="shared" si="85"/>
        <v>497.40196000000003</v>
      </c>
      <c r="M121" s="7">
        <f t="shared" si="85"/>
        <v>575.90752000000009</v>
      </c>
      <c r="N121" s="7">
        <f t="shared" si="85"/>
        <v>654.41308000000015</v>
      </c>
      <c r="O121" s="7">
        <f t="shared" si="85"/>
        <v>584.41308000000015</v>
      </c>
      <c r="P121" s="7">
        <f t="shared" si="85"/>
        <v>654.41308000000015</v>
      </c>
      <c r="Q121" s="7">
        <f t="shared" si="85"/>
        <v>654.41308000000015</v>
      </c>
      <c r="R121" s="7">
        <f t="shared" si="85"/>
        <v>654.41308000000015</v>
      </c>
      <c r="S121" s="7">
        <f t="shared" si="85"/>
        <v>654.41308000000015</v>
      </c>
      <c r="T121" s="7">
        <f t="shared" si="85"/>
        <v>654.41308000000015</v>
      </c>
    </row>
    <row r="122" spans="2:20" x14ac:dyDescent="0.35">
      <c r="B122" s="2"/>
      <c r="C122" s="29" t="s">
        <v>98</v>
      </c>
      <c r="G122" s="29" t="s">
        <v>25</v>
      </c>
      <c r="I122" s="31">
        <f>I81</f>
        <v>-76.353200000000015</v>
      </c>
      <c r="J122" s="31">
        <f t="shared" ref="J122:T122" si="86">J81</f>
        <v>176.24719999999991</v>
      </c>
      <c r="K122" s="31">
        <f t="shared" si="86"/>
        <v>386.11784000000011</v>
      </c>
      <c r="L122" s="31">
        <f t="shared" si="86"/>
        <v>543.12896000000001</v>
      </c>
      <c r="M122" s="31">
        <f t="shared" si="86"/>
        <v>621.63452000000007</v>
      </c>
      <c r="N122" s="31">
        <f t="shared" si="86"/>
        <v>700.14008000000013</v>
      </c>
      <c r="O122" s="31">
        <f t="shared" si="86"/>
        <v>700.14008000000013</v>
      </c>
      <c r="P122" s="31">
        <f t="shared" si="86"/>
        <v>700.14008000000013</v>
      </c>
      <c r="Q122" s="31">
        <f t="shared" si="86"/>
        <v>700.14008000000013</v>
      </c>
      <c r="R122" s="31">
        <f t="shared" si="86"/>
        <v>700.14008000000013</v>
      </c>
      <c r="S122" s="31">
        <f t="shared" si="86"/>
        <v>700.14008000000013</v>
      </c>
      <c r="T122" s="31">
        <f t="shared" si="86"/>
        <v>700.14008000000013</v>
      </c>
    </row>
    <row r="123" spans="2:20" x14ac:dyDescent="0.35">
      <c r="B123" s="2"/>
      <c r="C123" s="29" t="s">
        <v>115</v>
      </c>
      <c r="G123" s="29" t="s">
        <v>25</v>
      </c>
      <c r="I123" s="31">
        <f>-I111</f>
        <v>-4572.7</v>
      </c>
      <c r="J123" s="31">
        <f t="shared" ref="J123:T123" si="87">-J111</f>
        <v>-45.726999999999997</v>
      </c>
      <c r="K123" s="31">
        <f t="shared" si="87"/>
        <v>-45.726999999999997</v>
      </c>
      <c r="L123" s="31">
        <f t="shared" si="87"/>
        <v>-45.726999999999997</v>
      </c>
      <c r="M123" s="31">
        <f t="shared" si="87"/>
        <v>-45.726999999999997</v>
      </c>
      <c r="N123" s="31">
        <f t="shared" si="87"/>
        <v>-45.726999999999997</v>
      </c>
      <c r="O123" s="31">
        <f t="shared" si="87"/>
        <v>-115.727</v>
      </c>
      <c r="P123" s="31">
        <f t="shared" si="87"/>
        <v>-45.726999999999997</v>
      </c>
      <c r="Q123" s="31">
        <f t="shared" si="87"/>
        <v>-45.726999999999997</v>
      </c>
      <c r="R123" s="31">
        <f t="shared" si="87"/>
        <v>-45.726999999999997</v>
      </c>
      <c r="S123" s="31">
        <f t="shared" si="87"/>
        <v>-45.726999999999997</v>
      </c>
      <c r="T123" s="31">
        <f t="shared" si="87"/>
        <v>-45.726999999999997</v>
      </c>
    </row>
    <row r="124" spans="2:20" x14ac:dyDescent="0.35">
      <c r="B124" s="2"/>
      <c r="C124" s="29" t="s">
        <v>12</v>
      </c>
      <c r="G124" s="29" t="s">
        <v>25</v>
      </c>
      <c r="I124" s="31">
        <f>I116</f>
        <v>3.5</v>
      </c>
      <c r="J124" s="31">
        <f t="shared" ref="J124:T124" si="88">J116</f>
        <v>0</v>
      </c>
      <c r="K124" s="31">
        <f t="shared" si="88"/>
        <v>0</v>
      </c>
      <c r="L124" s="31">
        <f t="shared" si="88"/>
        <v>0</v>
      </c>
      <c r="M124" s="31">
        <f t="shared" si="88"/>
        <v>0</v>
      </c>
      <c r="N124" s="31">
        <f t="shared" si="88"/>
        <v>0</v>
      </c>
      <c r="O124" s="31">
        <f t="shared" si="88"/>
        <v>0</v>
      </c>
      <c r="P124" s="31">
        <f t="shared" si="88"/>
        <v>0</v>
      </c>
      <c r="Q124" s="31">
        <f t="shared" si="88"/>
        <v>0</v>
      </c>
      <c r="R124" s="31">
        <f t="shared" si="88"/>
        <v>0</v>
      </c>
      <c r="S124" s="31">
        <f t="shared" si="88"/>
        <v>0</v>
      </c>
      <c r="T124" s="31">
        <f t="shared" si="88"/>
        <v>0</v>
      </c>
    </row>
    <row r="126" spans="2:20" x14ac:dyDescent="0.35">
      <c r="B126" s="2" t="s">
        <v>122</v>
      </c>
      <c r="G126" s="29" t="s">
        <v>25</v>
      </c>
      <c r="I126" s="7">
        <f>NPV(I127,I121:T121)</f>
        <v>-234.24192508740268</v>
      </c>
    </row>
    <row r="127" spans="2:20" x14ac:dyDescent="0.35">
      <c r="B127" s="2"/>
      <c r="C127" s="1" t="s">
        <v>29</v>
      </c>
      <c r="G127" s="29" t="s">
        <v>9</v>
      </c>
      <c r="I127" s="12">
        <v>0.05</v>
      </c>
    </row>
    <row r="128" spans="2:20" x14ac:dyDescent="0.35">
      <c r="B128" s="2"/>
    </row>
    <row r="129" spans="2:20" x14ac:dyDescent="0.35">
      <c r="B129" s="2" t="s">
        <v>121</v>
      </c>
      <c r="G129" s="29" t="s">
        <v>9</v>
      </c>
      <c r="I129" s="18">
        <f>IRR(I121:T121)</f>
        <v>4.1089199349839012E-2</v>
      </c>
    </row>
    <row r="131" spans="2:20" x14ac:dyDescent="0.35">
      <c r="B131" s="2" t="s">
        <v>120</v>
      </c>
      <c r="G131" s="29" t="s">
        <v>9</v>
      </c>
      <c r="I131" s="14">
        <f>I132/I133</f>
        <v>-0.10631189083820665</v>
      </c>
      <c r="J131" s="14">
        <f t="shared" ref="J131:P131" si="89">J132/J133</f>
        <v>0.17933170533170525</v>
      </c>
      <c r="K131" s="14">
        <f t="shared" si="89"/>
        <v>0.31722849912912032</v>
      </c>
      <c r="L131" s="14">
        <f t="shared" si="89"/>
        <v>0.39044812514377736</v>
      </c>
      <c r="M131" s="14">
        <f t="shared" si="89"/>
        <v>0.42059738291451848</v>
      </c>
      <c r="N131" s="14">
        <f t="shared" si="89"/>
        <v>0.44739672315517731</v>
      </c>
      <c r="O131" s="14">
        <f t="shared" si="89"/>
        <v>0.44739672315517731</v>
      </c>
      <c r="P131" s="14">
        <f t="shared" si="89"/>
        <v>0.44739672315517731</v>
      </c>
      <c r="Q131" s="14">
        <f t="shared" ref="Q131:T131" si="90">Q132/Q133</f>
        <v>0.44739672315517731</v>
      </c>
      <c r="R131" s="14">
        <f t="shared" si="90"/>
        <v>0.44739672315517731</v>
      </c>
      <c r="S131" s="14">
        <f t="shared" si="90"/>
        <v>0.44739672315517731</v>
      </c>
      <c r="T131" s="14">
        <f t="shared" si="90"/>
        <v>0.44739672315517731</v>
      </c>
    </row>
    <row r="132" spans="2:20" x14ac:dyDescent="0.35">
      <c r="C132" s="1" t="s">
        <v>10</v>
      </c>
      <c r="G132" s="29" t="s">
        <v>25</v>
      </c>
      <c r="I132" s="3">
        <f t="shared" ref="I132:T132" si="91">I81</f>
        <v>-76.353200000000015</v>
      </c>
      <c r="J132" s="3">
        <f t="shared" si="91"/>
        <v>176.24719999999991</v>
      </c>
      <c r="K132" s="3">
        <f t="shared" si="91"/>
        <v>386.11784000000011</v>
      </c>
      <c r="L132" s="3">
        <f t="shared" si="91"/>
        <v>543.12896000000001</v>
      </c>
      <c r="M132" s="3">
        <f t="shared" si="91"/>
        <v>621.63452000000007</v>
      </c>
      <c r="N132" s="3">
        <f t="shared" si="91"/>
        <v>700.14008000000013</v>
      </c>
      <c r="O132" s="3">
        <f t="shared" si="91"/>
        <v>700.14008000000013</v>
      </c>
      <c r="P132" s="3">
        <f t="shared" si="91"/>
        <v>700.14008000000013</v>
      </c>
      <c r="Q132" s="3">
        <f t="shared" si="91"/>
        <v>700.14008000000013</v>
      </c>
      <c r="R132" s="3">
        <f t="shared" si="91"/>
        <v>700.14008000000013</v>
      </c>
      <c r="S132" s="3">
        <f t="shared" si="91"/>
        <v>700.14008000000013</v>
      </c>
      <c r="T132" s="3">
        <f t="shared" si="91"/>
        <v>700.14008000000013</v>
      </c>
    </row>
    <row r="133" spans="2:20" x14ac:dyDescent="0.35">
      <c r="C133" s="1" t="s">
        <v>14</v>
      </c>
      <c r="G133" s="29" t="s">
        <v>25</v>
      </c>
      <c r="I133" s="3">
        <f t="shared" ref="I133:T133" si="92">I8</f>
        <v>718.2</v>
      </c>
      <c r="J133" s="3">
        <f t="shared" si="92"/>
        <v>982.8</v>
      </c>
      <c r="K133" s="3">
        <f t="shared" si="92"/>
        <v>1217.1600000000001</v>
      </c>
      <c r="L133" s="3">
        <f t="shared" si="92"/>
        <v>1391.04</v>
      </c>
      <c r="M133" s="3">
        <f t="shared" si="92"/>
        <v>1477.98</v>
      </c>
      <c r="N133" s="3">
        <f t="shared" si="92"/>
        <v>1564.92</v>
      </c>
      <c r="O133" s="3">
        <f t="shared" si="92"/>
        <v>1564.92</v>
      </c>
      <c r="P133" s="3">
        <f t="shared" si="92"/>
        <v>1564.92</v>
      </c>
      <c r="Q133" s="3">
        <f t="shared" si="92"/>
        <v>1564.92</v>
      </c>
      <c r="R133" s="3">
        <f t="shared" si="92"/>
        <v>1564.92</v>
      </c>
      <c r="S133" s="3">
        <f t="shared" si="92"/>
        <v>1564.92</v>
      </c>
      <c r="T133" s="3">
        <f t="shared" si="92"/>
        <v>1564.92</v>
      </c>
    </row>
  </sheetData>
  <hyperlinks>
    <hyperlink ref="K2" location="Master!A1" display="back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T36"/>
  <sheetViews>
    <sheetView zoomScale="60" zoomScaleNormal="60" workbookViewId="0">
      <pane xSplit="8" ySplit="6" topLeftCell="I7" activePane="bottomRight" state="frozen"/>
      <selection activeCell="I10" sqref="I10"/>
      <selection pane="topRight" activeCell="I10" sqref="I10"/>
      <selection pane="bottomLeft" activeCell="I10" sqref="I10"/>
      <selection pane="bottomRight" activeCell="K9" sqref="K9"/>
    </sheetView>
  </sheetViews>
  <sheetFormatPr defaultColWidth="9.1796875" defaultRowHeight="14.5" outlineLevelRow="2" x14ac:dyDescent="0.35"/>
  <cols>
    <col min="1" max="1" width="9.1796875" style="1"/>
    <col min="2" max="2" width="2.1796875" style="1" customWidth="1"/>
    <col min="3" max="3" width="3" style="1" customWidth="1"/>
    <col min="4" max="4" width="2.54296875" style="1" customWidth="1"/>
    <col min="5" max="5" width="9.1796875" style="1"/>
    <col min="6" max="6" width="32.7265625" style="1" customWidth="1"/>
    <col min="7" max="7" width="9.1796875" style="29"/>
    <col min="8" max="8" width="11.26953125" style="1" bestFit="1" customWidth="1"/>
    <col min="9" max="16384" width="9.1796875" style="1"/>
  </cols>
  <sheetData>
    <row r="1" spans="1:20" x14ac:dyDescent="0.35">
      <c r="A1" s="2" t="s">
        <v>179</v>
      </c>
    </row>
    <row r="2" spans="1:20" x14ac:dyDescent="0.35">
      <c r="A2" s="1" t="s">
        <v>28</v>
      </c>
      <c r="K2" s="15" t="s">
        <v>24</v>
      </c>
    </row>
    <row r="6" spans="1:20" x14ac:dyDescent="0.35">
      <c r="I6" s="2">
        <v>1</v>
      </c>
      <c r="J6" s="2">
        <v>2</v>
      </c>
      <c r="K6" s="2">
        <v>3</v>
      </c>
      <c r="L6" s="2">
        <v>4</v>
      </c>
      <c r="M6" s="2">
        <v>5</v>
      </c>
      <c r="N6" s="2">
        <v>6</v>
      </c>
      <c r="O6" s="2">
        <v>7</v>
      </c>
      <c r="P6" s="2">
        <v>8</v>
      </c>
      <c r="Q6" s="2">
        <v>9</v>
      </c>
      <c r="R6" s="2">
        <v>10</v>
      </c>
      <c r="S6" s="2">
        <v>11</v>
      </c>
      <c r="T6" s="2">
        <v>12</v>
      </c>
    </row>
    <row r="8" spans="1:20" x14ac:dyDescent="0.35">
      <c r="B8" s="2" t="s">
        <v>13</v>
      </c>
      <c r="G8" s="1"/>
      <c r="H8" s="1" t="s">
        <v>25</v>
      </c>
      <c r="I8" s="7">
        <f>I9+I24+I27+I30+I33</f>
        <v>174.66135135135136</v>
      </c>
      <c r="J8" s="7">
        <f t="shared" ref="J8:O8" si="0">SUM(J9:J17)</f>
        <v>428.24324324324323</v>
      </c>
      <c r="K8" s="7">
        <f t="shared" si="0"/>
        <v>514.52702702702697</v>
      </c>
      <c r="L8" s="7">
        <f t="shared" si="0"/>
        <v>689.7027027027026</v>
      </c>
      <c r="M8" s="7">
        <f t="shared" si="0"/>
        <v>689.7027027027026</v>
      </c>
      <c r="N8" s="7">
        <f t="shared" si="0"/>
        <v>850.2702702702702</v>
      </c>
      <c r="O8" s="7">
        <f t="shared" si="0"/>
        <v>1270.8378378378377</v>
      </c>
      <c r="P8" s="7">
        <f t="shared" ref="P8:T8" si="1">SUM(P9:P17)</f>
        <v>1270.8378378378377</v>
      </c>
      <c r="Q8" s="7">
        <f t="shared" si="1"/>
        <v>1270.8378378378377</v>
      </c>
      <c r="R8" s="7">
        <f t="shared" si="1"/>
        <v>1270.8378378378377</v>
      </c>
      <c r="S8" s="7">
        <f t="shared" si="1"/>
        <v>1270.8378378378377</v>
      </c>
      <c r="T8" s="7">
        <f t="shared" si="1"/>
        <v>1270.8378378378377</v>
      </c>
    </row>
    <row r="9" spans="1:20" x14ac:dyDescent="0.35">
      <c r="C9" s="1" t="s">
        <v>143</v>
      </c>
      <c r="G9" s="1"/>
      <c r="H9" s="1" t="s">
        <v>25</v>
      </c>
      <c r="I9" s="3">
        <f>I10+I11+I14+I17+I20+I21</f>
        <v>102.75135135135135</v>
      </c>
      <c r="J9" s="3">
        <f t="shared" ref="J9:O9" si="2">J10+J11+J14+J17+J20+J21</f>
        <v>148.72972972972971</v>
      </c>
      <c r="K9" s="3">
        <f t="shared" si="2"/>
        <v>194.62162162162161</v>
      </c>
      <c r="L9" s="3">
        <f t="shared" si="2"/>
        <v>309.45945945945942</v>
      </c>
      <c r="M9" s="3">
        <f t="shared" si="2"/>
        <v>309.45945945945942</v>
      </c>
      <c r="N9" s="3">
        <f t="shared" si="2"/>
        <v>389.24324324324323</v>
      </c>
      <c r="O9" s="3">
        <f t="shared" si="2"/>
        <v>629.02702702702697</v>
      </c>
      <c r="P9" s="3">
        <f t="shared" ref="P9:T9" si="3">P10+P11+P14+P17+P20+P21</f>
        <v>629.02702702702697</v>
      </c>
      <c r="Q9" s="3">
        <f t="shared" si="3"/>
        <v>629.02702702702697</v>
      </c>
      <c r="R9" s="3">
        <f t="shared" si="3"/>
        <v>629.02702702702697</v>
      </c>
      <c r="S9" s="3">
        <f t="shared" si="3"/>
        <v>629.02702702702697</v>
      </c>
      <c r="T9" s="3">
        <f t="shared" si="3"/>
        <v>629.02702702702697</v>
      </c>
    </row>
    <row r="10" spans="1:20" hidden="1" outlineLevel="1" x14ac:dyDescent="0.35">
      <c r="D10" s="1" t="s">
        <v>128</v>
      </c>
      <c r="G10" s="1"/>
      <c r="H10" s="1" t="s">
        <v>25</v>
      </c>
      <c r="I10" s="9">
        <f>20/3.7*1.23*12</f>
        <v>79.783783783783775</v>
      </c>
      <c r="J10" s="3">
        <f t="shared" ref="J10:P10" si="4">I10</f>
        <v>79.783783783783775</v>
      </c>
      <c r="K10" s="3">
        <f t="shared" si="4"/>
        <v>79.783783783783775</v>
      </c>
      <c r="L10" s="3">
        <f t="shared" si="4"/>
        <v>79.783783783783775</v>
      </c>
      <c r="M10" s="3">
        <f t="shared" si="4"/>
        <v>79.783783783783775</v>
      </c>
      <c r="N10" s="3">
        <f t="shared" si="4"/>
        <v>79.783783783783775</v>
      </c>
      <c r="O10" s="9">
        <f>30/3.7*1.23*12</f>
        <v>119.67567567567566</v>
      </c>
      <c r="P10" s="3">
        <f t="shared" si="4"/>
        <v>119.67567567567566</v>
      </c>
      <c r="Q10" s="3">
        <f t="shared" ref="Q10:Q12" si="5">P10</f>
        <v>119.67567567567566</v>
      </c>
      <c r="R10" s="3">
        <f t="shared" ref="R10:R12" si="6">Q10</f>
        <v>119.67567567567566</v>
      </c>
      <c r="S10" s="3">
        <f t="shared" ref="S10:S12" si="7">R10</f>
        <v>119.67567567567566</v>
      </c>
      <c r="T10" s="3">
        <f t="shared" ref="T10:T12" si="8">S10</f>
        <v>119.67567567567566</v>
      </c>
    </row>
    <row r="11" spans="1:20" hidden="1" outlineLevel="1" x14ac:dyDescent="0.35">
      <c r="D11" s="1" t="s">
        <v>137</v>
      </c>
      <c r="G11" s="1"/>
      <c r="H11" s="1" t="s">
        <v>25</v>
      </c>
      <c r="I11" s="3">
        <f>I12*I13</f>
        <v>0</v>
      </c>
      <c r="J11" s="3">
        <f t="shared" ref="J11:T11" si="9">J12*J13</f>
        <v>0</v>
      </c>
      <c r="K11" s="3">
        <f t="shared" si="9"/>
        <v>39.891891891891888</v>
      </c>
      <c r="L11" s="3">
        <f t="shared" si="9"/>
        <v>79.783783783783775</v>
      </c>
      <c r="M11" s="3">
        <f t="shared" si="9"/>
        <v>79.783783783783775</v>
      </c>
      <c r="N11" s="3">
        <f t="shared" si="9"/>
        <v>159.56756756756755</v>
      </c>
      <c r="O11" s="3">
        <f t="shared" si="9"/>
        <v>159.56756756756755</v>
      </c>
      <c r="P11" s="3">
        <f t="shared" si="9"/>
        <v>159.56756756756755</v>
      </c>
      <c r="Q11" s="3">
        <f t="shared" si="9"/>
        <v>159.56756756756755</v>
      </c>
      <c r="R11" s="3">
        <f t="shared" si="9"/>
        <v>159.56756756756755</v>
      </c>
      <c r="S11" s="3">
        <f t="shared" si="9"/>
        <v>159.56756756756755</v>
      </c>
      <c r="T11" s="3">
        <f t="shared" si="9"/>
        <v>159.56756756756755</v>
      </c>
    </row>
    <row r="12" spans="1:20" hidden="1" outlineLevel="2" x14ac:dyDescent="0.35">
      <c r="E12" s="1" t="s">
        <v>134</v>
      </c>
      <c r="G12" s="1"/>
      <c r="H12" s="1" t="s">
        <v>6</v>
      </c>
      <c r="I12" s="9"/>
      <c r="J12" s="9"/>
      <c r="K12" s="9">
        <f>0.5</f>
        <v>0.5</v>
      </c>
      <c r="L12" s="9">
        <v>1</v>
      </c>
      <c r="M12" s="9">
        <v>1</v>
      </c>
      <c r="N12" s="9">
        <v>2</v>
      </c>
      <c r="O12" s="3">
        <f>N12</f>
        <v>2</v>
      </c>
      <c r="P12" s="3">
        <f>O12</f>
        <v>2</v>
      </c>
      <c r="Q12" s="3">
        <f t="shared" si="5"/>
        <v>2</v>
      </c>
      <c r="R12" s="3">
        <f t="shared" si="6"/>
        <v>2</v>
      </c>
      <c r="S12" s="3">
        <f t="shared" si="7"/>
        <v>2</v>
      </c>
      <c r="T12" s="3">
        <f t="shared" si="8"/>
        <v>2</v>
      </c>
    </row>
    <row r="13" spans="1:20" hidden="1" outlineLevel="2" x14ac:dyDescent="0.35">
      <c r="E13" s="1" t="s">
        <v>135</v>
      </c>
      <c r="G13" s="1"/>
      <c r="H13" s="1" t="s">
        <v>171</v>
      </c>
      <c r="I13" s="9">
        <f>20/3.7*1.23*12</f>
        <v>79.783783783783775</v>
      </c>
      <c r="J13" s="3">
        <f>I13</f>
        <v>79.783783783783775</v>
      </c>
      <c r="K13" s="3">
        <f>J13</f>
        <v>79.783783783783775</v>
      </c>
      <c r="L13" s="3">
        <f>K13</f>
        <v>79.783783783783775</v>
      </c>
      <c r="M13" s="3">
        <f t="shared" ref="M13:O13" si="10">L13</f>
        <v>79.783783783783775</v>
      </c>
      <c r="N13" s="3">
        <f t="shared" si="10"/>
        <v>79.783783783783775</v>
      </c>
      <c r="O13" s="3">
        <f t="shared" si="10"/>
        <v>79.783783783783775</v>
      </c>
      <c r="P13" s="3">
        <f t="shared" ref="P13:T13" si="11">O13</f>
        <v>79.783783783783775</v>
      </c>
      <c r="Q13" s="3">
        <f t="shared" si="11"/>
        <v>79.783783783783775</v>
      </c>
      <c r="R13" s="3">
        <f t="shared" si="11"/>
        <v>79.783783783783775</v>
      </c>
      <c r="S13" s="3">
        <f t="shared" si="11"/>
        <v>79.783783783783775</v>
      </c>
      <c r="T13" s="3">
        <f t="shared" si="11"/>
        <v>79.783783783783775</v>
      </c>
    </row>
    <row r="14" spans="1:20" hidden="1" outlineLevel="1" collapsed="1" x14ac:dyDescent="0.35">
      <c r="D14" s="1" t="s">
        <v>136</v>
      </c>
      <c r="G14" s="1"/>
      <c r="H14" s="1" t="s">
        <v>25</v>
      </c>
      <c r="I14" s="3">
        <f>I15*I16</f>
        <v>0</v>
      </c>
      <c r="J14" s="3">
        <f>J15*J16</f>
        <v>0</v>
      </c>
      <c r="K14" s="3">
        <f>K15*K16</f>
        <v>0</v>
      </c>
      <c r="L14" s="3">
        <f t="shared" ref="L14:O14" si="12">L15*L16</f>
        <v>0</v>
      </c>
      <c r="M14" s="3">
        <f t="shared" si="12"/>
        <v>0</v>
      </c>
      <c r="N14" s="3">
        <f t="shared" si="12"/>
        <v>0</v>
      </c>
      <c r="O14" s="3">
        <f t="shared" si="12"/>
        <v>100</v>
      </c>
      <c r="P14" s="3">
        <f t="shared" ref="P14:T14" si="13">P15*P16</f>
        <v>100</v>
      </c>
      <c r="Q14" s="3">
        <f t="shared" si="13"/>
        <v>100</v>
      </c>
      <c r="R14" s="3">
        <f t="shared" si="13"/>
        <v>100</v>
      </c>
      <c r="S14" s="3">
        <f t="shared" si="13"/>
        <v>100</v>
      </c>
      <c r="T14" s="3">
        <f t="shared" si="13"/>
        <v>100</v>
      </c>
    </row>
    <row r="15" spans="1:20" hidden="1" outlineLevel="2" x14ac:dyDescent="0.35">
      <c r="E15" s="1" t="s">
        <v>134</v>
      </c>
      <c r="G15" s="1"/>
      <c r="H15" s="1" t="s">
        <v>6</v>
      </c>
      <c r="I15" s="9"/>
      <c r="J15" s="9"/>
      <c r="K15" s="9"/>
      <c r="L15" s="9"/>
      <c r="M15" s="9"/>
      <c r="N15" s="9"/>
      <c r="O15" s="9">
        <v>1</v>
      </c>
      <c r="P15" s="3">
        <f>O15</f>
        <v>1</v>
      </c>
      <c r="Q15" s="3">
        <f t="shared" ref="Q15:T16" si="14">P15</f>
        <v>1</v>
      </c>
      <c r="R15" s="3">
        <f t="shared" si="14"/>
        <v>1</v>
      </c>
      <c r="S15" s="3">
        <f t="shared" si="14"/>
        <v>1</v>
      </c>
      <c r="T15" s="3">
        <f t="shared" si="14"/>
        <v>1</v>
      </c>
    </row>
    <row r="16" spans="1:20" hidden="1" outlineLevel="2" x14ac:dyDescent="0.35">
      <c r="E16" s="1" t="s">
        <v>135</v>
      </c>
      <c r="G16" s="1"/>
      <c r="H16" s="1" t="s">
        <v>171</v>
      </c>
      <c r="I16" s="9">
        <v>100</v>
      </c>
      <c r="J16" s="3">
        <f>I16</f>
        <v>100</v>
      </c>
      <c r="K16" s="3">
        <f t="shared" ref="K16:P16" si="15">J16</f>
        <v>100</v>
      </c>
      <c r="L16" s="3">
        <f t="shared" si="15"/>
        <v>100</v>
      </c>
      <c r="M16" s="3">
        <f t="shared" si="15"/>
        <v>100</v>
      </c>
      <c r="N16" s="3">
        <f t="shared" si="15"/>
        <v>100</v>
      </c>
      <c r="O16" s="3">
        <f t="shared" si="15"/>
        <v>100</v>
      </c>
      <c r="P16" s="3">
        <f t="shared" si="15"/>
        <v>100</v>
      </c>
      <c r="Q16" s="3">
        <f t="shared" si="14"/>
        <v>100</v>
      </c>
      <c r="R16" s="3">
        <f t="shared" ref="R16" si="16">Q16</f>
        <v>100</v>
      </c>
      <c r="S16" s="3">
        <f t="shared" si="14"/>
        <v>100</v>
      </c>
      <c r="T16" s="3">
        <f t="shared" si="14"/>
        <v>100</v>
      </c>
    </row>
    <row r="17" spans="3:20" hidden="1" outlineLevel="1" collapsed="1" x14ac:dyDescent="0.35">
      <c r="D17" s="1" t="s">
        <v>138</v>
      </c>
      <c r="G17" s="1"/>
      <c r="H17" s="1" t="s">
        <v>25</v>
      </c>
      <c r="I17" s="3">
        <f>I18*I19</f>
        <v>11.967567567567565</v>
      </c>
      <c r="J17" s="3">
        <f>J18*J19</f>
        <v>19.945945945945944</v>
      </c>
      <c r="K17" s="3">
        <f t="shared" ref="K17:O17" si="17">K18*K19</f>
        <v>19.945945945945944</v>
      </c>
      <c r="L17" s="3">
        <f t="shared" si="17"/>
        <v>39.891891891891888</v>
      </c>
      <c r="M17" s="3">
        <f t="shared" si="17"/>
        <v>39.891891891891888</v>
      </c>
      <c r="N17" s="3">
        <f t="shared" si="17"/>
        <v>39.891891891891888</v>
      </c>
      <c r="O17" s="3">
        <f t="shared" si="17"/>
        <v>79.783783783783775</v>
      </c>
      <c r="P17" s="3">
        <f t="shared" ref="P17:T17" si="18">P18*P19</f>
        <v>79.783783783783775</v>
      </c>
      <c r="Q17" s="3">
        <f t="shared" si="18"/>
        <v>79.783783783783775</v>
      </c>
      <c r="R17" s="3">
        <f t="shared" si="18"/>
        <v>79.783783783783775</v>
      </c>
      <c r="S17" s="3">
        <f t="shared" si="18"/>
        <v>79.783783783783775</v>
      </c>
      <c r="T17" s="3">
        <f t="shared" si="18"/>
        <v>79.783783783783775</v>
      </c>
    </row>
    <row r="18" spans="3:20" hidden="1" outlineLevel="2" x14ac:dyDescent="0.35">
      <c r="E18" s="1" t="s">
        <v>134</v>
      </c>
      <c r="G18" s="1"/>
      <c r="H18" s="1" t="s">
        <v>6</v>
      </c>
      <c r="I18" s="9">
        <v>0.3</v>
      </c>
      <c r="J18" s="9">
        <v>0.5</v>
      </c>
      <c r="K18" s="3">
        <f>J18</f>
        <v>0.5</v>
      </c>
      <c r="L18" s="9">
        <v>1</v>
      </c>
      <c r="M18" s="3">
        <f>L18</f>
        <v>1</v>
      </c>
      <c r="N18" s="3">
        <f>M18</f>
        <v>1</v>
      </c>
      <c r="O18" s="9">
        <v>2</v>
      </c>
      <c r="P18" s="3">
        <f>O18</f>
        <v>2</v>
      </c>
      <c r="Q18" s="9">
        <v>2</v>
      </c>
      <c r="R18" s="3">
        <f t="shared" ref="R18:T18" si="19">Q18</f>
        <v>2</v>
      </c>
      <c r="S18" s="3">
        <f t="shared" si="19"/>
        <v>2</v>
      </c>
      <c r="T18" s="3">
        <f t="shared" si="19"/>
        <v>2</v>
      </c>
    </row>
    <row r="19" spans="3:20" hidden="1" outlineLevel="2" x14ac:dyDescent="0.35">
      <c r="E19" s="1" t="s">
        <v>135</v>
      </c>
      <c r="G19" s="1"/>
      <c r="H19" s="1" t="s">
        <v>171</v>
      </c>
      <c r="I19" s="9">
        <f>10/3.7*1.23*12</f>
        <v>39.891891891891888</v>
      </c>
      <c r="J19" s="3">
        <f t="shared" ref="J19:O19" si="20">I19</f>
        <v>39.891891891891888</v>
      </c>
      <c r="K19" s="3">
        <f t="shared" si="20"/>
        <v>39.891891891891888</v>
      </c>
      <c r="L19" s="3">
        <f t="shared" si="20"/>
        <v>39.891891891891888</v>
      </c>
      <c r="M19" s="3">
        <f t="shared" si="20"/>
        <v>39.891891891891888</v>
      </c>
      <c r="N19" s="3">
        <f t="shared" si="20"/>
        <v>39.891891891891888</v>
      </c>
      <c r="O19" s="3">
        <f t="shared" si="20"/>
        <v>39.891891891891888</v>
      </c>
      <c r="P19" s="3">
        <f>O19</f>
        <v>39.891891891891888</v>
      </c>
      <c r="Q19" s="3">
        <f t="shared" ref="Q19:T19" si="21">P19</f>
        <v>39.891891891891888</v>
      </c>
      <c r="R19" s="3">
        <f t="shared" si="21"/>
        <v>39.891891891891888</v>
      </c>
      <c r="S19" s="3">
        <f t="shared" si="21"/>
        <v>39.891891891891888</v>
      </c>
      <c r="T19" s="3">
        <f t="shared" si="21"/>
        <v>39.891891891891888</v>
      </c>
    </row>
    <row r="20" spans="3:20" hidden="1" outlineLevel="1" collapsed="1" x14ac:dyDescent="0.35">
      <c r="D20" s="1" t="s">
        <v>129</v>
      </c>
      <c r="G20" s="1"/>
      <c r="H20" s="1" t="s">
        <v>25</v>
      </c>
      <c r="I20" s="9">
        <v>5</v>
      </c>
      <c r="J20" s="9">
        <v>25</v>
      </c>
      <c r="K20" s="9">
        <v>25</v>
      </c>
      <c r="L20" s="9">
        <v>50</v>
      </c>
      <c r="M20" s="9">
        <v>50</v>
      </c>
      <c r="N20" s="9">
        <v>50</v>
      </c>
      <c r="O20" s="9">
        <v>50</v>
      </c>
      <c r="P20" s="3">
        <f>O20</f>
        <v>50</v>
      </c>
      <c r="Q20" s="3">
        <f t="shared" ref="Q20:T20" si="22">P20</f>
        <v>50</v>
      </c>
      <c r="R20" s="3">
        <f t="shared" si="22"/>
        <v>50</v>
      </c>
      <c r="S20" s="3">
        <f t="shared" si="22"/>
        <v>50</v>
      </c>
      <c r="T20" s="3">
        <f t="shared" si="22"/>
        <v>50</v>
      </c>
    </row>
    <row r="21" spans="3:20" hidden="1" outlineLevel="1" x14ac:dyDescent="0.35">
      <c r="D21" s="1" t="s">
        <v>139</v>
      </c>
      <c r="G21" s="1"/>
      <c r="H21" s="1" t="s">
        <v>25</v>
      </c>
      <c r="I21" s="3">
        <f t="shared" ref="I21" si="23">I22*I23</f>
        <v>6</v>
      </c>
      <c r="J21" s="3">
        <f>J22*J23</f>
        <v>24</v>
      </c>
      <c r="K21" s="3">
        <f t="shared" ref="K21:O21" si="24">K22*K23</f>
        <v>30</v>
      </c>
      <c r="L21" s="3">
        <f t="shared" si="24"/>
        <v>60</v>
      </c>
      <c r="M21" s="3">
        <f t="shared" si="24"/>
        <v>60</v>
      </c>
      <c r="N21" s="3">
        <f t="shared" si="24"/>
        <v>60</v>
      </c>
      <c r="O21" s="3">
        <f t="shared" si="24"/>
        <v>120</v>
      </c>
      <c r="P21" s="3">
        <f t="shared" ref="P21:T21" si="25">P22*P23</f>
        <v>120</v>
      </c>
      <c r="Q21" s="3">
        <f t="shared" si="25"/>
        <v>120</v>
      </c>
      <c r="R21" s="3">
        <f t="shared" si="25"/>
        <v>120</v>
      </c>
      <c r="S21" s="3">
        <f t="shared" si="25"/>
        <v>120</v>
      </c>
      <c r="T21" s="3">
        <f t="shared" si="25"/>
        <v>120</v>
      </c>
    </row>
    <row r="22" spans="3:20" hidden="1" outlineLevel="2" x14ac:dyDescent="0.35">
      <c r="E22" s="1" t="s">
        <v>134</v>
      </c>
      <c r="G22" s="1"/>
      <c r="H22" s="1" t="s">
        <v>6</v>
      </c>
      <c r="I22" s="36">
        <v>0.1</v>
      </c>
      <c r="J22" s="9">
        <v>0.4</v>
      </c>
      <c r="K22" s="9">
        <v>0.5</v>
      </c>
      <c r="L22" s="9">
        <v>1</v>
      </c>
      <c r="M22" s="3">
        <f t="shared" ref="M22:N22" si="26">L22</f>
        <v>1</v>
      </c>
      <c r="N22" s="3">
        <f t="shared" si="26"/>
        <v>1</v>
      </c>
      <c r="O22" s="9">
        <v>2</v>
      </c>
      <c r="P22" s="3">
        <f>O22</f>
        <v>2</v>
      </c>
      <c r="Q22" s="3">
        <f t="shared" ref="Q22:T23" si="27">P22</f>
        <v>2</v>
      </c>
      <c r="R22" s="3">
        <f t="shared" si="27"/>
        <v>2</v>
      </c>
      <c r="S22" s="3">
        <f t="shared" si="27"/>
        <v>2</v>
      </c>
      <c r="T22" s="3">
        <f t="shared" si="27"/>
        <v>2</v>
      </c>
    </row>
    <row r="23" spans="3:20" hidden="1" outlineLevel="2" x14ac:dyDescent="0.35">
      <c r="E23" s="1" t="s">
        <v>135</v>
      </c>
      <c r="G23" s="1"/>
      <c r="H23" s="1" t="s">
        <v>171</v>
      </c>
      <c r="I23" s="9">
        <v>60</v>
      </c>
      <c r="J23" s="3">
        <f>I23</f>
        <v>60</v>
      </c>
      <c r="K23" s="3">
        <f>J23</f>
        <v>60</v>
      </c>
      <c r="L23" s="3">
        <f t="shared" ref="L23:P23" si="28">K23</f>
        <v>60</v>
      </c>
      <c r="M23" s="3">
        <f t="shared" si="28"/>
        <v>60</v>
      </c>
      <c r="N23" s="3">
        <f t="shared" si="28"/>
        <v>60</v>
      </c>
      <c r="O23" s="3">
        <f t="shared" si="28"/>
        <v>60</v>
      </c>
      <c r="P23" s="3">
        <f t="shared" si="28"/>
        <v>60</v>
      </c>
      <c r="Q23" s="3">
        <f t="shared" si="27"/>
        <v>60</v>
      </c>
      <c r="R23" s="3">
        <f t="shared" si="27"/>
        <v>60</v>
      </c>
      <c r="S23" s="3">
        <f t="shared" si="27"/>
        <v>60</v>
      </c>
      <c r="T23" s="3">
        <f t="shared" si="27"/>
        <v>60</v>
      </c>
    </row>
    <row r="24" spans="3:20" collapsed="1" x14ac:dyDescent="0.35">
      <c r="C24" s="1" t="s">
        <v>131</v>
      </c>
      <c r="G24" s="1"/>
      <c r="H24" s="1" t="s">
        <v>25</v>
      </c>
      <c r="I24" s="3">
        <f>I25*I26</f>
        <v>7.1820000000000004</v>
      </c>
      <c r="J24" s="3">
        <f t="shared" ref="J24:O24" si="29">J25*J26</f>
        <v>17.010000000000002</v>
      </c>
      <c r="K24" s="3">
        <f t="shared" si="29"/>
        <v>29.1816</v>
      </c>
      <c r="L24" s="3">
        <f t="shared" si="29"/>
        <v>43.091999999999999</v>
      </c>
      <c r="M24" s="3">
        <f t="shared" si="29"/>
        <v>57.871800000000007</v>
      </c>
      <c r="N24" s="3">
        <f t="shared" si="29"/>
        <v>73.521000000000001</v>
      </c>
      <c r="O24" s="3">
        <f t="shared" si="29"/>
        <v>89.170200000000008</v>
      </c>
      <c r="P24" s="3">
        <f t="shared" ref="P24:T24" si="30">P25*P26</f>
        <v>104.8194</v>
      </c>
      <c r="Q24" s="3">
        <f t="shared" si="30"/>
        <v>120.46860000000001</v>
      </c>
      <c r="R24" s="3">
        <f t="shared" si="30"/>
        <v>136.11779999999999</v>
      </c>
      <c r="S24" s="3">
        <f t="shared" si="30"/>
        <v>151.76700000000002</v>
      </c>
      <c r="T24" s="3">
        <f t="shared" si="30"/>
        <v>167.4162</v>
      </c>
    </row>
    <row r="25" spans="3:20" hidden="1" outlineLevel="2" x14ac:dyDescent="0.35">
      <c r="D25" s="1" t="s">
        <v>130</v>
      </c>
      <c r="G25" s="1"/>
      <c r="H25" s="1" t="s">
        <v>9</v>
      </c>
      <c r="I25" s="27">
        <v>0.01</v>
      </c>
      <c r="J25" s="28">
        <f>I25</f>
        <v>0.01</v>
      </c>
      <c r="K25" s="28">
        <f t="shared" ref="K25" si="31">J25</f>
        <v>0.01</v>
      </c>
      <c r="L25" s="27">
        <v>0.01</v>
      </c>
      <c r="M25" s="28">
        <f>L25</f>
        <v>0.01</v>
      </c>
      <c r="N25" s="28">
        <f t="shared" ref="N25:P25" si="32">M25</f>
        <v>0.01</v>
      </c>
      <c r="O25" s="28">
        <f t="shared" si="32"/>
        <v>0.01</v>
      </c>
      <c r="P25" s="28">
        <f t="shared" si="32"/>
        <v>0.01</v>
      </c>
      <c r="Q25" s="28">
        <f t="shared" ref="Q25" si="33">P25</f>
        <v>0.01</v>
      </c>
      <c r="R25" s="28">
        <f t="shared" ref="R25" si="34">Q25</f>
        <v>0.01</v>
      </c>
      <c r="S25" s="28">
        <f t="shared" ref="S25" si="35">R25</f>
        <v>0.01</v>
      </c>
      <c r="T25" s="28">
        <f t="shared" ref="T25" si="36">S25</f>
        <v>0.01</v>
      </c>
    </row>
    <row r="26" spans="3:20" hidden="1" outlineLevel="2" x14ac:dyDescent="0.35">
      <c r="D26" s="1" t="s">
        <v>0</v>
      </c>
      <c r="G26" s="1"/>
      <c r="H26" s="1" t="s">
        <v>25</v>
      </c>
      <c r="I26" s="3">
        <f>'Total Chain'!I$12</f>
        <v>718.2</v>
      </c>
      <c r="J26" s="3">
        <f>'Total Chain'!J$12</f>
        <v>1701</v>
      </c>
      <c r="K26" s="3">
        <f>'Total Chain'!K$12</f>
        <v>2918.16</v>
      </c>
      <c r="L26" s="3">
        <f>'Total Chain'!L$12</f>
        <v>4309.2</v>
      </c>
      <c r="M26" s="3">
        <f>'Total Chain'!M$12</f>
        <v>5787.18</v>
      </c>
      <c r="N26" s="3">
        <f>'Total Chain'!N$12</f>
        <v>7352.1</v>
      </c>
      <c r="O26" s="3">
        <f>'Total Chain'!O$12</f>
        <v>8917.02</v>
      </c>
      <c r="P26" s="3">
        <f>'Total Chain'!P$12</f>
        <v>10481.94</v>
      </c>
      <c r="Q26" s="3">
        <f>'Total Chain'!Q$12</f>
        <v>12046.86</v>
      </c>
      <c r="R26" s="3">
        <f>'Total Chain'!R$12</f>
        <v>13611.779999999999</v>
      </c>
      <c r="S26" s="3">
        <f>'Total Chain'!S$12</f>
        <v>15176.7</v>
      </c>
      <c r="T26" s="3">
        <f>'Total Chain'!T$12</f>
        <v>16741.62</v>
      </c>
    </row>
    <row r="27" spans="3:20" collapsed="1" x14ac:dyDescent="0.35">
      <c r="C27" s="1" t="s">
        <v>132</v>
      </c>
      <c r="G27" s="1"/>
      <c r="H27" s="1" t="s">
        <v>25</v>
      </c>
      <c r="I27" s="3">
        <f>I28*I29</f>
        <v>14.364000000000001</v>
      </c>
      <c r="J27" s="3">
        <f t="shared" ref="J27:O27" si="37">J28*J29</f>
        <v>34.020000000000003</v>
      </c>
      <c r="K27" s="3">
        <f t="shared" si="37"/>
        <v>58.363199999999999</v>
      </c>
      <c r="L27" s="3">
        <f t="shared" si="37"/>
        <v>64.637999999999991</v>
      </c>
      <c r="M27" s="3">
        <f t="shared" si="37"/>
        <v>86.807699999999997</v>
      </c>
      <c r="N27" s="3">
        <f t="shared" si="37"/>
        <v>110.28150000000001</v>
      </c>
      <c r="O27" s="3">
        <f t="shared" si="37"/>
        <v>133.75530000000001</v>
      </c>
      <c r="P27" s="3">
        <f t="shared" ref="P27:T27" si="38">P28*P29</f>
        <v>157.22909999999999</v>
      </c>
      <c r="Q27" s="3">
        <f t="shared" si="38"/>
        <v>180.7029</v>
      </c>
      <c r="R27" s="3">
        <f t="shared" si="38"/>
        <v>204.17669999999998</v>
      </c>
      <c r="S27" s="3">
        <f t="shared" si="38"/>
        <v>227.65049999999999</v>
      </c>
      <c r="T27" s="3">
        <f t="shared" si="38"/>
        <v>251.12429999999998</v>
      </c>
    </row>
    <row r="28" spans="3:20" hidden="1" outlineLevel="2" x14ac:dyDescent="0.35">
      <c r="D28" s="1" t="s">
        <v>130</v>
      </c>
      <c r="G28" s="1"/>
      <c r="H28" s="1" t="s">
        <v>9</v>
      </c>
      <c r="I28" s="27">
        <v>0.02</v>
      </c>
      <c r="J28" s="28">
        <f>I28</f>
        <v>0.02</v>
      </c>
      <c r="K28" s="28">
        <f t="shared" ref="K28" si="39">J28</f>
        <v>0.02</v>
      </c>
      <c r="L28" s="27">
        <v>1.4999999999999999E-2</v>
      </c>
      <c r="M28" s="28">
        <f>L28</f>
        <v>1.4999999999999999E-2</v>
      </c>
      <c r="N28" s="28">
        <f t="shared" ref="N28" si="40">M28</f>
        <v>1.4999999999999999E-2</v>
      </c>
      <c r="O28" s="28">
        <f t="shared" ref="O28:P28" si="41">N28</f>
        <v>1.4999999999999999E-2</v>
      </c>
      <c r="P28" s="28">
        <f t="shared" si="41"/>
        <v>1.4999999999999999E-2</v>
      </c>
      <c r="Q28" s="28">
        <f t="shared" ref="Q28" si="42">P28</f>
        <v>1.4999999999999999E-2</v>
      </c>
      <c r="R28" s="28">
        <f t="shared" ref="R28" si="43">Q28</f>
        <v>1.4999999999999999E-2</v>
      </c>
      <c r="S28" s="28">
        <f t="shared" ref="S28" si="44">R28</f>
        <v>1.4999999999999999E-2</v>
      </c>
      <c r="T28" s="28">
        <f t="shared" ref="T28" si="45">S28</f>
        <v>1.4999999999999999E-2</v>
      </c>
    </row>
    <row r="29" spans="3:20" hidden="1" outlineLevel="2" x14ac:dyDescent="0.35">
      <c r="D29" s="1" t="s">
        <v>0</v>
      </c>
      <c r="G29" s="1"/>
      <c r="H29" s="1" t="s">
        <v>25</v>
      </c>
      <c r="I29" s="3">
        <f>'Total Chain'!I$12</f>
        <v>718.2</v>
      </c>
      <c r="J29" s="3">
        <f>'Total Chain'!J$12</f>
        <v>1701</v>
      </c>
      <c r="K29" s="3">
        <f>'Total Chain'!K$12</f>
        <v>2918.16</v>
      </c>
      <c r="L29" s="3">
        <f>'Total Chain'!L$12</f>
        <v>4309.2</v>
      </c>
      <c r="M29" s="3">
        <f>'Total Chain'!M$12</f>
        <v>5787.18</v>
      </c>
      <c r="N29" s="3">
        <f>'Total Chain'!N$12</f>
        <v>7352.1</v>
      </c>
      <c r="O29" s="3">
        <f>'Total Chain'!O$12</f>
        <v>8917.02</v>
      </c>
      <c r="P29" s="3">
        <f>'Total Chain'!P$12</f>
        <v>10481.94</v>
      </c>
      <c r="Q29" s="3">
        <f>'Total Chain'!Q$12</f>
        <v>12046.86</v>
      </c>
      <c r="R29" s="3">
        <f>'Total Chain'!R$12</f>
        <v>13611.779999999999</v>
      </c>
      <c r="S29" s="3">
        <f>'Total Chain'!S$12</f>
        <v>15176.7</v>
      </c>
      <c r="T29" s="3">
        <f>'Total Chain'!T$12</f>
        <v>16741.62</v>
      </c>
    </row>
    <row r="30" spans="3:20" collapsed="1" x14ac:dyDescent="0.35">
      <c r="C30" s="1" t="s">
        <v>16</v>
      </c>
      <c r="G30" s="1"/>
      <c r="H30" s="1" t="s">
        <v>25</v>
      </c>
      <c r="I30" s="3">
        <f>I31*I32</f>
        <v>14.364000000000001</v>
      </c>
      <c r="J30" s="3">
        <f t="shared" ref="J30:O30" si="46">J31*J32</f>
        <v>34.020000000000003</v>
      </c>
      <c r="K30" s="3">
        <f t="shared" si="46"/>
        <v>58.363199999999999</v>
      </c>
      <c r="L30" s="3">
        <f t="shared" si="46"/>
        <v>64.637999999999991</v>
      </c>
      <c r="M30" s="3">
        <f t="shared" si="46"/>
        <v>86.807699999999997</v>
      </c>
      <c r="N30" s="3">
        <f t="shared" si="46"/>
        <v>110.28150000000001</v>
      </c>
      <c r="O30" s="3">
        <f t="shared" si="46"/>
        <v>133.75530000000001</v>
      </c>
      <c r="P30" s="3">
        <f t="shared" ref="P30:T30" si="47">P31*P32</f>
        <v>157.22909999999999</v>
      </c>
      <c r="Q30" s="3">
        <f t="shared" si="47"/>
        <v>180.7029</v>
      </c>
      <c r="R30" s="3">
        <f t="shared" si="47"/>
        <v>204.17669999999998</v>
      </c>
      <c r="S30" s="3">
        <f t="shared" si="47"/>
        <v>227.65049999999999</v>
      </c>
      <c r="T30" s="3">
        <f t="shared" si="47"/>
        <v>251.12429999999998</v>
      </c>
    </row>
    <row r="31" spans="3:20" hidden="1" outlineLevel="2" x14ac:dyDescent="0.35">
      <c r="D31" s="1" t="s">
        <v>130</v>
      </c>
      <c r="G31" s="1"/>
      <c r="H31" s="1" t="s">
        <v>9</v>
      </c>
      <c r="I31" s="27">
        <v>0.02</v>
      </c>
      <c r="J31" s="28">
        <f>I31</f>
        <v>0.02</v>
      </c>
      <c r="K31" s="28">
        <f t="shared" ref="K31" si="48">J31</f>
        <v>0.02</v>
      </c>
      <c r="L31" s="27">
        <v>1.4999999999999999E-2</v>
      </c>
      <c r="M31" s="28">
        <f>L31</f>
        <v>1.4999999999999999E-2</v>
      </c>
      <c r="N31" s="28">
        <f t="shared" ref="N31" si="49">M31</f>
        <v>1.4999999999999999E-2</v>
      </c>
      <c r="O31" s="28">
        <f t="shared" ref="O31:P31" si="50">N31</f>
        <v>1.4999999999999999E-2</v>
      </c>
      <c r="P31" s="28">
        <f t="shared" si="50"/>
        <v>1.4999999999999999E-2</v>
      </c>
      <c r="Q31" s="28">
        <f t="shared" ref="Q31" si="51">P31</f>
        <v>1.4999999999999999E-2</v>
      </c>
      <c r="R31" s="28">
        <f t="shared" ref="R31" si="52">Q31</f>
        <v>1.4999999999999999E-2</v>
      </c>
      <c r="S31" s="28">
        <f t="shared" ref="S31" si="53">R31</f>
        <v>1.4999999999999999E-2</v>
      </c>
      <c r="T31" s="28">
        <f t="shared" ref="T31" si="54">S31</f>
        <v>1.4999999999999999E-2</v>
      </c>
    </row>
    <row r="32" spans="3:20" hidden="1" outlineLevel="2" x14ac:dyDescent="0.35">
      <c r="D32" s="1" t="s">
        <v>0</v>
      </c>
      <c r="G32" s="1"/>
      <c r="H32" s="1" t="s">
        <v>25</v>
      </c>
      <c r="I32" s="3">
        <f>'Total Chain'!I$12</f>
        <v>718.2</v>
      </c>
      <c r="J32" s="3">
        <f>'Total Chain'!J$12</f>
        <v>1701</v>
      </c>
      <c r="K32" s="3">
        <f>'Total Chain'!K$12</f>
        <v>2918.16</v>
      </c>
      <c r="L32" s="3">
        <f>'Total Chain'!L$12</f>
        <v>4309.2</v>
      </c>
      <c r="M32" s="3">
        <f>'Total Chain'!M$12</f>
        <v>5787.18</v>
      </c>
      <c r="N32" s="3">
        <f>'Total Chain'!N$12</f>
        <v>7352.1</v>
      </c>
      <c r="O32" s="3">
        <f>'Total Chain'!O$12</f>
        <v>8917.02</v>
      </c>
      <c r="P32" s="3">
        <f>'Total Chain'!P$12</f>
        <v>10481.94</v>
      </c>
      <c r="Q32" s="3">
        <f>'Total Chain'!Q$12</f>
        <v>12046.86</v>
      </c>
      <c r="R32" s="3">
        <f>'Total Chain'!R$12</f>
        <v>13611.779999999999</v>
      </c>
      <c r="S32" s="3">
        <f>'Total Chain'!S$12</f>
        <v>15176.7</v>
      </c>
      <c r="T32" s="3">
        <f>'Total Chain'!T$12</f>
        <v>16741.62</v>
      </c>
    </row>
    <row r="33" spans="3:20" s="3" customFormat="1" collapsed="1" x14ac:dyDescent="0.35">
      <c r="C33" s="3" t="s">
        <v>133</v>
      </c>
      <c r="H33" s="3" t="s">
        <v>25</v>
      </c>
      <c r="I33" s="3">
        <f>I34*I35/1000</f>
        <v>36</v>
      </c>
      <c r="J33" s="3">
        <f t="shared" ref="J33:O33" si="55">J34*J35/1000</f>
        <v>36</v>
      </c>
      <c r="K33" s="3">
        <f t="shared" si="55"/>
        <v>90</v>
      </c>
      <c r="L33" s="3">
        <f t="shared" si="55"/>
        <v>90</v>
      </c>
      <c r="M33" s="3">
        <f t="shared" si="55"/>
        <v>90</v>
      </c>
      <c r="N33" s="3">
        <f t="shared" si="55"/>
        <v>180</v>
      </c>
      <c r="O33" s="3">
        <f t="shared" si="55"/>
        <v>180</v>
      </c>
      <c r="P33" s="3">
        <f t="shared" ref="P33:T33" si="56">P34*P35/1000</f>
        <v>180</v>
      </c>
      <c r="Q33" s="3">
        <f t="shared" si="56"/>
        <v>180</v>
      </c>
      <c r="R33" s="3">
        <f t="shared" si="56"/>
        <v>180</v>
      </c>
      <c r="S33" s="3">
        <f t="shared" si="56"/>
        <v>180</v>
      </c>
      <c r="T33" s="3">
        <f t="shared" si="56"/>
        <v>180</v>
      </c>
    </row>
    <row r="34" spans="3:20" s="3" customFormat="1" hidden="1" outlineLevel="2" x14ac:dyDescent="0.35">
      <c r="D34" s="3" t="s">
        <v>140</v>
      </c>
      <c r="G34" s="31"/>
      <c r="H34" s="3" t="s">
        <v>142</v>
      </c>
      <c r="I34" s="3">
        <f>15*12</f>
        <v>180</v>
      </c>
      <c r="J34" s="3">
        <f t="shared" ref="J34:T34" si="57">15*12</f>
        <v>180</v>
      </c>
      <c r="K34" s="3">
        <f t="shared" si="57"/>
        <v>180</v>
      </c>
      <c r="L34" s="3">
        <f t="shared" si="57"/>
        <v>180</v>
      </c>
      <c r="M34" s="3">
        <f t="shared" si="57"/>
        <v>180</v>
      </c>
      <c r="N34" s="3">
        <f t="shared" si="57"/>
        <v>180</v>
      </c>
      <c r="O34" s="3">
        <f t="shared" si="57"/>
        <v>180</v>
      </c>
      <c r="P34" s="3">
        <f t="shared" si="57"/>
        <v>180</v>
      </c>
      <c r="Q34" s="3">
        <f t="shared" si="57"/>
        <v>180</v>
      </c>
      <c r="R34" s="3">
        <f t="shared" si="57"/>
        <v>180</v>
      </c>
      <c r="S34" s="3">
        <f t="shared" si="57"/>
        <v>180</v>
      </c>
      <c r="T34" s="3">
        <f t="shared" si="57"/>
        <v>180</v>
      </c>
    </row>
    <row r="35" spans="3:20" s="3" customFormat="1" hidden="1" outlineLevel="2" x14ac:dyDescent="0.35">
      <c r="D35" s="3" t="s">
        <v>141</v>
      </c>
      <c r="G35" s="31"/>
      <c r="H35" s="3" t="s">
        <v>92</v>
      </c>
      <c r="I35" s="9">
        <v>200</v>
      </c>
      <c r="J35" s="9">
        <v>200</v>
      </c>
      <c r="K35" s="9">
        <v>500</v>
      </c>
      <c r="L35" s="3">
        <f>K35</f>
        <v>500</v>
      </c>
      <c r="M35" s="3">
        <f>L35</f>
        <v>500</v>
      </c>
      <c r="N35" s="9">
        <v>1000</v>
      </c>
      <c r="O35" s="3">
        <f>N35</f>
        <v>1000</v>
      </c>
      <c r="P35" s="3">
        <f t="shared" ref="P35:T35" si="58">O35</f>
        <v>1000</v>
      </c>
      <c r="Q35" s="3">
        <f t="shared" si="58"/>
        <v>1000</v>
      </c>
      <c r="R35" s="3">
        <f t="shared" si="58"/>
        <v>1000</v>
      </c>
      <c r="S35" s="3">
        <f t="shared" si="58"/>
        <v>1000</v>
      </c>
      <c r="T35" s="3">
        <f t="shared" si="58"/>
        <v>1000</v>
      </c>
    </row>
    <row r="36" spans="3:20" collapsed="1" x14ac:dyDescent="0.35"/>
  </sheetData>
  <hyperlinks>
    <hyperlink ref="K2" location="Master!A1" display="back" xr:uid="{D9D4F182-C31D-4FD1-AE34-36ADACF81092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U32"/>
  <sheetViews>
    <sheetView zoomScale="60" zoomScaleNormal="60" workbookViewId="0">
      <pane xSplit="8" ySplit="6" topLeftCell="I7" activePane="bottomRight" state="frozen"/>
      <selection activeCell="I10" sqref="I10"/>
      <selection pane="topRight" activeCell="I10" sqref="I10"/>
      <selection pane="bottomLeft" activeCell="I10" sqref="I10"/>
      <selection pane="bottomRight" activeCell="S15" sqref="S15"/>
    </sheetView>
  </sheetViews>
  <sheetFormatPr defaultColWidth="9.1796875" defaultRowHeight="14.5" x14ac:dyDescent="0.35"/>
  <cols>
    <col min="1" max="1" width="9.1796875" style="1"/>
    <col min="2" max="2" width="2.1796875" style="1" customWidth="1"/>
    <col min="3" max="3" width="3" style="1" customWidth="1"/>
    <col min="4" max="4" width="2.54296875" style="1" customWidth="1"/>
    <col min="5" max="5" width="9.1796875" style="1"/>
    <col min="6" max="6" width="32.7265625" style="1" customWidth="1"/>
    <col min="7" max="7" width="9.1796875" style="29"/>
    <col min="8" max="8" width="11.26953125" style="32" bestFit="1" customWidth="1"/>
    <col min="9" max="16384" width="9.1796875" style="1"/>
  </cols>
  <sheetData>
    <row r="1" spans="1:21" x14ac:dyDescent="0.35">
      <c r="A1" s="2" t="s">
        <v>180</v>
      </c>
    </row>
    <row r="2" spans="1:21" x14ac:dyDescent="0.35">
      <c r="A2" s="1" t="s">
        <v>28</v>
      </c>
      <c r="K2" s="15" t="s">
        <v>24</v>
      </c>
    </row>
    <row r="6" spans="1:21" x14ac:dyDescent="0.35">
      <c r="I6" s="2">
        <v>1</v>
      </c>
      <c r="J6" s="2">
        <v>2</v>
      </c>
      <c r="K6" s="2">
        <v>3</v>
      </c>
      <c r="L6" s="2">
        <v>4</v>
      </c>
      <c r="M6" s="2">
        <v>5</v>
      </c>
      <c r="N6" s="2">
        <v>6</v>
      </c>
      <c r="O6" s="2">
        <v>7</v>
      </c>
      <c r="P6" s="2">
        <v>8</v>
      </c>
      <c r="Q6" s="2">
        <v>9</v>
      </c>
      <c r="R6" s="2">
        <v>10</v>
      </c>
      <c r="S6" s="2">
        <v>11</v>
      </c>
      <c r="T6" s="2">
        <v>12</v>
      </c>
    </row>
    <row r="8" spans="1:21" x14ac:dyDescent="0.35">
      <c r="B8" s="2" t="s">
        <v>148</v>
      </c>
      <c r="H8" s="32" t="s">
        <v>25</v>
      </c>
      <c r="I8" s="7">
        <f>I9*I10</f>
        <v>4572.7</v>
      </c>
      <c r="J8" s="7">
        <f t="shared" ref="J8:T8" si="0">J9*J10</f>
        <v>4572.7</v>
      </c>
      <c r="K8" s="7">
        <f t="shared" si="0"/>
        <v>4572.7</v>
      </c>
      <c r="L8" s="7">
        <f t="shared" si="0"/>
        <v>4572.7</v>
      </c>
      <c r="M8" s="7">
        <f t="shared" si="0"/>
        <v>4572.7</v>
      </c>
      <c r="N8" s="7">
        <f t="shared" si="0"/>
        <v>4572.7</v>
      </c>
      <c r="O8" s="7">
        <f t="shared" si="0"/>
        <v>4572.7</v>
      </c>
      <c r="P8" s="7">
        <f t="shared" si="0"/>
        <v>4572.7</v>
      </c>
      <c r="Q8" s="7">
        <f t="shared" si="0"/>
        <v>4572.7</v>
      </c>
      <c r="R8" s="7">
        <f t="shared" si="0"/>
        <v>4572.7</v>
      </c>
      <c r="S8" s="7">
        <f t="shared" si="0"/>
        <v>4572.7</v>
      </c>
      <c r="T8" s="7">
        <f t="shared" si="0"/>
        <v>4572.7</v>
      </c>
      <c r="U8" s="3"/>
    </row>
    <row r="9" spans="1:21" x14ac:dyDescent="0.35">
      <c r="C9" s="1" t="s">
        <v>124</v>
      </c>
      <c r="H9" s="32" t="s">
        <v>25</v>
      </c>
      <c r="I9" s="3">
        <f>'Total Chain'!I8</f>
        <v>1</v>
      </c>
      <c r="J9" s="3">
        <f>'Total Chain'!J8</f>
        <v>1</v>
      </c>
      <c r="K9" s="3">
        <f>'Total Chain'!K8</f>
        <v>1</v>
      </c>
      <c r="L9" s="3">
        <f>'Total Chain'!L8</f>
        <v>1</v>
      </c>
      <c r="M9" s="3">
        <f>'Total Chain'!M8</f>
        <v>1</v>
      </c>
      <c r="N9" s="3">
        <f>'Total Chain'!N8</f>
        <v>1</v>
      </c>
      <c r="O9" s="3">
        <f>'Total Chain'!O8</f>
        <v>1</v>
      </c>
      <c r="P9" s="3">
        <f>'Total Chain'!P8</f>
        <v>1</v>
      </c>
      <c r="Q9" s="3">
        <f>'Total Chain'!Q8</f>
        <v>1</v>
      </c>
      <c r="R9" s="3">
        <f>'Total Chain'!R8</f>
        <v>1</v>
      </c>
      <c r="S9" s="3">
        <f>'Total Chain'!S8</f>
        <v>1</v>
      </c>
      <c r="T9" s="3">
        <f>'Total Chain'!T8</f>
        <v>1</v>
      </c>
      <c r="U9" s="3"/>
    </row>
    <row r="10" spans="1:21" x14ac:dyDescent="0.35">
      <c r="C10" s="1" t="s">
        <v>149</v>
      </c>
      <c r="H10" s="32" t="s">
        <v>25</v>
      </c>
      <c r="I10" s="3">
        <f>Hotel!$I$85</f>
        <v>4572.7</v>
      </c>
      <c r="J10" s="3">
        <f>Hotel!$I$85</f>
        <v>4572.7</v>
      </c>
      <c r="K10" s="3">
        <f>Hotel!$I$85</f>
        <v>4572.7</v>
      </c>
      <c r="L10" s="3">
        <f>Hotel!$I$85</f>
        <v>4572.7</v>
      </c>
      <c r="M10" s="3">
        <f>Hotel!$I$85</f>
        <v>4572.7</v>
      </c>
      <c r="N10" s="3">
        <f>Hotel!$I$85</f>
        <v>4572.7</v>
      </c>
      <c r="O10" s="3">
        <f>Hotel!$I$85</f>
        <v>4572.7</v>
      </c>
      <c r="P10" s="3">
        <f>Hotel!$I$85</f>
        <v>4572.7</v>
      </c>
      <c r="Q10" s="3">
        <f>Hotel!$I$85</f>
        <v>4572.7</v>
      </c>
      <c r="R10" s="3">
        <f>Hotel!$I$85</f>
        <v>4572.7</v>
      </c>
      <c r="S10" s="3">
        <f>Hotel!$I$85</f>
        <v>4572.7</v>
      </c>
      <c r="T10" s="3">
        <f>Hotel!$I$85</f>
        <v>4572.7</v>
      </c>
      <c r="U10" s="3"/>
    </row>
    <row r="11" spans="1:21" x14ac:dyDescent="0.35"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5"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s="2" customFormat="1" x14ac:dyDescent="0.35">
      <c r="B13" s="2" t="s">
        <v>150</v>
      </c>
      <c r="H13" s="32" t="s">
        <v>25</v>
      </c>
      <c r="I13" s="7">
        <f>MAX(I14*I15,0)</f>
        <v>0</v>
      </c>
      <c r="J13" s="7">
        <f t="shared" ref="J13:T13" si="1">MAX(J14*J15,0)</f>
        <v>0</v>
      </c>
      <c r="K13" s="7">
        <f t="shared" si="1"/>
        <v>0</v>
      </c>
      <c r="L13" s="7">
        <f t="shared" si="1"/>
        <v>101.83142918918925</v>
      </c>
      <c r="M13" s="7">
        <f t="shared" si="1"/>
        <v>288.32178518918926</v>
      </c>
      <c r="N13" s="7">
        <f t="shared" si="1"/>
        <v>450.19353891891905</v>
      </c>
      <c r="O13" s="7">
        <f t="shared" si="1"/>
        <v>534.06529264864878</v>
      </c>
      <c r="P13" s="7">
        <f t="shared" si="1"/>
        <v>992.14308886486515</v>
      </c>
      <c r="Q13" s="7">
        <f t="shared" si="1"/>
        <v>1272.1991208648656</v>
      </c>
      <c r="R13" s="7">
        <f t="shared" si="1"/>
        <v>1552.2551528648653</v>
      </c>
      <c r="S13" s="7">
        <f t="shared" si="1"/>
        <v>1832.311184864865</v>
      </c>
      <c r="T13" s="7">
        <f t="shared" si="1"/>
        <v>2112.3672168648654</v>
      </c>
      <c r="U13" s="7"/>
    </row>
    <row r="14" spans="1:21" x14ac:dyDescent="0.35">
      <c r="C14" s="1" t="s">
        <v>151</v>
      </c>
      <c r="H14" s="32" t="s">
        <v>25</v>
      </c>
      <c r="I14" s="3">
        <f>'Total Chain'!I45</f>
        <v>-251.01455135135137</v>
      </c>
      <c r="J14" s="3">
        <f>'Total Chain'!J45</f>
        <v>-328.34924324324334</v>
      </c>
      <c r="K14" s="3">
        <f>'Total Chain'!K45</f>
        <v>-28.515187027026968</v>
      </c>
      <c r="L14" s="3">
        <f>'Total Chain'!L45</f>
        <v>339.43809729729753</v>
      </c>
      <c r="M14" s="3">
        <f>'Total Chain'!M45</f>
        <v>961.0726172972976</v>
      </c>
      <c r="N14" s="3">
        <f>'Total Chain'!N45</f>
        <v>1500.6451297297301</v>
      </c>
      <c r="O14" s="3">
        <f>'Total Chain'!O45</f>
        <v>1780.2176421621627</v>
      </c>
      <c r="P14" s="3">
        <f>'Total Chain'!P45</f>
        <v>2480.3577221621626</v>
      </c>
      <c r="Q14" s="3">
        <f>'Total Chain'!Q45</f>
        <v>3180.4978021621637</v>
      </c>
      <c r="R14" s="3">
        <f>'Total Chain'!R45</f>
        <v>3880.6378821621629</v>
      </c>
      <c r="S14" s="3">
        <f>'Total Chain'!S45</f>
        <v>4580.7779621621621</v>
      </c>
      <c r="T14" s="3">
        <f>'Total Chain'!T45</f>
        <v>5280.9180421621631</v>
      </c>
      <c r="U14" s="3"/>
    </row>
    <row r="15" spans="1:21" x14ac:dyDescent="0.35">
      <c r="C15" s="1" t="s">
        <v>152</v>
      </c>
      <c r="H15" s="32" t="s">
        <v>9</v>
      </c>
      <c r="I15" s="27">
        <v>0.3</v>
      </c>
      <c r="J15" s="28">
        <f>I15</f>
        <v>0.3</v>
      </c>
      <c r="K15" s="28">
        <f>J15</f>
        <v>0.3</v>
      </c>
      <c r="L15" s="28">
        <f>K15</f>
        <v>0.3</v>
      </c>
      <c r="M15" s="28">
        <f t="shared" ref="M15:T15" si="2">L15</f>
        <v>0.3</v>
      </c>
      <c r="N15" s="28">
        <f t="shared" si="2"/>
        <v>0.3</v>
      </c>
      <c r="O15" s="28">
        <f t="shared" si="2"/>
        <v>0.3</v>
      </c>
      <c r="P15" s="27">
        <v>0.4</v>
      </c>
      <c r="Q15" s="28">
        <f t="shared" si="2"/>
        <v>0.4</v>
      </c>
      <c r="R15" s="28">
        <f t="shared" si="2"/>
        <v>0.4</v>
      </c>
      <c r="S15" s="28">
        <f t="shared" si="2"/>
        <v>0.4</v>
      </c>
      <c r="T15" s="28">
        <f t="shared" si="2"/>
        <v>0.4</v>
      </c>
      <c r="U15" s="3"/>
    </row>
    <row r="16" spans="1:21" x14ac:dyDescent="0.35"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8" spans="2:20" x14ac:dyDescent="0.35">
      <c r="B18" s="2" t="s">
        <v>153</v>
      </c>
      <c r="H18" s="32" t="s">
        <v>25</v>
      </c>
      <c r="I18" s="7">
        <f>I19+I20-I21</f>
        <v>4572.7</v>
      </c>
      <c r="J18" s="7">
        <f>J19+J20-J21</f>
        <v>9145.4</v>
      </c>
      <c r="K18" s="7">
        <f t="shared" ref="K18:T18" si="3">K19+K20-K21</f>
        <v>13718.099999999999</v>
      </c>
      <c r="L18" s="7">
        <f t="shared" si="3"/>
        <v>18188.968570810812</v>
      </c>
      <c r="M18" s="7">
        <f t="shared" si="3"/>
        <v>22473.346785621623</v>
      </c>
      <c r="N18" s="7">
        <f t="shared" si="3"/>
        <v>26595.853246702703</v>
      </c>
      <c r="O18" s="7">
        <f t="shared" si="3"/>
        <v>30634.487954054057</v>
      </c>
      <c r="P18" s="7">
        <f t="shared" si="3"/>
        <v>34215.044865189186</v>
      </c>
      <c r="Q18" s="7">
        <f t="shared" si="3"/>
        <v>37515.545744324314</v>
      </c>
      <c r="R18" s="7">
        <f t="shared" si="3"/>
        <v>40535.990591459449</v>
      </c>
      <c r="S18" s="7">
        <f t="shared" si="3"/>
        <v>43276.379406594584</v>
      </c>
      <c r="T18" s="7">
        <f t="shared" si="3"/>
        <v>45736.712189729718</v>
      </c>
    </row>
    <row r="19" spans="2:20" x14ac:dyDescent="0.35">
      <c r="C19" s="1" t="s">
        <v>154</v>
      </c>
      <c r="H19" s="32" t="s">
        <v>25</v>
      </c>
      <c r="I19" s="8">
        <v>0</v>
      </c>
      <c r="J19" s="3">
        <f>I18</f>
        <v>4572.7</v>
      </c>
      <c r="K19" s="3">
        <f t="shared" ref="K19:T19" si="4">J18</f>
        <v>9145.4</v>
      </c>
      <c r="L19" s="3">
        <f t="shared" si="4"/>
        <v>13718.099999999999</v>
      </c>
      <c r="M19" s="3">
        <f t="shared" si="4"/>
        <v>18188.968570810812</v>
      </c>
      <c r="N19" s="3">
        <f t="shared" si="4"/>
        <v>22473.346785621623</v>
      </c>
      <c r="O19" s="3">
        <f t="shared" si="4"/>
        <v>26595.853246702703</v>
      </c>
      <c r="P19" s="3">
        <f t="shared" si="4"/>
        <v>30634.487954054057</v>
      </c>
      <c r="Q19" s="3">
        <f t="shared" si="4"/>
        <v>34215.044865189186</v>
      </c>
      <c r="R19" s="3">
        <f t="shared" si="4"/>
        <v>37515.545744324314</v>
      </c>
      <c r="S19" s="3">
        <f t="shared" si="4"/>
        <v>40535.990591459449</v>
      </c>
      <c r="T19" s="3">
        <f t="shared" si="4"/>
        <v>43276.379406594584</v>
      </c>
    </row>
    <row r="20" spans="2:20" x14ac:dyDescent="0.35">
      <c r="C20" s="1" t="s">
        <v>155</v>
      </c>
      <c r="H20" s="32" t="s">
        <v>25</v>
      </c>
      <c r="I20" s="3">
        <f>I8</f>
        <v>4572.7</v>
      </c>
      <c r="J20" s="3">
        <f>J8</f>
        <v>4572.7</v>
      </c>
      <c r="K20" s="3">
        <f t="shared" ref="K20:T20" si="5">K8</f>
        <v>4572.7</v>
      </c>
      <c r="L20" s="3">
        <f t="shared" si="5"/>
        <v>4572.7</v>
      </c>
      <c r="M20" s="3">
        <f t="shared" si="5"/>
        <v>4572.7</v>
      </c>
      <c r="N20" s="3">
        <f t="shared" si="5"/>
        <v>4572.7</v>
      </c>
      <c r="O20" s="3">
        <f t="shared" si="5"/>
        <v>4572.7</v>
      </c>
      <c r="P20" s="3">
        <f t="shared" si="5"/>
        <v>4572.7</v>
      </c>
      <c r="Q20" s="3">
        <f t="shared" si="5"/>
        <v>4572.7</v>
      </c>
      <c r="R20" s="3">
        <f t="shared" si="5"/>
        <v>4572.7</v>
      </c>
      <c r="S20" s="3">
        <f t="shared" si="5"/>
        <v>4572.7</v>
      </c>
      <c r="T20" s="3">
        <f t="shared" si="5"/>
        <v>4572.7</v>
      </c>
    </row>
    <row r="21" spans="2:20" x14ac:dyDescent="0.35">
      <c r="C21" s="1" t="s">
        <v>156</v>
      </c>
      <c r="H21" s="32" t="s">
        <v>25</v>
      </c>
      <c r="I21" s="3">
        <f>I13</f>
        <v>0</v>
      </c>
      <c r="J21" s="3">
        <f>J13</f>
        <v>0</v>
      </c>
      <c r="K21" s="3">
        <f t="shared" ref="K21:T21" si="6">K13</f>
        <v>0</v>
      </c>
      <c r="L21" s="3">
        <f t="shared" si="6"/>
        <v>101.83142918918925</v>
      </c>
      <c r="M21" s="3">
        <f t="shared" si="6"/>
        <v>288.32178518918926</v>
      </c>
      <c r="N21" s="3">
        <f t="shared" si="6"/>
        <v>450.19353891891905</v>
      </c>
      <c r="O21" s="3">
        <f t="shared" si="6"/>
        <v>534.06529264864878</v>
      </c>
      <c r="P21" s="3">
        <f t="shared" si="6"/>
        <v>992.14308886486515</v>
      </c>
      <c r="Q21" s="3">
        <f t="shared" si="6"/>
        <v>1272.1991208648656</v>
      </c>
      <c r="R21" s="3">
        <f t="shared" si="6"/>
        <v>1552.2551528648653</v>
      </c>
      <c r="S21" s="3">
        <f t="shared" si="6"/>
        <v>1832.311184864865</v>
      </c>
      <c r="T21" s="3">
        <f t="shared" si="6"/>
        <v>2112.3672168648654</v>
      </c>
    </row>
    <row r="24" spans="2:20" s="2" customFormat="1" x14ac:dyDescent="0.35">
      <c r="B24" s="2" t="s">
        <v>157</v>
      </c>
      <c r="H24" s="32" t="s">
        <v>25</v>
      </c>
      <c r="I24" s="7">
        <f>(I25+I26)/2*I27</f>
        <v>91.453999999999994</v>
      </c>
      <c r="J24" s="7">
        <f>(J25+J26)/2*J27</f>
        <v>274.36199999999997</v>
      </c>
      <c r="K24" s="7">
        <f t="shared" ref="K24:T24" si="7">(K25+K26)/2*K27</f>
        <v>457.27</v>
      </c>
      <c r="L24" s="7">
        <f t="shared" si="7"/>
        <v>638.1413714162162</v>
      </c>
      <c r="M24" s="7">
        <f t="shared" si="7"/>
        <v>813.2463071286486</v>
      </c>
      <c r="N24" s="7">
        <f t="shared" si="7"/>
        <v>981.38400064648658</v>
      </c>
      <c r="O24" s="7">
        <f t="shared" si="7"/>
        <v>1144.6068240151353</v>
      </c>
      <c r="P24" s="7">
        <f t="shared" si="7"/>
        <v>1296.9906563848649</v>
      </c>
      <c r="Q24" s="7">
        <f t="shared" si="7"/>
        <v>1434.61181219027</v>
      </c>
      <c r="R24" s="7">
        <f t="shared" si="7"/>
        <v>1561.0307267156752</v>
      </c>
      <c r="S24" s="7">
        <f t="shared" si="7"/>
        <v>1676.2473999610806</v>
      </c>
      <c r="T24" s="7">
        <f t="shared" si="7"/>
        <v>1780.2618319264861</v>
      </c>
    </row>
    <row r="25" spans="2:20" x14ac:dyDescent="0.35">
      <c r="C25" s="1" t="s">
        <v>154</v>
      </c>
      <c r="H25" s="32" t="s">
        <v>25</v>
      </c>
      <c r="I25" s="3">
        <f>I19</f>
        <v>0</v>
      </c>
      <c r="J25" s="3">
        <f>J19</f>
        <v>4572.7</v>
      </c>
      <c r="K25" s="3">
        <f t="shared" ref="K25:T25" si="8">K19</f>
        <v>9145.4</v>
      </c>
      <c r="L25" s="3">
        <f t="shared" si="8"/>
        <v>13718.099999999999</v>
      </c>
      <c r="M25" s="3">
        <f t="shared" si="8"/>
        <v>18188.968570810812</v>
      </c>
      <c r="N25" s="3">
        <f t="shared" si="8"/>
        <v>22473.346785621623</v>
      </c>
      <c r="O25" s="3">
        <f t="shared" si="8"/>
        <v>26595.853246702703</v>
      </c>
      <c r="P25" s="3">
        <f t="shared" si="8"/>
        <v>30634.487954054057</v>
      </c>
      <c r="Q25" s="3">
        <f t="shared" si="8"/>
        <v>34215.044865189186</v>
      </c>
      <c r="R25" s="3">
        <f t="shared" si="8"/>
        <v>37515.545744324314</v>
      </c>
      <c r="S25" s="3">
        <f t="shared" si="8"/>
        <v>40535.990591459449</v>
      </c>
      <c r="T25" s="3">
        <f t="shared" si="8"/>
        <v>43276.379406594584</v>
      </c>
    </row>
    <row r="26" spans="2:20" x14ac:dyDescent="0.35">
      <c r="C26" s="32" t="s">
        <v>153</v>
      </c>
      <c r="H26" s="32" t="s">
        <v>25</v>
      </c>
      <c r="I26" s="3">
        <f>I18</f>
        <v>4572.7</v>
      </c>
      <c r="J26" s="3">
        <f>J18</f>
        <v>9145.4</v>
      </c>
      <c r="K26" s="3">
        <f t="shared" ref="K26:T26" si="9">K18</f>
        <v>13718.099999999999</v>
      </c>
      <c r="L26" s="3">
        <f t="shared" si="9"/>
        <v>18188.968570810812</v>
      </c>
      <c r="M26" s="3">
        <f t="shared" si="9"/>
        <v>22473.346785621623</v>
      </c>
      <c r="N26" s="3">
        <f t="shared" si="9"/>
        <v>26595.853246702703</v>
      </c>
      <c r="O26" s="3">
        <f t="shared" si="9"/>
        <v>30634.487954054057</v>
      </c>
      <c r="P26" s="3">
        <f t="shared" si="9"/>
        <v>34215.044865189186</v>
      </c>
      <c r="Q26" s="3">
        <f t="shared" si="9"/>
        <v>37515.545744324314</v>
      </c>
      <c r="R26" s="3">
        <f t="shared" si="9"/>
        <v>40535.990591459449</v>
      </c>
      <c r="S26" s="3">
        <f t="shared" si="9"/>
        <v>43276.379406594584</v>
      </c>
      <c r="T26" s="3">
        <f t="shared" si="9"/>
        <v>45736.712189729718</v>
      </c>
    </row>
    <row r="27" spans="2:20" x14ac:dyDescent="0.35">
      <c r="C27" s="1" t="s">
        <v>158</v>
      </c>
      <c r="H27" s="32" t="s">
        <v>9</v>
      </c>
      <c r="I27" s="12">
        <v>0.04</v>
      </c>
      <c r="J27" s="5">
        <f>I27</f>
        <v>0.04</v>
      </c>
      <c r="K27" s="5">
        <f t="shared" ref="K27:T27" si="10">J27</f>
        <v>0.04</v>
      </c>
      <c r="L27" s="5">
        <f t="shared" si="10"/>
        <v>0.04</v>
      </c>
      <c r="M27" s="5">
        <f t="shared" si="10"/>
        <v>0.04</v>
      </c>
      <c r="N27" s="5">
        <f t="shared" si="10"/>
        <v>0.04</v>
      </c>
      <c r="O27" s="5">
        <f t="shared" si="10"/>
        <v>0.04</v>
      </c>
      <c r="P27" s="5">
        <f t="shared" si="10"/>
        <v>0.04</v>
      </c>
      <c r="Q27" s="5">
        <f t="shared" si="10"/>
        <v>0.04</v>
      </c>
      <c r="R27" s="5">
        <f t="shared" si="10"/>
        <v>0.04</v>
      </c>
      <c r="S27" s="5">
        <f t="shared" si="10"/>
        <v>0.04</v>
      </c>
      <c r="T27" s="5">
        <f t="shared" si="10"/>
        <v>0.04</v>
      </c>
    </row>
    <row r="30" spans="2:20" s="2" customFormat="1" x14ac:dyDescent="0.35">
      <c r="B30" s="2" t="s">
        <v>164</v>
      </c>
      <c r="H30" s="32" t="s">
        <v>25</v>
      </c>
      <c r="J30" s="7">
        <f>MAX(J31*J32,0)</f>
        <v>26.610314486486487</v>
      </c>
      <c r="K30" s="7">
        <f t="shared" ref="K30:T30" si="11">MAX(K31*K32,0)</f>
        <v>20.427035198918912</v>
      </c>
      <c r="L30" s="7">
        <f t="shared" si="11"/>
        <v>14.893913680637834</v>
      </c>
      <c r="M30" s="7">
        <f t="shared" si="11"/>
        <v>9.7006957843631287</v>
      </c>
      <c r="N30" s="7">
        <f t="shared" si="11"/>
        <v>6.59866799200136</v>
      </c>
      <c r="O30" s="7">
        <f t="shared" si="11"/>
        <v>5.103980573564618</v>
      </c>
      <c r="P30" s="7">
        <f t="shared" si="11"/>
        <v>2.7618556342840477</v>
      </c>
      <c r="Q30" s="7">
        <f t="shared" si="11"/>
        <v>0.83582395975121471</v>
      </c>
      <c r="R30" s="7">
        <f t="shared" si="11"/>
        <v>1.2578908904189963</v>
      </c>
      <c r="S30" s="7">
        <f t="shared" si="11"/>
        <v>4.1635598251394121</v>
      </c>
      <c r="T30" s="7">
        <f t="shared" si="11"/>
        <v>9.6896891967529832</v>
      </c>
    </row>
    <row r="31" spans="2:20" x14ac:dyDescent="0.35">
      <c r="C31" s="1" t="s">
        <v>165</v>
      </c>
      <c r="H31" s="32" t="s">
        <v>25</v>
      </c>
      <c r="J31" s="33">
        <f>'Total Chain'!I88</f>
        <v>2661.0314486486486</v>
      </c>
      <c r="K31" s="33">
        <f>'Total Chain'!J88</f>
        <v>2042.7035198918911</v>
      </c>
      <c r="L31" s="33">
        <f>'Total Chain'!K88</f>
        <v>1489.3913680637834</v>
      </c>
      <c r="M31" s="33">
        <f>'Total Chain'!L88</f>
        <v>970.0695784363129</v>
      </c>
      <c r="N31" s="33">
        <f>'Total Chain'!M88</f>
        <v>659.86679920013603</v>
      </c>
      <c r="O31" s="33">
        <f>'Total Chain'!N88</f>
        <v>510.39805735646178</v>
      </c>
      <c r="P31" s="33">
        <f>'Total Chain'!O88</f>
        <v>276.18556342840475</v>
      </c>
      <c r="Q31" s="33">
        <f>'Total Chain'!P88</f>
        <v>83.582395975121472</v>
      </c>
      <c r="R31" s="33">
        <f>'Total Chain'!Q88</f>
        <v>125.78908904189962</v>
      </c>
      <c r="S31" s="33">
        <f>'Total Chain'!R88</f>
        <v>416.35598251394117</v>
      </c>
      <c r="T31" s="33">
        <f>'Total Chain'!S88</f>
        <v>968.96891967529837</v>
      </c>
    </row>
    <row r="32" spans="2:20" x14ac:dyDescent="0.35">
      <c r="C32" s="1" t="s">
        <v>158</v>
      </c>
      <c r="H32" s="32" t="s">
        <v>9</v>
      </c>
      <c r="J32" s="12">
        <v>0.01</v>
      </c>
      <c r="K32" s="5">
        <f>J32</f>
        <v>0.01</v>
      </c>
      <c r="L32" s="5">
        <f t="shared" ref="L32:T32" si="12">K32</f>
        <v>0.01</v>
      </c>
      <c r="M32" s="5">
        <f t="shared" si="12"/>
        <v>0.01</v>
      </c>
      <c r="N32" s="5">
        <f t="shared" si="12"/>
        <v>0.01</v>
      </c>
      <c r="O32" s="5">
        <f t="shared" si="12"/>
        <v>0.01</v>
      </c>
      <c r="P32" s="5">
        <f t="shared" si="12"/>
        <v>0.01</v>
      </c>
      <c r="Q32" s="5">
        <f t="shared" si="12"/>
        <v>0.01</v>
      </c>
      <c r="R32" s="5">
        <f t="shared" si="12"/>
        <v>0.01</v>
      </c>
      <c r="S32" s="5">
        <f t="shared" si="12"/>
        <v>0.01</v>
      </c>
      <c r="T32" s="5">
        <f t="shared" si="12"/>
        <v>0.01</v>
      </c>
    </row>
  </sheetData>
  <hyperlinks>
    <hyperlink ref="K2" location="Master!A1" display="back" xr:uid="{E1AA1626-125E-4A7A-894B-CEE09EB6194F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W96"/>
  <sheetViews>
    <sheetView zoomScale="60" zoomScaleNormal="60" workbookViewId="0">
      <pane xSplit="8" ySplit="6" topLeftCell="I71" activePane="bottomRight" state="frozen"/>
      <selection pane="topRight" activeCell="I1" sqref="I1"/>
      <selection pane="bottomLeft" activeCell="A7" sqref="A7"/>
      <selection pane="bottomRight" activeCell="P84" sqref="P84"/>
    </sheetView>
  </sheetViews>
  <sheetFormatPr defaultColWidth="9.1796875" defaultRowHeight="14.5" outlineLevelRow="1" x14ac:dyDescent="0.35"/>
  <cols>
    <col min="1" max="1" width="9.1796875" style="1"/>
    <col min="2" max="2" width="5.54296875" style="1" customWidth="1"/>
    <col min="3" max="5" width="9.1796875" style="1"/>
    <col min="6" max="6" width="10" style="1" bestFit="1" customWidth="1"/>
    <col min="7" max="7" width="9.1796875" style="3"/>
    <col min="8" max="8" width="9.6328125" style="3" bestFit="1" customWidth="1"/>
    <col min="9" max="18" width="9.1796875" style="3"/>
    <col min="19" max="16384" width="9.1796875" style="1"/>
  </cols>
  <sheetData>
    <row r="1" spans="1:20" x14ac:dyDescent="0.35">
      <c r="A1" s="2" t="s">
        <v>58</v>
      </c>
    </row>
    <row r="2" spans="1:20" x14ac:dyDescent="0.35">
      <c r="A2" s="1" t="s">
        <v>28</v>
      </c>
      <c r="H2" s="25"/>
      <c r="I2" s="15" t="s">
        <v>24</v>
      </c>
    </row>
    <row r="5" spans="1:20" x14ac:dyDescent="0.35">
      <c r="I5" s="7" t="s">
        <v>27</v>
      </c>
      <c r="S5" s="3"/>
      <c r="T5" s="3"/>
    </row>
    <row r="6" spans="1:20" x14ac:dyDescent="0.35">
      <c r="I6" s="7">
        <v>1</v>
      </c>
      <c r="J6" s="7">
        <v>2</v>
      </c>
      <c r="K6" s="7">
        <v>3</v>
      </c>
      <c r="L6" s="7">
        <v>4</v>
      </c>
      <c r="M6" s="7">
        <v>5</v>
      </c>
      <c r="N6" s="7">
        <v>6</v>
      </c>
      <c r="O6" s="7">
        <v>7</v>
      </c>
      <c r="P6" s="7">
        <v>8</v>
      </c>
      <c r="Q6" s="7">
        <v>9</v>
      </c>
      <c r="R6" s="7">
        <v>10</v>
      </c>
      <c r="S6" s="7">
        <v>11</v>
      </c>
      <c r="T6" s="7">
        <v>12</v>
      </c>
    </row>
    <row r="7" spans="1:20" x14ac:dyDescent="0.35">
      <c r="H7" s="1"/>
      <c r="S7" s="3"/>
      <c r="T7" s="3"/>
    </row>
    <row r="8" spans="1:20" x14ac:dyDescent="0.35">
      <c r="B8" s="2" t="s">
        <v>124</v>
      </c>
      <c r="H8" s="1"/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</row>
    <row r="9" spans="1:20" x14ac:dyDescent="0.35">
      <c r="B9" s="1" t="s">
        <v>125</v>
      </c>
      <c r="H9" s="1"/>
      <c r="I9" s="3">
        <f>I8</f>
        <v>1</v>
      </c>
      <c r="J9" s="3">
        <f>I9+J8</f>
        <v>2</v>
      </c>
      <c r="K9" s="3">
        <f t="shared" ref="K9:O9" si="0">J9+K8</f>
        <v>3</v>
      </c>
      <c r="L9" s="3">
        <f t="shared" si="0"/>
        <v>4</v>
      </c>
      <c r="M9" s="3">
        <f t="shared" si="0"/>
        <v>5</v>
      </c>
      <c r="N9" s="3">
        <f t="shared" si="0"/>
        <v>6</v>
      </c>
      <c r="O9" s="3">
        <f t="shared" si="0"/>
        <v>7</v>
      </c>
      <c r="P9" s="3">
        <f t="shared" ref="P9" si="1">O9+P8</f>
        <v>8</v>
      </c>
      <c r="Q9" s="3">
        <f t="shared" ref="Q9" si="2">P9+Q8</f>
        <v>9</v>
      </c>
      <c r="R9" s="3">
        <f t="shared" ref="R9" si="3">Q9+R8</f>
        <v>10</v>
      </c>
      <c r="S9" s="3">
        <f t="shared" ref="S9" si="4">R9+S8</f>
        <v>11</v>
      </c>
      <c r="T9" s="3">
        <f t="shared" ref="T9" si="5">S9+T8</f>
        <v>12</v>
      </c>
    </row>
    <row r="10" spans="1:20" x14ac:dyDescent="0.35">
      <c r="H10" s="1"/>
      <c r="S10" s="3"/>
      <c r="T10" s="3"/>
    </row>
    <row r="11" spans="1:20" x14ac:dyDescent="0.35">
      <c r="H11" s="1"/>
      <c r="S11" s="3"/>
      <c r="T11" s="3"/>
    </row>
    <row r="12" spans="1:20" x14ac:dyDescent="0.35">
      <c r="B12" s="2" t="s">
        <v>123</v>
      </c>
      <c r="H12" s="1" t="s">
        <v>25</v>
      </c>
      <c r="I12" s="7">
        <f>SUM(I13:I24)</f>
        <v>718.2</v>
      </c>
      <c r="J12" s="7">
        <f>SUM(J13:J24)</f>
        <v>1701</v>
      </c>
      <c r="K12" s="7">
        <f t="shared" ref="J12:T12" si="6">SUM(K13:K24)</f>
        <v>2918.16</v>
      </c>
      <c r="L12" s="7">
        <f t="shared" si="6"/>
        <v>4309.2</v>
      </c>
      <c r="M12" s="7">
        <f t="shared" si="6"/>
        <v>5787.18</v>
      </c>
      <c r="N12" s="7">
        <f t="shared" si="6"/>
        <v>7352.1</v>
      </c>
      <c r="O12" s="7">
        <f t="shared" si="6"/>
        <v>8917.02</v>
      </c>
      <c r="P12" s="7">
        <f t="shared" si="6"/>
        <v>10481.94</v>
      </c>
      <c r="Q12" s="7">
        <f t="shared" si="6"/>
        <v>12046.86</v>
      </c>
      <c r="R12" s="7">
        <f t="shared" si="6"/>
        <v>13611.779999999999</v>
      </c>
      <c r="S12" s="7">
        <f t="shared" si="6"/>
        <v>15176.7</v>
      </c>
      <c r="T12" s="7">
        <f t="shared" si="6"/>
        <v>16741.62</v>
      </c>
    </row>
    <row r="13" spans="1:20" hidden="1" outlineLevel="1" x14ac:dyDescent="0.35">
      <c r="B13" s="2"/>
      <c r="C13" s="1">
        <v>1</v>
      </c>
      <c r="H13" s="1" t="s">
        <v>25</v>
      </c>
      <c r="I13" s="3">
        <f>SUMIFS(Hotel!$8:$8,Hotel!$6:$6,I$6-$C13+1)*HLOOKUP($C13,$I$6:$T$8,3,0)</f>
        <v>718.2</v>
      </c>
      <c r="J13" s="3">
        <f>SUMIFS(Hotel!$8:$8,Hotel!$6:$6,J$6-$C13+1)*HLOOKUP($C13,$I$6:$T$8,3,0)</f>
        <v>982.8</v>
      </c>
      <c r="K13" s="3">
        <f>SUMIFS(Hotel!$8:$8,Hotel!$6:$6,K$6-$C13+1)*HLOOKUP($C13,$I$6:$T$8,3,0)</f>
        <v>1217.1600000000001</v>
      </c>
      <c r="L13" s="3">
        <f>SUMIFS(Hotel!$8:$8,Hotel!$6:$6,L$6-$C13+1)*HLOOKUP($C13,$I$6:$T$8,3,0)</f>
        <v>1391.04</v>
      </c>
      <c r="M13" s="3">
        <f>SUMIFS(Hotel!$8:$8,Hotel!$6:$6,M$6-$C13+1)*HLOOKUP($C13,$I$6:$T$8,3,0)</f>
        <v>1477.98</v>
      </c>
      <c r="N13" s="3">
        <f>SUMIFS(Hotel!$8:$8,Hotel!$6:$6,N$6-$C13+1)*HLOOKUP($C13,$I$6:$T$8,3,0)</f>
        <v>1564.92</v>
      </c>
      <c r="O13" s="3">
        <f>SUMIFS(Hotel!$8:$8,Hotel!$6:$6,O$6-$C13+1)*HLOOKUP($C13,$I$6:$T$8,3,0)</f>
        <v>1564.92</v>
      </c>
      <c r="P13" s="3">
        <f>SUMIFS(Hotel!$8:$8,Hotel!$6:$6,P$6-$C13+1)*HLOOKUP($C13,$I$6:$T$8,3,0)</f>
        <v>1564.92</v>
      </c>
      <c r="Q13" s="3">
        <f>SUMIFS(Hotel!$8:$8,Hotel!$6:$6,Q$6-$C13+1)*HLOOKUP($C13,$I$6:$T$8,3,0)</f>
        <v>1564.92</v>
      </c>
      <c r="R13" s="3">
        <f>SUMIFS(Hotel!$8:$8,Hotel!$6:$6,R$6-$C13+1)*HLOOKUP($C13,$I$6:$T$8,3,0)</f>
        <v>1564.92</v>
      </c>
      <c r="S13" s="3">
        <f>SUMIFS(Hotel!$8:$8,Hotel!$6:$6,S$6-$C13+1)*HLOOKUP($C13,$I$6:$T$8,3,0)</f>
        <v>1564.92</v>
      </c>
      <c r="T13" s="3">
        <f>SUMIFS(Hotel!$8:$8,Hotel!$6:$6,T$6-$C13+1)*HLOOKUP($C13,$I$6:$T$8,3,0)</f>
        <v>1564.92</v>
      </c>
    </row>
    <row r="14" spans="1:20" hidden="1" outlineLevel="1" x14ac:dyDescent="0.35">
      <c r="C14" s="13">
        <v>2</v>
      </c>
      <c r="H14" s="1" t="s">
        <v>25</v>
      </c>
      <c r="I14" s="3">
        <f>SUMIFS(Hotel!$8:$8,Hotel!$6:$6,I$6-$C14+1)*HLOOKUP($C14,$I$6:$T$8,3,0)</f>
        <v>0</v>
      </c>
      <c r="J14" s="3">
        <f>SUMIFS(Hotel!$8:$8,Hotel!$6:$6,J$6-$C14+1)*HLOOKUP($C14,$I$6:$T$8,3,0)</f>
        <v>718.2</v>
      </c>
      <c r="K14" s="3">
        <f>SUMIFS(Hotel!$8:$8,Hotel!$6:$6,K$6-$C14+1)*HLOOKUP($C14,$I$6:$T$8,3,0)</f>
        <v>982.8</v>
      </c>
      <c r="L14" s="3">
        <f>SUMIFS(Hotel!$8:$8,Hotel!$6:$6,L$6-$C14+1)*HLOOKUP($C14,$I$6:$T$8,3,0)</f>
        <v>1217.1600000000001</v>
      </c>
      <c r="M14" s="3">
        <f>SUMIFS(Hotel!$8:$8,Hotel!$6:$6,M$6-$C14+1)*HLOOKUP($C14,$I$6:$T$8,3,0)</f>
        <v>1391.04</v>
      </c>
      <c r="N14" s="3">
        <f>SUMIFS(Hotel!$8:$8,Hotel!$6:$6,N$6-$C14+1)*HLOOKUP($C14,$I$6:$T$8,3,0)</f>
        <v>1477.98</v>
      </c>
      <c r="O14" s="3">
        <f>SUMIFS(Hotel!$8:$8,Hotel!$6:$6,O$6-$C14+1)*HLOOKUP($C14,$I$6:$T$8,3,0)</f>
        <v>1564.92</v>
      </c>
      <c r="P14" s="3">
        <f>SUMIFS(Hotel!$8:$8,Hotel!$6:$6,P$6-$C14+1)*HLOOKUP($C14,$I$6:$T$8,3,0)</f>
        <v>1564.92</v>
      </c>
      <c r="Q14" s="3">
        <f>SUMIFS(Hotel!$8:$8,Hotel!$6:$6,Q$6-$C14+1)*HLOOKUP($C14,$I$6:$T$8,3,0)</f>
        <v>1564.92</v>
      </c>
      <c r="R14" s="3">
        <f>SUMIFS(Hotel!$8:$8,Hotel!$6:$6,R$6-$C14+1)*HLOOKUP($C14,$I$6:$T$8,3,0)</f>
        <v>1564.92</v>
      </c>
      <c r="S14" s="3">
        <f>SUMIFS(Hotel!$8:$8,Hotel!$6:$6,S$6-$C14+1)*HLOOKUP($C14,$I$6:$T$8,3,0)</f>
        <v>1564.92</v>
      </c>
      <c r="T14" s="3">
        <f>SUMIFS(Hotel!$8:$8,Hotel!$6:$6,T$6-$C14+1)*HLOOKUP($C14,$I$6:$T$8,3,0)</f>
        <v>1564.92</v>
      </c>
    </row>
    <row r="15" spans="1:20" hidden="1" outlineLevel="1" x14ac:dyDescent="0.35">
      <c r="C15" s="1">
        <v>3</v>
      </c>
      <c r="H15" s="1" t="s">
        <v>25</v>
      </c>
      <c r="I15" s="3">
        <f>SUMIFS(Hotel!$8:$8,Hotel!$6:$6,I$6-$C15+1)*HLOOKUP($C15,$I$6:$T$8,3,0)</f>
        <v>0</v>
      </c>
      <c r="J15" s="3">
        <f>SUMIFS(Hotel!$8:$8,Hotel!$6:$6,J$6-$C15+1)*HLOOKUP($C15,$I$6:$T$8,3,0)</f>
        <v>0</v>
      </c>
      <c r="K15" s="3">
        <f>SUMIFS(Hotel!$8:$8,Hotel!$6:$6,K$6-$C15+1)*HLOOKUP($C15,$I$6:$T$8,3,0)</f>
        <v>718.2</v>
      </c>
      <c r="L15" s="3">
        <f>SUMIFS(Hotel!$8:$8,Hotel!$6:$6,L$6-$C15+1)*HLOOKUP($C15,$I$6:$T$8,3,0)</f>
        <v>982.8</v>
      </c>
      <c r="M15" s="3">
        <f>SUMIFS(Hotel!$8:$8,Hotel!$6:$6,M$6-$C15+1)*HLOOKUP($C15,$I$6:$T$8,3,0)</f>
        <v>1217.1600000000001</v>
      </c>
      <c r="N15" s="3">
        <f>SUMIFS(Hotel!$8:$8,Hotel!$6:$6,N$6-$C15+1)*HLOOKUP($C15,$I$6:$T$8,3,0)</f>
        <v>1391.04</v>
      </c>
      <c r="O15" s="3">
        <f>SUMIFS(Hotel!$8:$8,Hotel!$6:$6,O$6-$C15+1)*HLOOKUP($C15,$I$6:$T$8,3,0)</f>
        <v>1477.98</v>
      </c>
      <c r="P15" s="3">
        <f>SUMIFS(Hotel!$8:$8,Hotel!$6:$6,P$6-$C15+1)*HLOOKUP($C15,$I$6:$T$8,3,0)</f>
        <v>1564.92</v>
      </c>
      <c r="Q15" s="3">
        <f>SUMIFS(Hotel!$8:$8,Hotel!$6:$6,Q$6-$C15+1)*HLOOKUP($C15,$I$6:$T$8,3,0)</f>
        <v>1564.92</v>
      </c>
      <c r="R15" s="3">
        <f>SUMIFS(Hotel!$8:$8,Hotel!$6:$6,R$6-$C15+1)*HLOOKUP($C15,$I$6:$T$8,3,0)</f>
        <v>1564.92</v>
      </c>
      <c r="S15" s="3">
        <f>SUMIFS(Hotel!$8:$8,Hotel!$6:$6,S$6-$C15+1)*HLOOKUP($C15,$I$6:$T$8,3,0)</f>
        <v>1564.92</v>
      </c>
      <c r="T15" s="3">
        <f>SUMIFS(Hotel!$8:$8,Hotel!$6:$6,T$6-$C15+1)*HLOOKUP($C15,$I$6:$T$8,3,0)</f>
        <v>1564.92</v>
      </c>
    </row>
    <row r="16" spans="1:20" hidden="1" outlineLevel="1" x14ac:dyDescent="0.35">
      <c r="C16" s="13">
        <v>4</v>
      </c>
      <c r="H16" s="1" t="s">
        <v>25</v>
      </c>
      <c r="I16" s="3">
        <f>SUMIFS(Hotel!$8:$8,Hotel!$6:$6,I$6-$C16+1)*HLOOKUP($C16,$I$6:$T$8,3,0)</f>
        <v>0</v>
      </c>
      <c r="J16" s="3">
        <f>SUMIFS(Hotel!$8:$8,Hotel!$6:$6,J$6-$C16+1)*HLOOKUP($C16,$I$6:$T$8,3,0)</f>
        <v>0</v>
      </c>
      <c r="K16" s="3">
        <f>SUMIFS(Hotel!$8:$8,Hotel!$6:$6,K$6-$C16+1)*HLOOKUP($C16,$I$6:$T$8,3,0)</f>
        <v>0</v>
      </c>
      <c r="L16" s="3">
        <f>SUMIFS(Hotel!$8:$8,Hotel!$6:$6,L$6-$C16+1)*HLOOKUP($C16,$I$6:$T$8,3,0)</f>
        <v>718.2</v>
      </c>
      <c r="M16" s="3">
        <f>SUMIFS(Hotel!$8:$8,Hotel!$6:$6,M$6-$C16+1)*HLOOKUP($C16,$I$6:$T$8,3,0)</f>
        <v>982.8</v>
      </c>
      <c r="N16" s="3">
        <f>SUMIFS(Hotel!$8:$8,Hotel!$6:$6,N$6-$C16+1)*HLOOKUP($C16,$I$6:$T$8,3,0)</f>
        <v>1217.1600000000001</v>
      </c>
      <c r="O16" s="3">
        <f>SUMIFS(Hotel!$8:$8,Hotel!$6:$6,O$6-$C16+1)*HLOOKUP($C16,$I$6:$T$8,3,0)</f>
        <v>1391.04</v>
      </c>
      <c r="P16" s="3">
        <f>SUMIFS(Hotel!$8:$8,Hotel!$6:$6,P$6-$C16+1)*HLOOKUP($C16,$I$6:$T$8,3,0)</f>
        <v>1477.98</v>
      </c>
      <c r="Q16" s="3">
        <f>SUMIFS(Hotel!$8:$8,Hotel!$6:$6,Q$6-$C16+1)*HLOOKUP($C16,$I$6:$T$8,3,0)</f>
        <v>1564.92</v>
      </c>
      <c r="R16" s="3">
        <f>SUMIFS(Hotel!$8:$8,Hotel!$6:$6,R$6-$C16+1)*HLOOKUP($C16,$I$6:$T$8,3,0)</f>
        <v>1564.92</v>
      </c>
      <c r="S16" s="3">
        <f>SUMIFS(Hotel!$8:$8,Hotel!$6:$6,S$6-$C16+1)*HLOOKUP($C16,$I$6:$T$8,3,0)</f>
        <v>1564.92</v>
      </c>
      <c r="T16" s="3">
        <f>SUMIFS(Hotel!$8:$8,Hotel!$6:$6,T$6-$C16+1)*HLOOKUP($C16,$I$6:$T$8,3,0)</f>
        <v>1564.92</v>
      </c>
    </row>
    <row r="17" spans="2:20" hidden="1" outlineLevel="1" x14ac:dyDescent="0.35">
      <c r="C17" s="1">
        <v>5</v>
      </c>
      <c r="H17" s="1" t="s">
        <v>25</v>
      </c>
      <c r="I17" s="3">
        <f>SUMIFS(Hotel!$8:$8,Hotel!$6:$6,I$6-$C17+1)*HLOOKUP($C17,$I$6:$T$8,3,0)</f>
        <v>0</v>
      </c>
      <c r="J17" s="3">
        <f>SUMIFS(Hotel!$8:$8,Hotel!$6:$6,J$6-$C17+1)*HLOOKUP($C17,$I$6:$T$8,3,0)</f>
        <v>0</v>
      </c>
      <c r="K17" s="3">
        <f>SUMIFS(Hotel!$8:$8,Hotel!$6:$6,K$6-$C17+1)*HLOOKUP($C17,$I$6:$T$8,3,0)</f>
        <v>0</v>
      </c>
      <c r="L17" s="3">
        <f>SUMIFS(Hotel!$8:$8,Hotel!$6:$6,L$6-$C17+1)*HLOOKUP($C17,$I$6:$T$8,3,0)</f>
        <v>0</v>
      </c>
      <c r="M17" s="3">
        <f>SUMIFS(Hotel!$8:$8,Hotel!$6:$6,M$6-$C17+1)*HLOOKUP($C17,$I$6:$T$8,3,0)</f>
        <v>718.2</v>
      </c>
      <c r="N17" s="3">
        <f>SUMIFS(Hotel!$8:$8,Hotel!$6:$6,N$6-$C17+1)*HLOOKUP($C17,$I$6:$T$8,3,0)</f>
        <v>982.8</v>
      </c>
      <c r="O17" s="3">
        <f>SUMIFS(Hotel!$8:$8,Hotel!$6:$6,O$6-$C17+1)*HLOOKUP($C17,$I$6:$T$8,3,0)</f>
        <v>1217.1600000000001</v>
      </c>
      <c r="P17" s="3">
        <f>SUMIFS(Hotel!$8:$8,Hotel!$6:$6,P$6-$C17+1)*HLOOKUP($C17,$I$6:$T$8,3,0)</f>
        <v>1391.04</v>
      </c>
      <c r="Q17" s="3">
        <f>SUMIFS(Hotel!$8:$8,Hotel!$6:$6,Q$6-$C17+1)*HLOOKUP($C17,$I$6:$T$8,3,0)</f>
        <v>1477.98</v>
      </c>
      <c r="R17" s="3">
        <f>SUMIFS(Hotel!$8:$8,Hotel!$6:$6,R$6-$C17+1)*HLOOKUP($C17,$I$6:$T$8,3,0)</f>
        <v>1564.92</v>
      </c>
      <c r="S17" s="3">
        <f>SUMIFS(Hotel!$8:$8,Hotel!$6:$6,S$6-$C17+1)*HLOOKUP($C17,$I$6:$T$8,3,0)</f>
        <v>1564.92</v>
      </c>
      <c r="T17" s="3">
        <f>SUMIFS(Hotel!$8:$8,Hotel!$6:$6,T$6-$C17+1)*HLOOKUP($C17,$I$6:$T$8,3,0)</f>
        <v>1564.92</v>
      </c>
    </row>
    <row r="18" spans="2:20" hidden="1" outlineLevel="1" x14ac:dyDescent="0.35">
      <c r="B18" s="2"/>
      <c r="C18" s="13">
        <v>6</v>
      </c>
      <c r="H18" s="1" t="s">
        <v>25</v>
      </c>
      <c r="I18" s="3">
        <f>SUMIFS(Hotel!$8:$8,Hotel!$6:$6,I$6-$C18+1)*HLOOKUP($C18,$I$6:$T$8,3,0)</f>
        <v>0</v>
      </c>
      <c r="J18" s="3">
        <f>SUMIFS(Hotel!$8:$8,Hotel!$6:$6,J$6-$C18+1)*HLOOKUP($C18,$I$6:$T$8,3,0)</f>
        <v>0</v>
      </c>
      <c r="K18" s="3">
        <f>SUMIFS(Hotel!$8:$8,Hotel!$6:$6,K$6-$C18+1)*HLOOKUP($C18,$I$6:$T$8,3,0)</f>
        <v>0</v>
      </c>
      <c r="L18" s="3">
        <f>SUMIFS(Hotel!$8:$8,Hotel!$6:$6,L$6-$C18+1)*HLOOKUP($C18,$I$6:$T$8,3,0)</f>
        <v>0</v>
      </c>
      <c r="M18" s="3">
        <f>SUMIFS(Hotel!$8:$8,Hotel!$6:$6,M$6-$C18+1)*HLOOKUP($C18,$I$6:$T$8,3,0)</f>
        <v>0</v>
      </c>
      <c r="N18" s="3">
        <f>SUMIFS(Hotel!$8:$8,Hotel!$6:$6,N$6-$C18+1)*HLOOKUP($C18,$I$6:$T$8,3,0)</f>
        <v>718.2</v>
      </c>
      <c r="O18" s="3">
        <f>SUMIFS(Hotel!$8:$8,Hotel!$6:$6,O$6-$C18+1)*HLOOKUP($C18,$I$6:$T$8,3,0)</f>
        <v>982.8</v>
      </c>
      <c r="P18" s="3">
        <f>SUMIFS(Hotel!$8:$8,Hotel!$6:$6,P$6-$C18+1)*HLOOKUP($C18,$I$6:$T$8,3,0)</f>
        <v>1217.1600000000001</v>
      </c>
      <c r="Q18" s="3">
        <f>SUMIFS(Hotel!$8:$8,Hotel!$6:$6,Q$6-$C18+1)*HLOOKUP($C18,$I$6:$T$8,3,0)</f>
        <v>1391.04</v>
      </c>
      <c r="R18" s="3">
        <f>SUMIFS(Hotel!$8:$8,Hotel!$6:$6,R$6-$C18+1)*HLOOKUP($C18,$I$6:$T$8,3,0)</f>
        <v>1477.98</v>
      </c>
      <c r="S18" s="3">
        <f>SUMIFS(Hotel!$8:$8,Hotel!$6:$6,S$6-$C18+1)*HLOOKUP($C18,$I$6:$T$8,3,0)</f>
        <v>1564.92</v>
      </c>
      <c r="T18" s="3">
        <f>SUMIFS(Hotel!$8:$8,Hotel!$6:$6,T$6-$C18+1)*HLOOKUP($C18,$I$6:$T$8,3,0)</f>
        <v>1564.92</v>
      </c>
    </row>
    <row r="19" spans="2:20" hidden="1" outlineLevel="1" x14ac:dyDescent="0.35">
      <c r="C19" s="1">
        <v>7</v>
      </c>
      <c r="H19" s="1" t="s">
        <v>25</v>
      </c>
      <c r="I19" s="3">
        <f>SUMIFS(Hotel!$8:$8,Hotel!$6:$6,I$6-$C19+1)*HLOOKUP($C19,$I$6:$T$8,3,0)</f>
        <v>0</v>
      </c>
      <c r="J19" s="3">
        <f>SUMIFS(Hotel!$8:$8,Hotel!$6:$6,J$6-$C19+1)*HLOOKUP($C19,$I$6:$T$8,3,0)</f>
        <v>0</v>
      </c>
      <c r="K19" s="3">
        <f>SUMIFS(Hotel!$8:$8,Hotel!$6:$6,K$6-$C19+1)*HLOOKUP($C19,$I$6:$T$8,3,0)</f>
        <v>0</v>
      </c>
      <c r="L19" s="3">
        <f>SUMIFS(Hotel!$8:$8,Hotel!$6:$6,L$6-$C19+1)*HLOOKUP($C19,$I$6:$T$8,3,0)</f>
        <v>0</v>
      </c>
      <c r="M19" s="3">
        <f>SUMIFS(Hotel!$8:$8,Hotel!$6:$6,M$6-$C19+1)*HLOOKUP($C19,$I$6:$T$8,3,0)</f>
        <v>0</v>
      </c>
      <c r="N19" s="3">
        <f>SUMIFS(Hotel!$8:$8,Hotel!$6:$6,N$6-$C19+1)*HLOOKUP($C19,$I$6:$T$8,3,0)</f>
        <v>0</v>
      </c>
      <c r="O19" s="3">
        <f>SUMIFS(Hotel!$8:$8,Hotel!$6:$6,O$6-$C19+1)*HLOOKUP($C19,$I$6:$T$8,3,0)</f>
        <v>718.2</v>
      </c>
      <c r="P19" s="3">
        <f>SUMIFS(Hotel!$8:$8,Hotel!$6:$6,P$6-$C19+1)*HLOOKUP($C19,$I$6:$T$8,3,0)</f>
        <v>982.8</v>
      </c>
      <c r="Q19" s="3">
        <f>SUMIFS(Hotel!$8:$8,Hotel!$6:$6,Q$6-$C19+1)*HLOOKUP($C19,$I$6:$T$8,3,0)</f>
        <v>1217.1600000000001</v>
      </c>
      <c r="R19" s="3">
        <f>SUMIFS(Hotel!$8:$8,Hotel!$6:$6,R$6-$C19+1)*HLOOKUP($C19,$I$6:$T$8,3,0)</f>
        <v>1391.04</v>
      </c>
      <c r="S19" s="3">
        <f>SUMIFS(Hotel!$8:$8,Hotel!$6:$6,S$6-$C19+1)*HLOOKUP($C19,$I$6:$T$8,3,0)</f>
        <v>1477.98</v>
      </c>
      <c r="T19" s="3">
        <f>SUMIFS(Hotel!$8:$8,Hotel!$6:$6,T$6-$C19+1)*HLOOKUP($C19,$I$6:$T$8,3,0)</f>
        <v>1564.92</v>
      </c>
    </row>
    <row r="20" spans="2:20" hidden="1" outlineLevel="1" x14ac:dyDescent="0.35">
      <c r="C20" s="1">
        <v>8</v>
      </c>
      <c r="H20" s="1" t="s">
        <v>25</v>
      </c>
      <c r="I20" s="3">
        <f>SUMIFS(Hotel!$8:$8,Hotel!$6:$6,I$6-$C20+1)*HLOOKUP($C20,$I$6:$T$8,3,0)</f>
        <v>0</v>
      </c>
      <c r="J20" s="3">
        <f>SUMIFS(Hotel!$8:$8,Hotel!$6:$6,J$6-$C20+1)*HLOOKUP($C20,$I$6:$T$8,3,0)</f>
        <v>0</v>
      </c>
      <c r="K20" s="3">
        <f>SUMIFS(Hotel!$8:$8,Hotel!$6:$6,K$6-$C20+1)*HLOOKUP($C20,$I$6:$T$8,3,0)</f>
        <v>0</v>
      </c>
      <c r="L20" s="3">
        <f>SUMIFS(Hotel!$8:$8,Hotel!$6:$6,L$6-$C20+1)*HLOOKUP($C20,$I$6:$T$8,3,0)</f>
        <v>0</v>
      </c>
      <c r="M20" s="3">
        <f>SUMIFS(Hotel!$8:$8,Hotel!$6:$6,M$6-$C20+1)*HLOOKUP($C20,$I$6:$T$8,3,0)</f>
        <v>0</v>
      </c>
      <c r="N20" s="3">
        <f>SUMIFS(Hotel!$8:$8,Hotel!$6:$6,N$6-$C20+1)*HLOOKUP($C20,$I$6:$T$8,3,0)</f>
        <v>0</v>
      </c>
      <c r="O20" s="3">
        <f>SUMIFS(Hotel!$8:$8,Hotel!$6:$6,O$6-$C20+1)*HLOOKUP($C20,$I$6:$T$8,3,0)</f>
        <v>0</v>
      </c>
      <c r="P20" s="3">
        <f>SUMIFS(Hotel!$8:$8,Hotel!$6:$6,P$6-$C20+1)*HLOOKUP($C20,$I$6:$T$8,3,0)</f>
        <v>718.2</v>
      </c>
      <c r="Q20" s="3">
        <f>SUMIFS(Hotel!$8:$8,Hotel!$6:$6,Q$6-$C20+1)*HLOOKUP($C20,$I$6:$T$8,3,0)</f>
        <v>982.8</v>
      </c>
      <c r="R20" s="3">
        <f>SUMIFS(Hotel!$8:$8,Hotel!$6:$6,R$6-$C20+1)*HLOOKUP($C20,$I$6:$T$8,3,0)</f>
        <v>1217.1600000000001</v>
      </c>
      <c r="S20" s="3">
        <f>SUMIFS(Hotel!$8:$8,Hotel!$6:$6,S$6-$C20+1)*HLOOKUP($C20,$I$6:$T$8,3,0)</f>
        <v>1391.04</v>
      </c>
      <c r="T20" s="3">
        <f>SUMIFS(Hotel!$8:$8,Hotel!$6:$6,T$6-$C20+1)*HLOOKUP($C20,$I$6:$T$8,3,0)</f>
        <v>1477.98</v>
      </c>
    </row>
    <row r="21" spans="2:20" hidden="1" outlineLevel="1" x14ac:dyDescent="0.35">
      <c r="C21" s="13">
        <v>9</v>
      </c>
      <c r="H21" s="1" t="s">
        <v>25</v>
      </c>
      <c r="I21" s="3">
        <f>SUMIFS(Hotel!$8:$8,Hotel!$6:$6,I$6-$C21+1)*HLOOKUP($C21,$I$6:$T$8,3,0)</f>
        <v>0</v>
      </c>
      <c r="J21" s="3">
        <f>SUMIFS(Hotel!$8:$8,Hotel!$6:$6,J$6-$C21+1)*HLOOKUP($C21,$I$6:$T$8,3,0)</f>
        <v>0</v>
      </c>
      <c r="K21" s="3">
        <f>SUMIFS(Hotel!$8:$8,Hotel!$6:$6,K$6-$C21+1)*HLOOKUP($C21,$I$6:$T$8,3,0)</f>
        <v>0</v>
      </c>
      <c r="L21" s="3">
        <f>SUMIFS(Hotel!$8:$8,Hotel!$6:$6,L$6-$C21+1)*HLOOKUP($C21,$I$6:$T$8,3,0)</f>
        <v>0</v>
      </c>
      <c r="M21" s="3">
        <f>SUMIFS(Hotel!$8:$8,Hotel!$6:$6,M$6-$C21+1)*HLOOKUP($C21,$I$6:$T$8,3,0)</f>
        <v>0</v>
      </c>
      <c r="N21" s="3">
        <f>SUMIFS(Hotel!$8:$8,Hotel!$6:$6,N$6-$C21+1)*HLOOKUP($C21,$I$6:$T$8,3,0)</f>
        <v>0</v>
      </c>
      <c r="O21" s="3">
        <f>SUMIFS(Hotel!$8:$8,Hotel!$6:$6,O$6-$C21+1)*HLOOKUP($C21,$I$6:$T$8,3,0)</f>
        <v>0</v>
      </c>
      <c r="P21" s="3">
        <f>SUMIFS(Hotel!$8:$8,Hotel!$6:$6,P$6-$C21+1)*HLOOKUP($C21,$I$6:$T$8,3,0)</f>
        <v>0</v>
      </c>
      <c r="Q21" s="3">
        <f>SUMIFS(Hotel!$8:$8,Hotel!$6:$6,Q$6-$C21+1)*HLOOKUP($C21,$I$6:$T$8,3,0)</f>
        <v>718.2</v>
      </c>
      <c r="R21" s="3">
        <f>SUMIFS(Hotel!$8:$8,Hotel!$6:$6,R$6-$C21+1)*HLOOKUP($C21,$I$6:$T$8,3,0)</f>
        <v>982.8</v>
      </c>
      <c r="S21" s="3">
        <f>SUMIFS(Hotel!$8:$8,Hotel!$6:$6,S$6-$C21+1)*HLOOKUP($C21,$I$6:$T$8,3,0)</f>
        <v>1217.1600000000001</v>
      </c>
      <c r="T21" s="3">
        <f>SUMIFS(Hotel!$8:$8,Hotel!$6:$6,T$6-$C21+1)*HLOOKUP($C21,$I$6:$T$8,3,0)</f>
        <v>1391.04</v>
      </c>
    </row>
    <row r="22" spans="2:20" hidden="1" outlineLevel="1" x14ac:dyDescent="0.35">
      <c r="C22" s="1">
        <v>10</v>
      </c>
      <c r="H22" s="1" t="s">
        <v>25</v>
      </c>
      <c r="I22" s="3">
        <f>SUMIFS(Hotel!$8:$8,Hotel!$6:$6,I$6-$C22+1)*HLOOKUP($C22,$I$6:$T$8,3,0)</f>
        <v>0</v>
      </c>
      <c r="J22" s="3">
        <f>SUMIFS(Hotel!$8:$8,Hotel!$6:$6,J$6-$C22+1)*HLOOKUP($C22,$I$6:$T$8,3,0)</f>
        <v>0</v>
      </c>
      <c r="K22" s="3">
        <f>SUMIFS(Hotel!$8:$8,Hotel!$6:$6,K$6-$C22+1)*HLOOKUP($C22,$I$6:$T$8,3,0)</f>
        <v>0</v>
      </c>
      <c r="L22" s="3">
        <f>SUMIFS(Hotel!$8:$8,Hotel!$6:$6,L$6-$C22+1)*HLOOKUP($C22,$I$6:$T$8,3,0)</f>
        <v>0</v>
      </c>
      <c r="M22" s="3">
        <f>SUMIFS(Hotel!$8:$8,Hotel!$6:$6,M$6-$C22+1)*HLOOKUP($C22,$I$6:$T$8,3,0)</f>
        <v>0</v>
      </c>
      <c r="N22" s="3">
        <f>SUMIFS(Hotel!$8:$8,Hotel!$6:$6,N$6-$C22+1)*HLOOKUP($C22,$I$6:$T$8,3,0)</f>
        <v>0</v>
      </c>
      <c r="O22" s="3">
        <f>SUMIFS(Hotel!$8:$8,Hotel!$6:$6,O$6-$C22+1)*HLOOKUP($C22,$I$6:$T$8,3,0)</f>
        <v>0</v>
      </c>
      <c r="P22" s="3">
        <f>SUMIFS(Hotel!$8:$8,Hotel!$6:$6,P$6-$C22+1)*HLOOKUP($C22,$I$6:$T$8,3,0)</f>
        <v>0</v>
      </c>
      <c r="Q22" s="3">
        <f>SUMIFS(Hotel!$8:$8,Hotel!$6:$6,Q$6-$C22+1)*HLOOKUP($C22,$I$6:$T$8,3,0)</f>
        <v>0</v>
      </c>
      <c r="R22" s="3">
        <f>SUMIFS(Hotel!$8:$8,Hotel!$6:$6,R$6-$C22+1)*HLOOKUP($C22,$I$6:$T$8,3,0)</f>
        <v>718.2</v>
      </c>
      <c r="S22" s="3">
        <f>SUMIFS(Hotel!$8:$8,Hotel!$6:$6,S$6-$C22+1)*HLOOKUP($C22,$I$6:$T$8,3,0)</f>
        <v>982.8</v>
      </c>
      <c r="T22" s="3">
        <f>SUMIFS(Hotel!$8:$8,Hotel!$6:$6,T$6-$C22+1)*HLOOKUP($C22,$I$6:$T$8,3,0)</f>
        <v>1217.1600000000001</v>
      </c>
    </row>
    <row r="23" spans="2:20" hidden="1" outlineLevel="1" x14ac:dyDescent="0.35">
      <c r="C23" s="13">
        <v>11</v>
      </c>
      <c r="H23" s="1" t="s">
        <v>25</v>
      </c>
      <c r="I23" s="3">
        <f>SUMIFS(Hotel!$8:$8,Hotel!$6:$6,I$6-$C23+1)*HLOOKUP($C23,$I$6:$T$8,3,0)</f>
        <v>0</v>
      </c>
      <c r="J23" s="3">
        <f>SUMIFS(Hotel!$8:$8,Hotel!$6:$6,J$6-$C23+1)*HLOOKUP($C23,$I$6:$T$8,3,0)</f>
        <v>0</v>
      </c>
      <c r="K23" s="3">
        <f>SUMIFS(Hotel!$8:$8,Hotel!$6:$6,K$6-$C23+1)*HLOOKUP($C23,$I$6:$T$8,3,0)</f>
        <v>0</v>
      </c>
      <c r="L23" s="3">
        <f>SUMIFS(Hotel!$8:$8,Hotel!$6:$6,L$6-$C23+1)*HLOOKUP($C23,$I$6:$T$8,3,0)</f>
        <v>0</v>
      </c>
      <c r="M23" s="3">
        <f>SUMIFS(Hotel!$8:$8,Hotel!$6:$6,M$6-$C23+1)*HLOOKUP($C23,$I$6:$T$8,3,0)</f>
        <v>0</v>
      </c>
      <c r="N23" s="3">
        <f>SUMIFS(Hotel!$8:$8,Hotel!$6:$6,N$6-$C23+1)*HLOOKUP($C23,$I$6:$T$8,3,0)</f>
        <v>0</v>
      </c>
      <c r="O23" s="3">
        <f>SUMIFS(Hotel!$8:$8,Hotel!$6:$6,O$6-$C23+1)*HLOOKUP($C23,$I$6:$T$8,3,0)</f>
        <v>0</v>
      </c>
      <c r="P23" s="3">
        <f>SUMIFS(Hotel!$8:$8,Hotel!$6:$6,P$6-$C23+1)*HLOOKUP($C23,$I$6:$T$8,3,0)</f>
        <v>0</v>
      </c>
      <c r="Q23" s="3">
        <f>SUMIFS(Hotel!$8:$8,Hotel!$6:$6,Q$6-$C23+1)*HLOOKUP($C23,$I$6:$T$8,3,0)</f>
        <v>0</v>
      </c>
      <c r="R23" s="3">
        <f>SUMIFS(Hotel!$8:$8,Hotel!$6:$6,R$6-$C23+1)*HLOOKUP($C23,$I$6:$T$8,3,0)</f>
        <v>0</v>
      </c>
      <c r="S23" s="3">
        <f>SUMIFS(Hotel!$8:$8,Hotel!$6:$6,S$6-$C23+1)*HLOOKUP($C23,$I$6:$T$8,3,0)</f>
        <v>718.2</v>
      </c>
      <c r="T23" s="3">
        <f>SUMIFS(Hotel!$8:$8,Hotel!$6:$6,T$6-$C23+1)*HLOOKUP($C23,$I$6:$T$8,3,0)</f>
        <v>982.8</v>
      </c>
    </row>
    <row r="24" spans="2:20" hidden="1" outlineLevel="1" x14ac:dyDescent="0.35">
      <c r="C24" s="1">
        <v>12</v>
      </c>
      <c r="H24" s="1" t="s">
        <v>25</v>
      </c>
      <c r="I24" s="3">
        <f>SUMIFS(Hotel!$8:$8,Hotel!$6:$6,I$6-$C24+1)*HLOOKUP($C24,$I$6:$T$8,3,0)</f>
        <v>0</v>
      </c>
      <c r="J24" s="3">
        <f>SUMIFS(Hotel!$8:$8,Hotel!$6:$6,J$6-$C24+1)*HLOOKUP($C24,$I$6:$T$8,3,0)</f>
        <v>0</v>
      </c>
      <c r="K24" s="3">
        <f>SUMIFS(Hotel!$8:$8,Hotel!$6:$6,K$6-$C24+1)*HLOOKUP($C24,$I$6:$T$8,3,0)</f>
        <v>0</v>
      </c>
      <c r="L24" s="3">
        <f>SUMIFS(Hotel!$8:$8,Hotel!$6:$6,L$6-$C24+1)*HLOOKUP($C24,$I$6:$T$8,3,0)</f>
        <v>0</v>
      </c>
      <c r="M24" s="3">
        <f>SUMIFS(Hotel!$8:$8,Hotel!$6:$6,M$6-$C24+1)*HLOOKUP($C24,$I$6:$T$8,3,0)</f>
        <v>0</v>
      </c>
      <c r="N24" s="3">
        <f>SUMIFS(Hotel!$8:$8,Hotel!$6:$6,N$6-$C24+1)*HLOOKUP($C24,$I$6:$T$8,3,0)</f>
        <v>0</v>
      </c>
      <c r="O24" s="3">
        <f>SUMIFS(Hotel!$8:$8,Hotel!$6:$6,O$6-$C24+1)*HLOOKUP($C24,$I$6:$T$8,3,0)</f>
        <v>0</v>
      </c>
      <c r="P24" s="3">
        <f>SUMIFS(Hotel!$8:$8,Hotel!$6:$6,P$6-$C24+1)*HLOOKUP($C24,$I$6:$T$8,3,0)</f>
        <v>0</v>
      </c>
      <c r="Q24" s="3">
        <f>SUMIFS(Hotel!$8:$8,Hotel!$6:$6,Q$6-$C24+1)*HLOOKUP($C24,$I$6:$T$8,3,0)</f>
        <v>0</v>
      </c>
      <c r="R24" s="3">
        <f>SUMIFS(Hotel!$8:$8,Hotel!$6:$6,R$6-$C24+1)*HLOOKUP($C24,$I$6:$T$8,3,0)</f>
        <v>0</v>
      </c>
      <c r="S24" s="3">
        <f>SUMIFS(Hotel!$8:$8,Hotel!$6:$6,S$6-$C24+1)*HLOOKUP($C24,$I$6:$T$8,3,0)</f>
        <v>0</v>
      </c>
      <c r="T24" s="3">
        <f>SUMIFS(Hotel!$8:$8,Hotel!$6:$6,T$6-$C24+1)*HLOOKUP($C24,$I$6:$T$8,3,0)</f>
        <v>718.2</v>
      </c>
    </row>
    <row r="25" spans="2:20" collapsed="1" x14ac:dyDescent="0.35">
      <c r="H25" s="1"/>
      <c r="S25" s="3"/>
      <c r="T25" s="3"/>
    </row>
    <row r="26" spans="2:20" x14ac:dyDescent="0.35">
      <c r="B26" s="2"/>
      <c r="H26" s="1"/>
      <c r="S26" s="3"/>
      <c r="T26" s="3"/>
    </row>
    <row r="27" spans="2:20" x14ac:dyDescent="0.35">
      <c r="B27" s="2" t="s">
        <v>126</v>
      </c>
      <c r="H27" s="1" t="s">
        <v>25</v>
      </c>
      <c r="I27" s="7">
        <f>SUM(I28:I39)</f>
        <v>-76.353200000000015</v>
      </c>
      <c r="J27" s="7">
        <f>SUM(J28:J39)</f>
        <v>99.893999999999892</v>
      </c>
      <c r="K27" s="7">
        <f t="shared" ref="K27" si="7">SUM(K28:K39)</f>
        <v>486.01184000000001</v>
      </c>
      <c r="L27" s="7">
        <f t="shared" ref="L27" si="8">SUM(L28:L39)</f>
        <v>1029.1408000000001</v>
      </c>
      <c r="M27" s="7">
        <f t="shared" ref="M27" si="9">SUM(M28:M39)</f>
        <v>1650.7753200000002</v>
      </c>
      <c r="N27" s="7">
        <f t="shared" ref="N27" si="10">SUM(N28:N39)</f>
        <v>2350.9154000000003</v>
      </c>
      <c r="O27" s="7">
        <f t="shared" ref="O27" si="11">SUM(O28:O39)</f>
        <v>3051.0554800000004</v>
      </c>
      <c r="P27" s="7">
        <f t="shared" ref="P27" si="12">SUM(P28:P39)</f>
        <v>3751.1955600000006</v>
      </c>
      <c r="Q27" s="7">
        <f t="shared" ref="Q27" si="13">SUM(Q28:Q39)</f>
        <v>4451.3356400000011</v>
      </c>
      <c r="R27" s="7">
        <f t="shared" ref="R27" si="14">SUM(R28:R39)</f>
        <v>5151.4757200000004</v>
      </c>
      <c r="S27" s="7">
        <f t="shared" ref="S27" si="15">SUM(S28:S39)</f>
        <v>5851.6157999999996</v>
      </c>
      <c r="T27" s="7">
        <f t="shared" ref="T27" si="16">SUM(T28:T39)</f>
        <v>6551.7558800000006</v>
      </c>
    </row>
    <row r="28" spans="2:20" hidden="1" outlineLevel="1" x14ac:dyDescent="0.35">
      <c r="B28" s="2"/>
      <c r="C28" s="1">
        <v>1</v>
      </c>
      <c r="H28" s="1" t="s">
        <v>25</v>
      </c>
      <c r="I28" s="3">
        <f>SUMIFS(Hotel!$81:$81,Hotel!$6:$6,I$6-$C28+1)*HLOOKUP($C28,$I$6:$T$8,3,0)</f>
        <v>-76.353200000000015</v>
      </c>
      <c r="J28" s="3">
        <f>SUMIFS(Hotel!$81:$81,Hotel!$6:$6,J$6-$C28+1)*HLOOKUP($C28,$I$6:$T$8,3,0)</f>
        <v>176.24719999999991</v>
      </c>
      <c r="K28" s="3">
        <f>SUMIFS(Hotel!$81:$81,Hotel!$6:$6,K$6-$C28+1)*HLOOKUP($C28,$I$6:$T$8,3,0)</f>
        <v>386.11784000000011</v>
      </c>
      <c r="L28" s="3">
        <f>SUMIFS(Hotel!$81:$81,Hotel!$6:$6,L$6-$C28+1)*HLOOKUP($C28,$I$6:$T$8,3,0)</f>
        <v>543.12896000000001</v>
      </c>
      <c r="M28" s="3">
        <f>SUMIFS(Hotel!$81:$81,Hotel!$6:$6,M$6-$C28+1)*HLOOKUP($C28,$I$6:$T$8,3,0)</f>
        <v>621.63452000000007</v>
      </c>
      <c r="N28" s="3">
        <f>SUMIFS(Hotel!$81:$81,Hotel!$6:$6,N$6-$C28+1)*HLOOKUP($C28,$I$6:$T$8,3,0)</f>
        <v>700.14008000000013</v>
      </c>
      <c r="O28" s="3">
        <f>SUMIFS(Hotel!$81:$81,Hotel!$6:$6,O$6-$C28+1)*HLOOKUP($C28,$I$6:$T$8,3,0)</f>
        <v>700.14008000000013</v>
      </c>
      <c r="P28" s="3">
        <f>SUMIFS(Hotel!$81:$81,Hotel!$6:$6,P$6-$C28+1)*HLOOKUP($C28,$I$6:$T$8,3,0)</f>
        <v>700.14008000000013</v>
      </c>
      <c r="Q28" s="3">
        <f>SUMIFS(Hotel!$81:$81,Hotel!$6:$6,Q$6-$C28+1)*HLOOKUP($C28,$I$6:$T$8,3,0)</f>
        <v>700.14008000000013</v>
      </c>
      <c r="R28" s="3">
        <f>SUMIFS(Hotel!$81:$81,Hotel!$6:$6,R$6-$C28+1)*HLOOKUP($C28,$I$6:$T$8,3,0)</f>
        <v>700.14008000000013</v>
      </c>
      <c r="S28" s="3">
        <f>SUMIFS(Hotel!$81:$81,Hotel!$6:$6,S$6-$C28+1)*HLOOKUP($C28,$I$6:$T$8,3,0)</f>
        <v>700.14008000000013</v>
      </c>
      <c r="T28" s="3">
        <f>SUMIFS(Hotel!$81:$81,Hotel!$6:$6,T$6-$C28+1)*HLOOKUP($C28,$I$6:$T$8,3,0)</f>
        <v>700.14008000000013</v>
      </c>
    </row>
    <row r="29" spans="2:20" hidden="1" outlineLevel="1" x14ac:dyDescent="0.35">
      <c r="C29" s="13">
        <v>2</v>
      </c>
      <c r="H29" s="1" t="s">
        <v>25</v>
      </c>
      <c r="I29" s="3">
        <f>SUMIFS(Hotel!$81:$81,Hotel!$6:$6,I$6-$C29+1)*HLOOKUP($C29,$I$6:$T$8,3,0)</f>
        <v>0</v>
      </c>
      <c r="J29" s="3">
        <f>SUMIFS(Hotel!$81:$81,Hotel!$6:$6,J$6-$C29+1)*HLOOKUP($C29,$I$6:$T$8,3,0)</f>
        <v>-76.353200000000015</v>
      </c>
      <c r="K29" s="3">
        <f>SUMIFS(Hotel!$81:$81,Hotel!$6:$6,K$6-$C29+1)*HLOOKUP($C29,$I$6:$T$8,3,0)</f>
        <v>176.24719999999991</v>
      </c>
      <c r="L29" s="3">
        <f>SUMIFS(Hotel!$81:$81,Hotel!$6:$6,L$6-$C29+1)*HLOOKUP($C29,$I$6:$T$8,3,0)</f>
        <v>386.11784000000011</v>
      </c>
      <c r="M29" s="3">
        <f>SUMIFS(Hotel!$81:$81,Hotel!$6:$6,M$6-$C29+1)*HLOOKUP($C29,$I$6:$T$8,3,0)</f>
        <v>543.12896000000001</v>
      </c>
      <c r="N29" s="3">
        <f>SUMIFS(Hotel!$81:$81,Hotel!$6:$6,N$6-$C29+1)*HLOOKUP($C29,$I$6:$T$8,3,0)</f>
        <v>621.63452000000007</v>
      </c>
      <c r="O29" s="3">
        <f>SUMIFS(Hotel!$81:$81,Hotel!$6:$6,O$6-$C29+1)*HLOOKUP($C29,$I$6:$T$8,3,0)</f>
        <v>700.14008000000013</v>
      </c>
      <c r="P29" s="3">
        <f>SUMIFS(Hotel!$81:$81,Hotel!$6:$6,P$6-$C29+1)*HLOOKUP($C29,$I$6:$T$8,3,0)</f>
        <v>700.14008000000013</v>
      </c>
      <c r="Q29" s="3">
        <f>SUMIFS(Hotel!$81:$81,Hotel!$6:$6,Q$6-$C29+1)*HLOOKUP($C29,$I$6:$T$8,3,0)</f>
        <v>700.14008000000013</v>
      </c>
      <c r="R29" s="3">
        <f>SUMIFS(Hotel!$81:$81,Hotel!$6:$6,R$6-$C29+1)*HLOOKUP($C29,$I$6:$T$8,3,0)</f>
        <v>700.14008000000013</v>
      </c>
      <c r="S29" s="3">
        <f>SUMIFS(Hotel!$81:$81,Hotel!$6:$6,S$6-$C29+1)*HLOOKUP($C29,$I$6:$T$8,3,0)</f>
        <v>700.14008000000013</v>
      </c>
      <c r="T29" s="3">
        <f>SUMIFS(Hotel!$81:$81,Hotel!$6:$6,T$6-$C29+1)*HLOOKUP($C29,$I$6:$T$8,3,0)</f>
        <v>700.14008000000013</v>
      </c>
    </row>
    <row r="30" spans="2:20" hidden="1" outlineLevel="1" x14ac:dyDescent="0.35">
      <c r="C30" s="1">
        <v>3</v>
      </c>
      <c r="H30" s="1" t="s">
        <v>25</v>
      </c>
      <c r="I30" s="3">
        <f>SUMIFS(Hotel!$81:$81,Hotel!$6:$6,I$6-$C30+1)*HLOOKUP($C30,$I$6:$T$8,3,0)</f>
        <v>0</v>
      </c>
      <c r="J30" s="3">
        <f>SUMIFS(Hotel!$81:$81,Hotel!$6:$6,J$6-$C30+1)*HLOOKUP($C30,$I$6:$T$8,3,0)</f>
        <v>0</v>
      </c>
      <c r="K30" s="3">
        <f>SUMIFS(Hotel!$81:$81,Hotel!$6:$6,K$6-$C30+1)*HLOOKUP($C30,$I$6:$T$8,3,0)</f>
        <v>-76.353200000000015</v>
      </c>
      <c r="L30" s="3">
        <f>SUMIFS(Hotel!$81:$81,Hotel!$6:$6,L$6-$C30+1)*HLOOKUP($C30,$I$6:$T$8,3,0)</f>
        <v>176.24719999999991</v>
      </c>
      <c r="M30" s="3">
        <f>SUMIFS(Hotel!$81:$81,Hotel!$6:$6,M$6-$C30+1)*HLOOKUP($C30,$I$6:$T$8,3,0)</f>
        <v>386.11784000000011</v>
      </c>
      <c r="N30" s="3">
        <f>SUMIFS(Hotel!$81:$81,Hotel!$6:$6,N$6-$C30+1)*HLOOKUP($C30,$I$6:$T$8,3,0)</f>
        <v>543.12896000000001</v>
      </c>
      <c r="O30" s="3">
        <f>SUMIFS(Hotel!$81:$81,Hotel!$6:$6,O$6-$C30+1)*HLOOKUP($C30,$I$6:$T$8,3,0)</f>
        <v>621.63452000000007</v>
      </c>
      <c r="P30" s="3">
        <f>SUMIFS(Hotel!$81:$81,Hotel!$6:$6,P$6-$C30+1)*HLOOKUP($C30,$I$6:$T$8,3,0)</f>
        <v>700.14008000000013</v>
      </c>
      <c r="Q30" s="3">
        <f>SUMIFS(Hotel!$81:$81,Hotel!$6:$6,Q$6-$C30+1)*HLOOKUP($C30,$I$6:$T$8,3,0)</f>
        <v>700.14008000000013</v>
      </c>
      <c r="R30" s="3">
        <f>SUMIFS(Hotel!$81:$81,Hotel!$6:$6,R$6-$C30+1)*HLOOKUP($C30,$I$6:$T$8,3,0)</f>
        <v>700.14008000000013</v>
      </c>
      <c r="S30" s="3">
        <f>SUMIFS(Hotel!$81:$81,Hotel!$6:$6,S$6-$C30+1)*HLOOKUP($C30,$I$6:$T$8,3,0)</f>
        <v>700.14008000000013</v>
      </c>
      <c r="T30" s="3">
        <f>SUMIFS(Hotel!$81:$81,Hotel!$6:$6,T$6-$C30+1)*HLOOKUP($C30,$I$6:$T$8,3,0)</f>
        <v>700.14008000000013</v>
      </c>
    </row>
    <row r="31" spans="2:20" hidden="1" outlineLevel="1" x14ac:dyDescent="0.35">
      <c r="C31" s="13">
        <v>4</v>
      </c>
      <c r="H31" s="1" t="s">
        <v>25</v>
      </c>
      <c r="I31" s="3">
        <f>SUMIFS(Hotel!$81:$81,Hotel!$6:$6,I$6-$C31+1)*HLOOKUP($C31,$I$6:$T$8,3,0)</f>
        <v>0</v>
      </c>
      <c r="J31" s="3">
        <f>SUMIFS(Hotel!$81:$81,Hotel!$6:$6,J$6-$C31+1)*HLOOKUP($C31,$I$6:$T$8,3,0)</f>
        <v>0</v>
      </c>
      <c r="K31" s="3">
        <f>SUMIFS(Hotel!$81:$81,Hotel!$6:$6,K$6-$C31+1)*HLOOKUP($C31,$I$6:$T$8,3,0)</f>
        <v>0</v>
      </c>
      <c r="L31" s="3">
        <f>SUMIFS(Hotel!$81:$81,Hotel!$6:$6,L$6-$C31+1)*HLOOKUP($C31,$I$6:$T$8,3,0)</f>
        <v>-76.353200000000015</v>
      </c>
      <c r="M31" s="3">
        <f>SUMIFS(Hotel!$81:$81,Hotel!$6:$6,M$6-$C31+1)*HLOOKUP($C31,$I$6:$T$8,3,0)</f>
        <v>176.24719999999991</v>
      </c>
      <c r="N31" s="3">
        <f>SUMIFS(Hotel!$81:$81,Hotel!$6:$6,N$6-$C31+1)*HLOOKUP($C31,$I$6:$T$8,3,0)</f>
        <v>386.11784000000011</v>
      </c>
      <c r="O31" s="3">
        <f>SUMIFS(Hotel!$81:$81,Hotel!$6:$6,O$6-$C31+1)*HLOOKUP($C31,$I$6:$T$8,3,0)</f>
        <v>543.12896000000001</v>
      </c>
      <c r="P31" s="3">
        <f>SUMIFS(Hotel!$81:$81,Hotel!$6:$6,P$6-$C31+1)*HLOOKUP($C31,$I$6:$T$8,3,0)</f>
        <v>621.63452000000007</v>
      </c>
      <c r="Q31" s="3">
        <f>SUMIFS(Hotel!$81:$81,Hotel!$6:$6,Q$6-$C31+1)*HLOOKUP($C31,$I$6:$T$8,3,0)</f>
        <v>700.14008000000013</v>
      </c>
      <c r="R31" s="3">
        <f>SUMIFS(Hotel!$81:$81,Hotel!$6:$6,R$6-$C31+1)*HLOOKUP($C31,$I$6:$T$8,3,0)</f>
        <v>700.14008000000013</v>
      </c>
      <c r="S31" s="3">
        <f>SUMIFS(Hotel!$81:$81,Hotel!$6:$6,S$6-$C31+1)*HLOOKUP($C31,$I$6:$T$8,3,0)</f>
        <v>700.14008000000013</v>
      </c>
      <c r="T31" s="3">
        <f>SUMIFS(Hotel!$81:$81,Hotel!$6:$6,T$6-$C31+1)*HLOOKUP($C31,$I$6:$T$8,3,0)</f>
        <v>700.14008000000013</v>
      </c>
    </row>
    <row r="32" spans="2:20" hidden="1" outlineLevel="1" x14ac:dyDescent="0.35">
      <c r="C32" s="1">
        <v>5</v>
      </c>
      <c r="H32" s="1" t="s">
        <v>25</v>
      </c>
      <c r="I32" s="3">
        <f>SUMIFS(Hotel!$81:$81,Hotel!$6:$6,I$6-$C32+1)*HLOOKUP($C32,$I$6:$T$8,3,0)</f>
        <v>0</v>
      </c>
      <c r="J32" s="3">
        <f>SUMIFS(Hotel!$81:$81,Hotel!$6:$6,J$6-$C32+1)*HLOOKUP($C32,$I$6:$T$8,3,0)</f>
        <v>0</v>
      </c>
      <c r="K32" s="3">
        <f>SUMIFS(Hotel!$81:$81,Hotel!$6:$6,K$6-$C32+1)*HLOOKUP($C32,$I$6:$T$8,3,0)</f>
        <v>0</v>
      </c>
      <c r="L32" s="3">
        <f>SUMIFS(Hotel!$81:$81,Hotel!$6:$6,L$6-$C32+1)*HLOOKUP($C32,$I$6:$T$8,3,0)</f>
        <v>0</v>
      </c>
      <c r="M32" s="3">
        <f>SUMIFS(Hotel!$81:$81,Hotel!$6:$6,M$6-$C32+1)*HLOOKUP($C32,$I$6:$T$8,3,0)</f>
        <v>-76.353200000000015</v>
      </c>
      <c r="N32" s="3">
        <f>SUMIFS(Hotel!$81:$81,Hotel!$6:$6,N$6-$C32+1)*HLOOKUP($C32,$I$6:$T$8,3,0)</f>
        <v>176.24719999999991</v>
      </c>
      <c r="O32" s="3">
        <f>SUMIFS(Hotel!$81:$81,Hotel!$6:$6,O$6-$C32+1)*HLOOKUP($C32,$I$6:$T$8,3,0)</f>
        <v>386.11784000000011</v>
      </c>
      <c r="P32" s="3">
        <f>SUMIFS(Hotel!$81:$81,Hotel!$6:$6,P$6-$C32+1)*HLOOKUP($C32,$I$6:$T$8,3,0)</f>
        <v>543.12896000000001</v>
      </c>
      <c r="Q32" s="3">
        <f>SUMIFS(Hotel!$81:$81,Hotel!$6:$6,Q$6-$C32+1)*HLOOKUP($C32,$I$6:$T$8,3,0)</f>
        <v>621.63452000000007</v>
      </c>
      <c r="R32" s="3">
        <f>SUMIFS(Hotel!$81:$81,Hotel!$6:$6,R$6-$C32+1)*HLOOKUP($C32,$I$6:$T$8,3,0)</f>
        <v>700.14008000000013</v>
      </c>
      <c r="S32" s="3">
        <f>SUMIFS(Hotel!$81:$81,Hotel!$6:$6,S$6-$C32+1)*HLOOKUP($C32,$I$6:$T$8,3,0)</f>
        <v>700.14008000000013</v>
      </c>
      <c r="T32" s="3">
        <f>SUMIFS(Hotel!$81:$81,Hotel!$6:$6,T$6-$C32+1)*HLOOKUP($C32,$I$6:$T$8,3,0)</f>
        <v>700.14008000000013</v>
      </c>
    </row>
    <row r="33" spans="2:20" hidden="1" outlineLevel="1" x14ac:dyDescent="0.35">
      <c r="B33" s="2"/>
      <c r="C33" s="13">
        <v>6</v>
      </c>
      <c r="H33" s="1" t="s">
        <v>25</v>
      </c>
      <c r="I33" s="3">
        <f>SUMIFS(Hotel!$81:$81,Hotel!$6:$6,I$6-$C33+1)*HLOOKUP($C33,$I$6:$T$8,3,0)</f>
        <v>0</v>
      </c>
      <c r="J33" s="3">
        <f>SUMIFS(Hotel!$81:$81,Hotel!$6:$6,J$6-$C33+1)*HLOOKUP($C33,$I$6:$T$8,3,0)</f>
        <v>0</v>
      </c>
      <c r="K33" s="3">
        <f>SUMIFS(Hotel!$81:$81,Hotel!$6:$6,K$6-$C33+1)*HLOOKUP($C33,$I$6:$T$8,3,0)</f>
        <v>0</v>
      </c>
      <c r="L33" s="3">
        <f>SUMIFS(Hotel!$81:$81,Hotel!$6:$6,L$6-$C33+1)*HLOOKUP($C33,$I$6:$T$8,3,0)</f>
        <v>0</v>
      </c>
      <c r="M33" s="3">
        <f>SUMIFS(Hotel!$81:$81,Hotel!$6:$6,M$6-$C33+1)*HLOOKUP($C33,$I$6:$T$8,3,0)</f>
        <v>0</v>
      </c>
      <c r="N33" s="3">
        <f>SUMIFS(Hotel!$81:$81,Hotel!$6:$6,N$6-$C33+1)*HLOOKUP($C33,$I$6:$T$8,3,0)</f>
        <v>-76.353200000000015</v>
      </c>
      <c r="O33" s="3">
        <f>SUMIFS(Hotel!$81:$81,Hotel!$6:$6,O$6-$C33+1)*HLOOKUP($C33,$I$6:$T$8,3,0)</f>
        <v>176.24719999999991</v>
      </c>
      <c r="P33" s="3">
        <f>SUMIFS(Hotel!$81:$81,Hotel!$6:$6,P$6-$C33+1)*HLOOKUP($C33,$I$6:$T$8,3,0)</f>
        <v>386.11784000000011</v>
      </c>
      <c r="Q33" s="3">
        <f>SUMIFS(Hotel!$81:$81,Hotel!$6:$6,Q$6-$C33+1)*HLOOKUP($C33,$I$6:$T$8,3,0)</f>
        <v>543.12896000000001</v>
      </c>
      <c r="R33" s="3">
        <f>SUMIFS(Hotel!$81:$81,Hotel!$6:$6,R$6-$C33+1)*HLOOKUP($C33,$I$6:$T$8,3,0)</f>
        <v>621.63452000000007</v>
      </c>
      <c r="S33" s="3">
        <f>SUMIFS(Hotel!$81:$81,Hotel!$6:$6,S$6-$C33+1)*HLOOKUP($C33,$I$6:$T$8,3,0)</f>
        <v>700.14008000000013</v>
      </c>
      <c r="T33" s="3">
        <f>SUMIFS(Hotel!$81:$81,Hotel!$6:$6,T$6-$C33+1)*HLOOKUP($C33,$I$6:$T$8,3,0)</f>
        <v>700.14008000000013</v>
      </c>
    </row>
    <row r="34" spans="2:20" hidden="1" outlineLevel="1" x14ac:dyDescent="0.35">
      <c r="C34" s="1">
        <v>7</v>
      </c>
      <c r="H34" s="1" t="s">
        <v>25</v>
      </c>
      <c r="I34" s="3">
        <f>SUMIFS(Hotel!$81:$81,Hotel!$6:$6,I$6-$C34+1)*HLOOKUP($C34,$I$6:$T$8,3,0)</f>
        <v>0</v>
      </c>
      <c r="J34" s="3">
        <f>SUMIFS(Hotel!$81:$81,Hotel!$6:$6,J$6-$C34+1)*HLOOKUP($C34,$I$6:$T$8,3,0)</f>
        <v>0</v>
      </c>
      <c r="K34" s="3">
        <f>SUMIFS(Hotel!$81:$81,Hotel!$6:$6,K$6-$C34+1)*HLOOKUP($C34,$I$6:$T$8,3,0)</f>
        <v>0</v>
      </c>
      <c r="L34" s="3">
        <f>SUMIFS(Hotel!$81:$81,Hotel!$6:$6,L$6-$C34+1)*HLOOKUP($C34,$I$6:$T$8,3,0)</f>
        <v>0</v>
      </c>
      <c r="M34" s="3">
        <f>SUMIFS(Hotel!$81:$81,Hotel!$6:$6,M$6-$C34+1)*HLOOKUP($C34,$I$6:$T$8,3,0)</f>
        <v>0</v>
      </c>
      <c r="N34" s="3">
        <f>SUMIFS(Hotel!$81:$81,Hotel!$6:$6,N$6-$C34+1)*HLOOKUP($C34,$I$6:$T$8,3,0)</f>
        <v>0</v>
      </c>
      <c r="O34" s="3">
        <f>SUMIFS(Hotel!$81:$81,Hotel!$6:$6,O$6-$C34+1)*HLOOKUP($C34,$I$6:$T$8,3,0)</f>
        <v>-76.353200000000015</v>
      </c>
      <c r="P34" s="3">
        <f>SUMIFS(Hotel!$81:$81,Hotel!$6:$6,P$6-$C34+1)*HLOOKUP($C34,$I$6:$T$8,3,0)</f>
        <v>176.24719999999991</v>
      </c>
      <c r="Q34" s="3">
        <f>SUMIFS(Hotel!$81:$81,Hotel!$6:$6,Q$6-$C34+1)*HLOOKUP($C34,$I$6:$T$8,3,0)</f>
        <v>386.11784000000011</v>
      </c>
      <c r="R34" s="3">
        <f>SUMIFS(Hotel!$81:$81,Hotel!$6:$6,R$6-$C34+1)*HLOOKUP($C34,$I$6:$T$8,3,0)</f>
        <v>543.12896000000001</v>
      </c>
      <c r="S34" s="3">
        <f>SUMIFS(Hotel!$81:$81,Hotel!$6:$6,S$6-$C34+1)*HLOOKUP($C34,$I$6:$T$8,3,0)</f>
        <v>621.63452000000007</v>
      </c>
      <c r="T34" s="3">
        <f>SUMIFS(Hotel!$81:$81,Hotel!$6:$6,T$6-$C34+1)*HLOOKUP($C34,$I$6:$T$8,3,0)</f>
        <v>700.14008000000013</v>
      </c>
    </row>
    <row r="35" spans="2:20" hidden="1" outlineLevel="1" x14ac:dyDescent="0.35">
      <c r="C35" s="1">
        <v>8</v>
      </c>
      <c r="H35" s="1" t="s">
        <v>25</v>
      </c>
      <c r="I35" s="3">
        <f>SUMIFS(Hotel!$81:$81,Hotel!$6:$6,I$6-$C35+1)*HLOOKUP($C35,$I$6:$T$8,3,0)</f>
        <v>0</v>
      </c>
      <c r="J35" s="3">
        <f>SUMIFS(Hotel!$81:$81,Hotel!$6:$6,J$6-$C35+1)*HLOOKUP($C35,$I$6:$T$8,3,0)</f>
        <v>0</v>
      </c>
      <c r="K35" s="3">
        <f>SUMIFS(Hotel!$81:$81,Hotel!$6:$6,K$6-$C35+1)*HLOOKUP($C35,$I$6:$T$8,3,0)</f>
        <v>0</v>
      </c>
      <c r="L35" s="3">
        <f>SUMIFS(Hotel!$81:$81,Hotel!$6:$6,L$6-$C35+1)*HLOOKUP($C35,$I$6:$T$8,3,0)</f>
        <v>0</v>
      </c>
      <c r="M35" s="3">
        <f>SUMIFS(Hotel!$81:$81,Hotel!$6:$6,M$6-$C35+1)*HLOOKUP($C35,$I$6:$T$8,3,0)</f>
        <v>0</v>
      </c>
      <c r="N35" s="3">
        <f>SUMIFS(Hotel!$81:$81,Hotel!$6:$6,N$6-$C35+1)*HLOOKUP($C35,$I$6:$T$8,3,0)</f>
        <v>0</v>
      </c>
      <c r="O35" s="3">
        <f>SUMIFS(Hotel!$81:$81,Hotel!$6:$6,O$6-$C35+1)*HLOOKUP($C35,$I$6:$T$8,3,0)</f>
        <v>0</v>
      </c>
      <c r="P35" s="3">
        <f>SUMIFS(Hotel!$81:$81,Hotel!$6:$6,P$6-$C35+1)*HLOOKUP($C35,$I$6:$T$8,3,0)</f>
        <v>-76.353200000000015</v>
      </c>
      <c r="Q35" s="3">
        <f>SUMIFS(Hotel!$81:$81,Hotel!$6:$6,Q$6-$C35+1)*HLOOKUP($C35,$I$6:$T$8,3,0)</f>
        <v>176.24719999999991</v>
      </c>
      <c r="R35" s="3">
        <f>SUMIFS(Hotel!$81:$81,Hotel!$6:$6,R$6-$C35+1)*HLOOKUP($C35,$I$6:$T$8,3,0)</f>
        <v>386.11784000000011</v>
      </c>
      <c r="S35" s="3">
        <f>SUMIFS(Hotel!$81:$81,Hotel!$6:$6,S$6-$C35+1)*HLOOKUP($C35,$I$6:$T$8,3,0)</f>
        <v>543.12896000000001</v>
      </c>
      <c r="T35" s="3">
        <f>SUMIFS(Hotel!$81:$81,Hotel!$6:$6,T$6-$C35+1)*HLOOKUP($C35,$I$6:$T$8,3,0)</f>
        <v>621.63452000000007</v>
      </c>
    </row>
    <row r="36" spans="2:20" hidden="1" outlineLevel="1" x14ac:dyDescent="0.35">
      <c r="C36" s="13">
        <v>9</v>
      </c>
      <c r="H36" s="1" t="s">
        <v>25</v>
      </c>
      <c r="I36" s="3">
        <f>SUMIFS(Hotel!$81:$81,Hotel!$6:$6,I$6-$C36+1)*HLOOKUP($C36,$I$6:$T$8,3,0)</f>
        <v>0</v>
      </c>
      <c r="J36" s="3">
        <f>SUMIFS(Hotel!$81:$81,Hotel!$6:$6,J$6-$C36+1)*HLOOKUP($C36,$I$6:$T$8,3,0)</f>
        <v>0</v>
      </c>
      <c r="K36" s="3">
        <f>SUMIFS(Hotel!$81:$81,Hotel!$6:$6,K$6-$C36+1)*HLOOKUP($C36,$I$6:$T$8,3,0)</f>
        <v>0</v>
      </c>
      <c r="L36" s="3">
        <f>SUMIFS(Hotel!$81:$81,Hotel!$6:$6,L$6-$C36+1)*HLOOKUP($C36,$I$6:$T$8,3,0)</f>
        <v>0</v>
      </c>
      <c r="M36" s="3">
        <f>SUMIFS(Hotel!$81:$81,Hotel!$6:$6,M$6-$C36+1)*HLOOKUP($C36,$I$6:$T$8,3,0)</f>
        <v>0</v>
      </c>
      <c r="N36" s="3">
        <f>SUMIFS(Hotel!$81:$81,Hotel!$6:$6,N$6-$C36+1)*HLOOKUP($C36,$I$6:$T$8,3,0)</f>
        <v>0</v>
      </c>
      <c r="O36" s="3">
        <f>SUMIFS(Hotel!$81:$81,Hotel!$6:$6,O$6-$C36+1)*HLOOKUP($C36,$I$6:$T$8,3,0)</f>
        <v>0</v>
      </c>
      <c r="P36" s="3">
        <f>SUMIFS(Hotel!$81:$81,Hotel!$6:$6,P$6-$C36+1)*HLOOKUP($C36,$I$6:$T$8,3,0)</f>
        <v>0</v>
      </c>
      <c r="Q36" s="3">
        <f>SUMIFS(Hotel!$81:$81,Hotel!$6:$6,Q$6-$C36+1)*HLOOKUP($C36,$I$6:$T$8,3,0)</f>
        <v>-76.353200000000015</v>
      </c>
      <c r="R36" s="3">
        <f>SUMIFS(Hotel!$81:$81,Hotel!$6:$6,R$6-$C36+1)*HLOOKUP($C36,$I$6:$T$8,3,0)</f>
        <v>176.24719999999991</v>
      </c>
      <c r="S36" s="3">
        <f>SUMIFS(Hotel!$81:$81,Hotel!$6:$6,S$6-$C36+1)*HLOOKUP($C36,$I$6:$T$8,3,0)</f>
        <v>386.11784000000011</v>
      </c>
      <c r="T36" s="3">
        <f>SUMIFS(Hotel!$81:$81,Hotel!$6:$6,T$6-$C36+1)*HLOOKUP($C36,$I$6:$T$8,3,0)</f>
        <v>543.12896000000001</v>
      </c>
    </row>
    <row r="37" spans="2:20" hidden="1" outlineLevel="1" x14ac:dyDescent="0.35">
      <c r="C37" s="1">
        <v>10</v>
      </c>
      <c r="H37" s="1" t="s">
        <v>25</v>
      </c>
      <c r="I37" s="3">
        <f>SUMIFS(Hotel!$81:$81,Hotel!$6:$6,I$6-$C37+1)*HLOOKUP($C37,$I$6:$T$8,3,0)</f>
        <v>0</v>
      </c>
      <c r="J37" s="3">
        <f>SUMIFS(Hotel!$81:$81,Hotel!$6:$6,J$6-$C37+1)*HLOOKUP($C37,$I$6:$T$8,3,0)</f>
        <v>0</v>
      </c>
      <c r="K37" s="3">
        <f>SUMIFS(Hotel!$81:$81,Hotel!$6:$6,K$6-$C37+1)*HLOOKUP($C37,$I$6:$T$8,3,0)</f>
        <v>0</v>
      </c>
      <c r="L37" s="3">
        <f>SUMIFS(Hotel!$81:$81,Hotel!$6:$6,L$6-$C37+1)*HLOOKUP($C37,$I$6:$T$8,3,0)</f>
        <v>0</v>
      </c>
      <c r="M37" s="3">
        <f>SUMIFS(Hotel!$81:$81,Hotel!$6:$6,M$6-$C37+1)*HLOOKUP($C37,$I$6:$T$8,3,0)</f>
        <v>0</v>
      </c>
      <c r="N37" s="3">
        <f>SUMIFS(Hotel!$81:$81,Hotel!$6:$6,N$6-$C37+1)*HLOOKUP($C37,$I$6:$T$8,3,0)</f>
        <v>0</v>
      </c>
      <c r="O37" s="3">
        <f>SUMIFS(Hotel!$81:$81,Hotel!$6:$6,O$6-$C37+1)*HLOOKUP($C37,$I$6:$T$8,3,0)</f>
        <v>0</v>
      </c>
      <c r="P37" s="3">
        <f>SUMIFS(Hotel!$81:$81,Hotel!$6:$6,P$6-$C37+1)*HLOOKUP($C37,$I$6:$T$8,3,0)</f>
        <v>0</v>
      </c>
      <c r="Q37" s="3">
        <f>SUMIFS(Hotel!$81:$81,Hotel!$6:$6,Q$6-$C37+1)*HLOOKUP($C37,$I$6:$T$8,3,0)</f>
        <v>0</v>
      </c>
      <c r="R37" s="3">
        <f>SUMIFS(Hotel!$81:$81,Hotel!$6:$6,R$6-$C37+1)*HLOOKUP($C37,$I$6:$T$8,3,0)</f>
        <v>-76.353200000000015</v>
      </c>
      <c r="S37" s="3">
        <f>SUMIFS(Hotel!$81:$81,Hotel!$6:$6,S$6-$C37+1)*HLOOKUP($C37,$I$6:$T$8,3,0)</f>
        <v>176.24719999999991</v>
      </c>
      <c r="T37" s="3">
        <f>SUMIFS(Hotel!$81:$81,Hotel!$6:$6,T$6-$C37+1)*HLOOKUP($C37,$I$6:$T$8,3,0)</f>
        <v>386.11784000000011</v>
      </c>
    </row>
    <row r="38" spans="2:20" hidden="1" outlineLevel="1" x14ac:dyDescent="0.35">
      <c r="C38" s="13">
        <v>11</v>
      </c>
      <c r="H38" s="1" t="s">
        <v>25</v>
      </c>
      <c r="I38" s="3">
        <f>SUMIFS(Hotel!$81:$81,Hotel!$6:$6,I$6-$C38+1)*HLOOKUP($C38,$I$6:$T$8,3,0)</f>
        <v>0</v>
      </c>
      <c r="J38" s="3">
        <f>SUMIFS(Hotel!$81:$81,Hotel!$6:$6,J$6-$C38+1)*HLOOKUP($C38,$I$6:$T$8,3,0)</f>
        <v>0</v>
      </c>
      <c r="K38" s="3">
        <f>SUMIFS(Hotel!$81:$81,Hotel!$6:$6,K$6-$C38+1)*HLOOKUP($C38,$I$6:$T$8,3,0)</f>
        <v>0</v>
      </c>
      <c r="L38" s="3">
        <f>SUMIFS(Hotel!$81:$81,Hotel!$6:$6,L$6-$C38+1)*HLOOKUP($C38,$I$6:$T$8,3,0)</f>
        <v>0</v>
      </c>
      <c r="M38" s="3">
        <f>SUMIFS(Hotel!$81:$81,Hotel!$6:$6,M$6-$C38+1)*HLOOKUP($C38,$I$6:$T$8,3,0)</f>
        <v>0</v>
      </c>
      <c r="N38" s="3">
        <f>SUMIFS(Hotel!$81:$81,Hotel!$6:$6,N$6-$C38+1)*HLOOKUP($C38,$I$6:$T$8,3,0)</f>
        <v>0</v>
      </c>
      <c r="O38" s="3">
        <f>SUMIFS(Hotel!$81:$81,Hotel!$6:$6,O$6-$C38+1)*HLOOKUP($C38,$I$6:$T$8,3,0)</f>
        <v>0</v>
      </c>
      <c r="P38" s="3">
        <f>SUMIFS(Hotel!$81:$81,Hotel!$6:$6,P$6-$C38+1)*HLOOKUP($C38,$I$6:$T$8,3,0)</f>
        <v>0</v>
      </c>
      <c r="Q38" s="3">
        <f>SUMIFS(Hotel!$81:$81,Hotel!$6:$6,Q$6-$C38+1)*HLOOKUP($C38,$I$6:$T$8,3,0)</f>
        <v>0</v>
      </c>
      <c r="R38" s="3">
        <f>SUMIFS(Hotel!$81:$81,Hotel!$6:$6,R$6-$C38+1)*HLOOKUP($C38,$I$6:$T$8,3,0)</f>
        <v>0</v>
      </c>
      <c r="S38" s="3">
        <f>SUMIFS(Hotel!$81:$81,Hotel!$6:$6,S$6-$C38+1)*HLOOKUP($C38,$I$6:$T$8,3,0)</f>
        <v>-76.353200000000015</v>
      </c>
      <c r="T38" s="3">
        <f>SUMIFS(Hotel!$81:$81,Hotel!$6:$6,T$6-$C38+1)*HLOOKUP($C38,$I$6:$T$8,3,0)</f>
        <v>176.24719999999991</v>
      </c>
    </row>
    <row r="39" spans="2:20" hidden="1" outlineLevel="1" x14ac:dyDescent="0.35">
      <c r="C39" s="1">
        <v>12</v>
      </c>
      <c r="H39" s="1" t="s">
        <v>25</v>
      </c>
      <c r="I39" s="3">
        <f>SUMIFS(Hotel!$81:$81,Hotel!$6:$6,I$6-$C39+1)*HLOOKUP($C39,$I$6:$T$8,3,0)</f>
        <v>0</v>
      </c>
      <c r="J39" s="3">
        <f>SUMIFS(Hotel!$81:$81,Hotel!$6:$6,J$6-$C39+1)*HLOOKUP($C39,$I$6:$T$8,3,0)</f>
        <v>0</v>
      </c>
      <c r="K39" s="3">
        <f>SUMIFS(Hotel!$81:$81,Hotel!$6:$6,K$6-$C39+1)*HLOOKUP($C39,$I$6:$T$8,3,0)</f>
        <v>0</v>
      </c>
      <c r="L39" s="3">
        <f>SUMIFS(Hotel!$81:$81,Hotel!$6:$6,L$6-$C39+1)*HLOOKUP($C39,$I$6:$T$8,3,0)</f>
        <v>0</v>
      </c>
      <c r="M39" s="3">
        <f>SUMIFS(Hotel!$81:$81,Hotel!$6:$6,M$6-$C39+1)*HLOOKUP($C39,$I$6:$T$8,3,0)</f>
        <v>0</v>
      </c>
      <c r="N39" s="3">
        <f>SUMIFS(Hotel!$81:$81,Hotel!$6:$6,N$6-$C39+1)*HLOOKUP($C39,$I$6:$T$8,3,0)</f>
        <v>0</v>
      </c>
      <c r="O39" s="3">
        <f>SUMIFS(Hotel!$81:$81,Hotel!$6:$6,O$6-$C39+1)*HLOOKUP($C39,$I$6:$T$8,3,0)</f>
        <v>0</v>
      </c>
      <c r="P39" s="3">
        <f>SUMIFS(Hotel!$81:$81,Hotel!$6:$6,P$6-$C39+1)*HLOOKUP($C39,$I$6:$T$8,3,0)</f>
        <v>0</v>
      </c>
      <c r="Q39" s="3">
        <f>SUMIFS(Hotel!$81:$81,Hotel!$6:$6,Q$6-$C39+1)*HLOOKUP($C39,$I$6:$T$8,3,0)</f>
        <v>0</v>
      </c>
      <c r="R39" s="3">
        <f>SUMIFS(Hotel!$81:$81,Hotel!$6:$6,R$6-$C39+1)*HLOOKUP($C39,$I$6:$T$8,3,0)</f>
        <v>0</v>
      </c>
      <c r="S39" s="3">
        <f>SUMIFS(Hotel!$81:$81,Hotel!$6:$6,S$6-$C39+1)*HLOOKUP($C39,$I$6:$T$8,3,0)</f>
        <v>0</v>
      </c>
      <c r="T39" s="3">
        <f>SUMIFS(Hotel!$81:$81,Hotel!$6:$6,T$6-$C39+1)*HLOOKUP($C39,$I$6:$T$8,3,0)</f>
        <v>-76.353200000000015</v>
      </c>
    </row>
    <row r="40" spans="2:20" collapsed="1" x14ac:dyDescent="0.35">
      <c r="H40" s="1"/>
      <c r="S40" s="3"/>
      <c r="T40" s="3"/>
    </row>
    <row r="41" spans="2:20" x14ac:dyDescent="0.35">
      <c r="H41" s="1"/>
      <c r="S41" s="3"/>
      <c r="T41" s="3"/>
    </row>
    <row r="42" spans="2:20" x14ac:dyDescent="0.35">
      <c r="B42" s="2" t="s">
        <v>13</v>
      </c>
      <c r="H42" s="1" t="s">
        <v>25</v>
      </c>
      <c r="I42" s="7">
        <f>HQ!I8</f>
        <v>174.66135135135136</v>
      </c>
      <c r="J42" s="7">
        <f>HQ!J8</f>
        <v>428.24324324324323</v>
      </c>
      <c r="K42" s="7">
        <f>HQ!K8</f>
        <v>514.52702702702697</v>
      </c>
      <c r="L42" s="7">
        <f>HQ!L8</f>
        <v>689.7027027027026</v>
      </c>
      <c r="M42" s="7">
        <f>HQ!M8</f>
        <v>689.7027027027026</v>
      </c>
      <c r="N42" s="7">
        <f>HQ!N8</f>
        <v>850.2702702702702</v>
      </c>
      <c r="O42" s="7">
        <f>HQ!O8</f>
        <v>1270.8378378378377</v>
      </c>
      <c r="P42" s="7">
        <f>HQ!P8</f>
        <v>1270.8378378378377</v>
      </c>
      <c r="Q42" s="7">
        <f>HQ!Q8</f>
        <v>1270.8378378378377</v>
      </c>
      <c r="R42" s="7">
        <f>HQ!R8</f>
        <v>1270.8378378378377</v>
      </c>
      <c r="S42" s="7">
        <f>HQ!S8</f>
        <v>1270.8378378378377</v>
      </c>
      <c r="T42" s="7">
        <f>HQ!T8</f>
        <v>1270.8378378378377</v>
      </c>
    </row>
    <row r="43" spans="2:20" x14ac:dyDescent="0.35">
      <c r="H43" s="1"/>
      <c r="S43" s="3"/>
      <c r="T43" s="3"/>
    </row>
    <row r="44" spans="2:20" s="24" customFormat="1" x14ac:dyDescent="0.35"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2:20" x14ac:dyDescent="0.35">
      <c r="B45" s="2" t="s">
        <v>30</v>
      </c>
      <c r="G45" s="1"/>
      <c r="H45" s="1" t="s">
        <v>25</v>
      </c>
      <c r="I45" s="7">
        <f>I46-I47</f>
        <v>-251.01455135135137</v>
      </c>
      <c r="J45" s="7">
        <f t="shared" ref="J45:T45" si="17">J46-J47</f>
        <v>-328.34924324324334</v>
      </c>
      <c r="K45" s="7">
        <f t="shared" si="17"/>
        <v>-28.515187027026968</v>
      </c>
      <c r="L45" s="7">
        <f t="shared" si="17"/>
        <v>339.43809729729753</v>
      </c>
      <c r="M45" s="7">
        <f t="shared" si="17"/>
        <v>961.0726172972976</v>
      </c>
      <c r="N45" s="7">
        <f t="shared" si="17"/>
        <v>1500.6451297297301</v>
      </c>
      <c r="O45" s="7">
        <f t="shared" si="17"/>
        <v>1780.2176421621627</v>
      </c>
      <c r="P45" s="7">
        <f t="shared" si="17"/>
        <v>2480.3577221621626</v>
      </c>
      <c r="Q45" s="7">
        <f t="shared" si="17"/>
        <v>3180.4978021621637</v>
      </c>
      <c r="R45" s="7">
        <f t="shared" si="17"/>
        <v>3880.6378821621629</v>
      </c>
      <c r="S45" s="7">
        <f t="shared" si="17"/>
        <v>4580.7779621621621</v>
      </c>
      <c r="T45" s="7">
        <f t="shared" si="17"/>
        <v>5280.9180421621631</v>
      </c>
    </row>
    <row r="46" spans="2:20" x14ac:dyDescent="0.35">
      <c r="C46" s="19" t="s">
        <v>127</v>
      </c>
      <c r="G46" s="1"/>
      <c r="H46" s="1" t="s">
        <v>25</v>
      </c>
      <c r="I46" s="3">
        <f t="shared" ref="I46:T46" si="18">I27</f>
        <v>-76.353200000000015</v>
      </c>
      <c r="J46" s="3">
        <f t="shared" si="18"/>
        <v>99.893999999999892</v>
      </c>
      <c r="K46" s="3">
        <f t="shared" si="18"/>
        <v>486.01184000000001</v>
      </c>
      <c r="L46" s="3">
        <f t="shared" si="18"/>
        <v>1029.1408000000001</v>
      </c>
      <c r="M46" s="3">
        <f t="shared" si="18"/>
        <v>1650.7753200000002</v>
      </c>
      <c r="N46" s="3">
        <f t="shared" si="18"/>
        <v>2350.9154000000003</v>
      </c>
      <c r="O46" s="3">
        <f t="shared" si="18"/>
        <v>3051.0554800000004</v>
      </c>
      <c r="P46" s="3">
        <f t="shared" si="18"/>
        <v>3751.1955600000006</v>
      </c>
      <c r="Q46" s="3">
        <f t="shared" si="18"/>
        <v>4451.3356400000011</v>
      </c>
      <c r="R46" s="3">
        <f t="shared" si="18"/>
        <v>5151.4757200000004</v>
      </c>
      <c r="S46" s="3">
        <f t="shared" si="18"/>
        <v>5851.6157999999996</v>
      </c>
      <c r="T46" s="3">
        <f t="shared" si="18"/>
        <v>6551.7558800000006</v>
      </c>
    </row>
    <row r="47" spans="2:20" x14ac:dyDescent="0.35">
      <c r="C47" s="19" t="s">
        <v>13</v>
      </c>
      <c r="G47" s="1"/>
      <c r="H47" s="1" t="s">
        <v>25</v>
      </c>
      <c r="I47" s="3">
        <f t="shared" ref="I47:T47" si="19">I42</f>
        <v>174.66135135135136</v>
      </c>
      <c r="J47" s="3">
        <f t="shared" si="19"/>
        <v>428.24324324324323</v>
      </c>
      <c r="K47" s="3">
        <f t="shared" si="19"/>
        <v>514.52702702702697</v>
      </c>
      <c r="L47" s="3">
        <f t="shared" si="19"/>
        <v>689.7027027027026</v>
      </c>
      <c r="M47" s="3">
        <f t="shared" si="19"/>
        <v>689.7027027027026</v>
      </c>
      <c r="N47" s="3">
        <f t="shared" si="19"/>
        <v>850.2702702702702</v>
      </c>
      <c r="O47" s="3">
        <f t="shared" si="19"/>
        <v>1270.8378378378377</v>
      </c>
      <c r="P47" s="3">
        <f t="shared" si="19"/>
        <v>1270.8378378378377</v>
      </c>
      <c r="Q47" s="3">
        <f t="shared" si="19"/>
        <v>1270.8378378378377</v>
      </c>
      <c r="R47" s="3">
        <f t="shared" si="19"/>
        <v>1270.8378378378377</v>
      </c>
      <c r="S47" s="3">
        <f t="shared" si="19"/>
        <v>1270.8378378378377</v>
      </c>
      <c r="T47" s="3">
        <f t="shared" si="19"/>
        <v>1270.8378378378377</v>
      </c>
    </row>
    <row r="48" spans="2:20" x14ac:dyDescent="0.35">
      <c r="G48" s="1"/>
      <c r="H48" s="1"/>
      <c r="S48" s="3"/>
      <c r="T48" s="3"/>
    </row>
    <row r="49" spans="2:20" x14ac:dyDescent="0.35">
      <c r="H49" s="1"/>
      <c r="S49" s="3"/>
      <c r="T49" s="3"/>
    </row>
    <row r="50" spans="2:20" x14ac:dyDescent="0.35">
      <c r="B50" s="2" t="s">
        <v>31</v>
      </c>
      <c r="G50" s="1"/>
      <c r="H50" s="2" t="s">
        <v>9</v>
      </c>
      <c r="I50" s="14">
        <f>I51/I52</f>
        <v>-0.34950508403139985</v>
      </c>
      <c r="J50" s="14">
        <f t="shared" ref="J50:T50" si="20">J51/J52</f>
        <v>-0.19303306481084265</v>
      </c>
      <c r="K50" s="14">
        <f t="shared" si="20"/>
        <v>-9.7716324762956684E-3</v>
      </c>
      <c r="L50" s="14">
        <f t="shared" si="20"/>
        <v>7.877056003371799E-2</v>
      </c>
      <c r="M50" s="14">
        <f t="shared" si="20"/>
        <v>0.16606924569432738</v>
      </c>
      <c r="N50" s="14">
        <f t="shared" si="20"/>
        <v>0.20411108795170496</v>
      </c>
      <c r="O50" s="14">
        <f t="shared" si="20"/>
        <v>0.19964266561723118</v>
      </c>
      <c r="P50" s="14">
        <f t="shared" si="20"/>
        <v>0.23663155123595084</v>
      </c>
      <c r="Q50" s="14">
        <f t="shared" si="20"/>
        <v>0.26401052242345008</v>
      </c>
      <c r="R50" s="14">
        <f t="shared" si="20"/>
        <v>0.28509407896411515</v>
      </c>
      <c r="S50" s="14">
        <f t="shared" si="20"/>
        <v>0.30182964426800041</v>
      </c>
      <c r="T50" s="14">
        <f t="shared" si="20"/>
        <v>0.31543650149520558</v>
      </c>
    </row>
    <row r="51" spans="2:20" x14ac:dyDescent="0.35">
      <c r="C51" s="19" t="s">
        <v>30</v>
      </c>
      <c r="G51" s="1"/>
      <c r="H51" s="1" t="s">
        <v>25</v>
      </c>
      <c r="I51" s="3">
        <f>I45</f>
        <v>-251.01455135135137</v>
      </c>
      <c r="J51" s="3">
        <f t="shared" ref="J51:T51" si="21">J45</f>
        <v>-328.34924324324334</v>
      </c>
      <c r="K51" s="3">
        <f t="shared" si="21"/>
        <v>-28.515187027026968</v>
      </c>
      <c r="L51" s="3">
        <f t="shared" si="21"/>
        <v>339.43809729729753</v>
      </c>
      <c r="M51" s="3">
        <f t="shared" si="21"/>
        <v>961.0726172972976</v>
      </c>
      <c r="N51" s="3">
        <f t="shared" si="21"/>
        <v>1500.6451297297301</v>
      </c>
      <c r="O51" s="3">
        <f t="shared" si="21"/>
        <v>1780.2176421621627</v>
      </c>
      <c r="P51" s="3">
        <f t="shared" si="21"/>
        <v>2480.3577221621626</v>
      </c>
      <c r="Q51" s="3">
        <f t="shared" si="21"/>
        <v>3180.4978021621637</v>
      </c>
      <c r="R51" s="3">
        <f t="shared" si="21"/>
        <v>3880.6378821621629</v>
      </c>
      <c r="S51" s="3">
        <f t="shared" si="21"/>
        <v>4580.7779621621621</v>
      </c>
      <c r="T51" s="3">
        <f t="shared" si="21"/>
        <v>5280.9180421621631</v>
      </c>
    </row>
    <row r="52" spans="2:20" x14ac:dyDescent="0.35">
      <c r="C52" s="1" t="s">
        <v>0</v>
      </c>
      <c r="G52" s="1"/>
      <c r="H52" s="1" t="s">
        <v>25</v>
      </c>
      <c r="I52" s="3">
        <f t="shared" ref="I52:T52" si="22">I12</f>
        <v>718.2</v>
      </c>
      <c r="J52" s="3">
        <f t="shared" si="22"/>
        <v>1701</v>
      </c>
      <c r="K52" s="3">
        <f t="shared" si="22"/>
        <v>2918.16</v>
      </c>
      <c r="L52" s="3">
        <f t="shared" si="22"/>
        <v>4309.2</v>
      </c>
      <c r="M52" s="3">
        <f t="shared" si="22"/>
        <v>5787.18</v>
      </c>
      <c r="N52" s="3">
        <f t="shared" si="22"/>
        <v>7352.1</v>
      </c>
      <c r="O52" s="3">
        <f t="shared" si="22"/>
        <v>8917.02</v>
      </c>
      <c r="P52" s="3">
        <f t="shared" si="22"/>
        <v>10481.94</v>
      </c>
      <c r="Q52" s="3">
        <f t="shared" si="22"/>
        <v>12046.86</v>
      </c>
      <c r="R52" s="3">
        <f t="shared" si="22"/>
        <v>13611.779999999999</v>
      </c>
      <c r="S52" s="3">
        <f t="shared" si="22"/>
        <v>15176.7</v>
      </c>
      <c r="T52" s="3">
        <f t="shared" si="22"/>
        <v>16741.62</v>
      </c>
    </row>
    <row r="53" spans="2:20" x14ac:dyDescent="0.35">
      <c r="H53" s="1"/>
      <c r="S53" s="3"/>
      <c r="T53" s="3"/>
    </row>
    <row r="54" spans="2:20" x14ac:dyDescent="0.35">
      <c r="H54" s="1"/>
      <c r="S54" s="3"/>
      <c r="T54" s="3"/>
    </row>
    <row r="55" spans="2:20" x14ac:dyDescent="0.35">
      <c r="H55" s="1"/>
      <c r="S55" s="3"/>
      <c r="T55" s="3"/>
    </row>
    <row r="56" spans="2:20" x14ac:dyDescent="0.35">
      <c r="B56" s="2" t="s">
        <v>144</v>
      </c>
      <c r="G56" s="1"/>
      <c r="H56" s="1" t="s">
        <v>25</v>
      </c>
      <c r="I56" s="7">
        <f>SUM(I57:I68)</f>
        <v>-4645.5532000000003</v>
      </c>
      <c r="J56" s="7">
        <f t="shared" ref="J56:S56" si="23">SUM(J57:J68)</f>
        <v>-4515.0330000000004</v>
      </c>
      <c r="K56" s="7">
        <f t="shared" si="23"/>
        <v>-4174.6421600000003</v>
      </c>
      <c r="L56" s="7">
        <f t="shared" si="23"/>
        <v>-3677.2402000000002</v>
      </c>
      <c r="M56" s="7">
        <f t="shared" si="23"/>
        <v>-3101.33268</v>
      </c>
      <c r="N56" s="7">
        <f t="shared" si="23"/>
        <v>-2446.9196000000002</v>
      </c>
      <c r="O56" s="7">
        <f t="shared" si="23"/>
        <v>-1862.5065199999999</v>
      </c>
      <c r="P56" s="7">
        <f t="shared" si="23"/>
        <v>-1208.0934399999996</v>
      </c>
      <c r="Q56" s="7">
        <f t="shared" si="23"/>
        <v>-553.68035999999938</v>
      </c>
      <c r="R56" s="7">
        <f>SUM(R57:R68)</f>
        <v>100.73272000000088</v>
      </c>
      <c r="S56" s="7">
        <f t="shared" si="23"/>
        <v>755.14580000000115</v>
      </c>
      <c r="T56" s="7">
        <f>SUM(T57:T68)</f>
        <v>1409.5588800000005</v>
      </c>
    </row>
    <row r="57" spans="2:20" hidden="1" outlineLevel="1" x14ac:dyDescent="0.35">
      <c r="B57" s="2"/>
      <c r="C57" s="1">
        <v>1</v>
      </c>
      <c r="G57" s="1"/>
      <c r="H57" s="1" t="s">
        <v>25</v>
      </c>
      <c r="I57" s="3">
        <f>SUMIFS(Hotel!$121:$121,Hotel!$6:$6,I$6-$C57+1)*HLOOKUP($C57,$I$6:$T$8,3,0)</f>
        <v>-4645.5532000000003</v>
      </c>
      <c r="J57" s="3">
        <f>SUMIFS(Hotel!$121:$121,Hotel!$6:$6,J$6-$C57+1)*HLOOKUP($C57,$I$6:$T$8,3,0)</f>
        <v>130.5201999999999</v>
      </c>
      <c r="K57" s="3">
        <f>SUMIFS(Hotel!$121:$121,Hotel!$6:$6,K$6-$C57+1)*HLOOKUP($C57,$I$6:$T$8,3,0)</f>
        <v>340.39084000000014</v>
      </c>
      <c r="L57" s="3">
        <f>SUMIFS(Hotel!$121:$121,Hotel!$6:$6,L$6-$C57+1)*HLOOKUP($C57,$I$6:$T$8,3,0)</f>
        <v>497.40196000000003</v>
      </c>
      <c r="M57" s="3">
        <f>SUMIFS(Hotel!$121:$121,Hotel!$6:$6,M$6-$C57+1)*HLOOKUP($C57,$I$6:$T$8,3,0)</f>
        <v>575.90752000000009</v>
      </c>
      <c r="N57" s="3">
        <f>SUMIFS(Hotel!$121:$121,Hotel!$6:$6,N$6-$C57+1)*HLOOKUP($C57,$I$6:$T$8,3,0)</f>
        <v>654.41308000000015</v>
      </c>
      <c r="O57" s="3">
        <f>SUMIFS(Hotel!$121:$121,Hotel!$6:$6,O$6-$C57+1)*HLOOKUP($C57,$I$6:$T$8,3,0)</f>
        <v>584.41308000000015</v>
      </c>
      <c r="P57" s="3">
        <f>SUMIFS(Hotel!$121:$121,Hotel!$6:$6,P$6-$C57+1)*HLOOKUP($C57,$I$6:$T$8,3,0)</f>
        <v>654.41308000000015</v>
      </c>
      <c r="Q57" s="3">
        <f>SUMIFS(Hotel!$121:$121,Hotel!$6:$6,Q$6-$C57+1)*HLOOKUP($C57,$I$6:$T$8,3,0)</f>
        <v>654.41308000000015</v>
      </c>
      <c r="R57" s="3">
        <f>SUMIFS(Hotel!$121:$121,Hotel!$6:$6,R$6-$C57+1)*HLOOKUP($C57,$I$6:$T$8,3,0)</f>
        <v>654.41308000000015</v>
      </c>
      <c r="S57" s="3">
        <f>SUMIFS(Hotel!$121:$121,Hotel!$6:$6,S$6-$C57+1)*HLOOKUP($C57,$I$6:$T$8,3,0)</f>
        <v>654.41308000000015</v>
      </c>
      <c r="T57" s="3">
        <f>SUMIFS(Hotel!$121:$121,Hotel!$6:$6,T$6-$C57+1)*HLOOKUP($C57,$I$6:$T$8,3,0)</f>
        <v>654.41308000000015</v>
      </c>
    </row>
    <row r="58" spans="2:20" hidden="1" outlineLevel="1" x14ac:dyDescent="0.35">
      <c r="C58" s="4">
        <v>2</v>
      </c>
      <c r="G58" s="1"/>
      <c r="H58" s="1" t="s">
        <v>25</v>
      </c>
      <c r="I58" s="3">
        <f>SUMIFS(Hotel!$121:$121,Hotel!$6:$6,I$6-$C58+1)*HLOOKUP($C58,$I$6:$T$8,3,0)</f>
        <v>0</v>
      </c>
      <c r="J58" s="3">
        <f>SUMIFS(Hotel!$121:$121,Hotel!$6:$6,J$6-$C58+1)*HLOOKUP($C58,$I$6:$T$8,3,0)</f>
        <v>-4645.5532000000003</v>
      </c>
      <c r="K58" s="3">
        <f>SUMIFS(Hotel!$121:$121,Hotel!$6:$6,K$6-$C58+1)*HLOOKUP($C58,$I$6:$T$8,3,0)</f>
        <v>130.5201999999999</v>
      </c>
      <c r="L58" s="3">
        <f>SUMIFS(Hotel!$121:$121,Hotel!$6:$6,L$6-$C58+1)*HLOOKUP($C58,$I$6:$T$8,3,0)</f>
        <v>340.39084000000014</v>
      </c>
      <c r="M58" s="3">
        <f>SUMIFS(Hotel!$121:$121,Hotel!$6:$6,M$6-$C58+1)*HLOOKUP($C58,$I$6:$T$8,3,0)</f>
        <v>497.40196000000003</v>
      </c>
      <c r="N58" s="3">
        <f>SUMIFS(Hotel!$121:$121,Hotel!$6:$6,N$6-$C58+1)*HLOOKUP($C58,$I$6:$T$8,3,0)</f>
        <v>575.90752000000009</v>
      </c>
      <c r="O58" s="3">
        <f>SUMIFS(Hotel!$121:$121,Hotel!$6:$6,O$6-$C58+1)*HLOOKUP($C58,$I$6:$T$8,3,0)</f>
        <v>654.41308000000015</v>
      </c>
      <c r="P58" s="3">
        <f>SUMIFS(Hotel!$121:$121,Hotel!$6:$6,P$6-$C58+1)*HLOOKUP($C58,$I$6:$T$8,3,0)</f>
        <v>584.41308000000015</v>
      </c>
      <c r="Q58" s="3">
        <f>SUMIFS(Hotel!$121:$121,Hotel!$6:$6,Q$6-$C58+1)*HLOOKUP($C58,$I$6:$T$8,3,0)</f>
        <v>654.41308000000015</v>
      </c>
      <c r="R58" s="3">
        <f>SUMIFS(Hotel!$121:$121,Hotel!$6:$6,R$6-$C58+1)*HLOOKUP($C58,$I$6:$T$8,3,0)</f>
        <v>654.41308000000015</v>
      </c>
      <c r="S58" s="3">
        <f>SUMIFS(Hotel!$121:$121,Hotel!$6:$6,S$6-$C58+1)*HLOOKUP($C58,$I$6:$T$8,3,0)</f>
        <v>654.41308000000015</v>
      </c>
      <c r="T58" s="3">
        <f>SUMIFS(Hotel!$121:$121,Hotel!$6:$6,T$6-$C58+1)*HLOOKUP($C58,$I$6:$T$8,3,0)</f>
        <v>654.41308000000015</v>
      </c>
    </row>
    <row r="59" spans="2:20" hidden="1" outlineLevel="1" x14ac:dyDescent="0.35">
      <c r="C59" s="1">
        <v>3</v>
      </c>
      <c r="G59" s="1"/>
      <c r="H59" s="1" t="s">
        <v>25</v>
      </c>
      <c r="I59" s="3">
        <f>SUMIFS(Hotel!$121:$121,Hotel!$6:$6,I$6-$C59+1)*HLOOKUP($C59,$I$6:$T$8,3,0)</f>
        <v>0</v>
      </c>
      <c r="J59" s="3">
        <f>SUMIFS(Hotel!$121:$121,Hotel!$6:$6,J$6-$C59+1)*HLOOKUP($C59,$I$6:$T$8,3,0)</f>
        <v>0</v>
      </c>
      <c r="K59" s="3">
        <f>SUMIFS(Hotel!$121:$121,Hotel!$6:$6,K$6-$C59+1)*HLOOKUP($C59,$I$6:$T$8,3,0)</f>
        <v>-4645.5532000000003</v>
      </c>
      <c r="L59" s="3">
        <f>SUMIFS(Hotel!$121:$121,Hotel!$6:$6,L$6-$C59+1)*HLOOKUP($C59,$I$6:$T$8,3,0)</f>
        <v>130.5201999999999</v>
      </c>
      <c r="M59" s="3">
        <f>SUMIFS(Hotel!$121:$121,Hotel!$6:$6,M$6-$C59+1)*HLOOKUP($C59,$I$6:$T$8,3,0)</f>
        <v>340.39084000000014</v>
      </c>
      <c r="N59" s="3">
        <f>SUMIFS(Hotel!$121:$121,Hotel!$6:$6,N$6-$C59+1)*HLOOKUP($C59,$I$6:$T$8,3,0)</f>
        <v>497.40196000000003</v>
      </c>
      <c r="O59" s="3">
        <f>SUMIFS(Hotel!$121:$121,Hotel!$6:$6,O$6-$C59+1)*HLOOKUP($C59,$I$6:$T$8,3,0)</f>
        <v>575.90752000000009</v>
      </c>
      <c r="P59" s="3">
        <f>SUMIFS(Hotel!$121:$121,Hotel!$6:$6,P$6-$C59+1)*HLOOKUP($C59,$I$6:$T$8,3,0)</f>
        <v>654.41308000000015</v>
      </c>
      <c r="Q59" s="3">
        <f>SUMIFS(Hotel!$121:$121,Hotel!$6:$6,Q$6-$C59+1)*HLOOKUP($C59,$I$6:$T$8,3,0)</f>
        <v>584.41308000000015</v>
      </c>
      <c r="R59" s="3">
        <f>SUMIFS(Hotel!$121:$121,Hotel!$6:$6,R$6-$C59+1)*HLOOKUP($C59,$I$6:$T$8,3,0)</f>
        <v>654.41308000000015</v>
      </c>
      <c r="S59" s="3">
        <f>SUMIFS(Hotel!$121:$121,Hotel!$6:$6,S$6-$C59+1)*HLOOKUP($C59,$I$6:$T$8,3,0)</f>
        <v>654.41308000000015</v>
      </c>
      <c r="T59" s="3">
        <f>SUMIFS(Hotel!$121:$121,Hotel!$6:$6,T$6-$C59+1)*HLOOKUP($C59,$I$6:$T$8,3,0)</f>
        <v>654.41308000000015</v>
      </c>
    </row>
    <row r="60" spans="2:20" hidden="1" outlineLevel="1" x14ac:dyDescent="0.35">
      <c r="C60" s="4">
        <v>4</v>
      </c>
      <c r="G60" s="1"/>
      <c r="H60" s="1" t="s">
        <v>25</v>
      </c>
      <c r="I60" s="3">
        <f>SUMIFS(Hotel!$121:$121,Hotel!$6:$6,I$6-$C60+1)*HLOOKUP($C60,$I$6:$T$8,3,0)</f>
        <v>0</v>
      </c>
      <c r="J60" s="3">
        <f>SUMIFS(Hotel!$121:$121,Hotel!$6:$6,J$6-$C60+1)*HLOOKUP($C60,$I$6:$T$8,3,0)</f>
        <v>0</v>
      </c>
      <c r="K60" s="3">
        <f>SUMIFS(Hotel!$121:$121,Hotel!$6:$6,K$6-$C60+1)*HLOOKUP($C60,$I$6:$T$8,3,0)</f>
        <v>0</v>
      </c>
      <c r="L60" s="3">
        <f>SUMIFS(Hotel!$121:$121,Hotel!$6:$6,L$6-$C60+1)*HLOOKUP($C60,$I$6:$T$8,3,0)</f>
        <v>-4645.5532000000003</v>
      </c>
      <c r="M60" s="3">
        <f>SUMIFS(Hotel!$121:$121,Hotel!$6:$6,M$6-$C60+1)*HLOOKUP($C60,$I$6:$T$8,3,0)</f>
        <v>130.5201999999999</v>
      </c>
      <c r="N60" s="3">
        <f>SUMIFS(Hotel!$121:$121,Hotel!$6:$6,N$6-$C60+1)*HLOOKUP($C60,$I$6:$T$8,3,0)</f>
        <v>340.39084000000014</v>
      </c>
      <c r="O60" s="3">
        <f>SUMIFS(Hotel!$121:$121,Hotel!$6:$6,O$6-$C60+1)*HLOOKUP($C60,$I$6:$T$8,3,0)</f>
        <v>497.40196000000003</v>
      </c>
      <c r="P60" s="3">
        <f>SUMIFS(Hotel!$121:$121,Hotel!$6:$6,P$6-$C60+1)*HLOOKUP($C60,$I$6:$T$8,3,0)</f>
        <v>575.90752000000009</v>
      </c>
      <c r="Q60" s="3">
        <f>SUMIFS(Hotel!$121:$121,Hotel!$6:$6,Q$6-$C60+1)*HLOOKUP($C60,$I$6:$T$8,3,0)</f>
        <v>654.41308000000015</v>
      </c>
      <c r="R60" s="3">
        <f>SUMIFS(Hotel!$121:$121,Hotel!$6:$6,R$6-$C60+1)*HLOOKUP($C60,$I$6:$T$8,3,0)</f>
        <v>584.41308000000015</v>
      </c>
      <c r="S60" s="3">
        <f>SUMIFS(Hotel!$121:$121,Hotel!$6:$6,S$6-$C60+1)*HLOOKUP($C60,$I$6:$T$8,3,0)</f>
        <v>654.41308000000015</v>
      </c>
      <c r="T60" s="3">
        <f>SUMIFS(Hotel!$121:$121,Hotel!$6:$6,T$6-$C60+1)*HLOOKUP($C60,$I$6:$T$8,3,0)</f>
        <v>654.41308000000015</v>
      </c>
    </row>
    <row r="61" spans="2:20" hidden="1" outlineLevel="1" x14ac:dyDescent="0.35">
      <c r="C61" s="1">
        <v>5</v>
      </c>
      <c r="G61" s="1"/>
      <c r="H61" s="1" t="s">
        <v>25</v>
      </c>
      <c r="I61" s="3">
        <f>SUMIFS(Hotel!$121:$121,Hotel!$6:$6,I$6-$C61+1)*HLOOKUP($C61,$I$6:$T$8,3,0)</f>
        <v>0</v>
      </c>
      <c r="J61" s="3">
        <f>SUMIFS(Hotel!$121:$121,Hotel!$6:$6,J$6-$C61+1)*HLOOKUP($C61,$I$6:$T$8,3,0)</f>
        <v>0</v>
      </c>
      <c r="K61" s="3">
        <f>SUMIFS(Hotel!$121:$121,Hotel!$6:$6,K$6-$C61+1)*HLOOKUP($C61,$I$6:$T$8,3,0)</f>
        <v>0</v>
      </c>
      <c r="L61" s="3">
        <f>SUMIFS(Hotel!$121:$121,Hotel!$6:$6,L$6-$C61+1)*HLOOKUP($C61,$I$6:$T$8,3,0)</f>
        <v>0</v>
      </c>
      <c r="M61" s="3">
        <f>SUMIFS(Hotel!$121:$121,Hotel!$6:$6,M$6-$C61+1)*HLOOKUP($C61,$I$6:$T$8,3,0)</f>
        <v>-4645.5532000000003</v>
      </c>
      <c r="N61" s="3">
        <f>SUMIFS(Hotel!$121:$121,Hotel!$6:$6,N$6-$C61+1)*HLOOKUP($C61,$I$6:$T$8,3,0)</f>
        <v>130.5201999999999</v>
      </c>
      <c r="O61" s="3">
        <f>SUMIFS(Hotel!$121:$121,Hotel!$6:$6,O$6-$C61+1)*HLOOKUP($C61,$I$6:$T$8,3,0)</f>
        <v>340.39084000000014</v>
      </c>
      <c r="P61" s="3">
        <f>SUMIFS(Hotel!$121:$121,Hotel!$6:$6,P$6-$C61+1)*HLOOKUP($C61,$I$6:$T$8,3,0)</f>
        <v>497.40196000000003</v>
      </c>
      <c r="Q61" s="3">
        <f>SUMIFS(Hotel!$121:$121,Hotel!$6:$6,Q$6-$C61+1)*HLOOKUP($C61,$I$6:$T$8,3,0)</f>
        <v>575.90752000000009</v>
      </c>
      <c r="R61" s="3">
        <f>SUMIFS(Hotel!$121:$121,Hotel!$6:$6,R$6-$C61+1)*HLOOKUP($C61,$I$6:$T$8,3,0)</f>
        <v>654.41308000000015</v>
      </c>
      <c r="S61" s="3">
        <f>SUMIFS(Hotel!$121:$121,Hotel!$6:$6,S$6-$C61+1)*HLOOKUP($C61,$I$6:$T$8,3,0)</f>
        <v>584.41308000000015</v>
      </c>
      <c r="T61" s="3">
        <f>SUMIFS(Hotel!$121:$121,Hotel!$6:$6,T$6-$C61+1)*HLOOKUP($C61,$I$6:$T$8,3,0)</f>
        <v>654.41308000000015</v>
      </c>
    </row>
    <row r="62" spans="2:20" hidden="1" outlineLevel="1" x14ac:dyDescent="0.35">
      <c r="B62" s="2"/>
      <c r="C62" s="4">
        <v>6</v>
      </c>
      <c r="G62" s="1"/>
      <c r="H62" s="1" t="s">
        <v>25</v>
      </c>
      <c r="I62" s="3">
        <f>SUMIFS(Hotel!$121:$121,Hotel!$6:$6,I$6-$C62+1)*HLOOKUP($C62,$I$6:$T$8,3,0)</f>
        <v>0</v>
      </c>
      <c r="J62" s="3">
        <f>SUMIFS(Hotel!$121:$121,Hotel!$6:$6,J$6-$C62+1)*HLOOKUP($C62,$I$6:$T$8,3,0)</f>
        <v>0</v>
      </c>
      <c r="K62" s="3">
        <f>SUMIFS(Hotel!$121:$121,Hotel!$6:$6,K$6-$C62+1)*HLOOKUP($C62,$I$6:$T$8,3,0)</f>
        <v>0</v>
      </c>
      <c r="L62" s="3">
        <f>SUMIFS(Hotel!$121:$121,Hotel!$6:$6,L$6-$C62+1)*HLOOKUP($C62,$I$6:$T$8,3,0)</f>
        <v>0</v>
      </c>
      <c r="M62" s="3">
        <f>SUMIFS(Hotel!$121:$121,Hotel!$6:$6,M$6-$C62+1)*HLOOKUP($C62,$I$6:$T$8,3,0)</f>
        <v>0</v>
      </c>
      <c r="N62" s="3">
        <f>SUMIFS(Hotel!$121:$121,Hotel!$6:$6,N$6-$C62+1)*HLOOKUP($C62,$I$6:$T$8,3,0)</f>
        <v>-4645.5532000000003</v>
      </c>
      <c r="O62" s="3">
        <f>SUMIFS(Hotel!$121:$121,Hotel!$6:$6,O$6-$C62+1)*HLOOKUP($C62,$I$6:$T$8,3,0)</f>
        <v>130.5201999999999</v>
      </c>
      <c r="P62" s="3">
        <f>SUMIFS(Hotel!$121:$121,Hotel!$6:$6,P$6-$C62+1)*HLOOKUP($C62,$I$6:$T$8,3,0)</f>
        <v>340.39084000000014</v>
      </c>
      <c r="Q62" s="3">
        <f>SUMIFS(Hotel!$121:$121,Hotel!$6:$6,Q$6-$C62+1)*HLOOKUP($C62,$I$6:$T$8,3,0)</f>
        <v>497.40196000000003</v>
      </c>
      <c r="R62" s="3">
        <f>SUMIFS(Hotel!$121:$121,Hotel!$6:$6,R$6-$C62+1)*HLOOKUP($C62,$I$6:$T$8,3,0)</f>
        <v>575.90752000000009</v>
      </c>
      <c r="S62" s="3">
        <f>SUMIFS(Hotel!$121:$121,Hotel!$6:$6,S$6-$C62+1)*HLOOKUP($C62,$I$6:$T$8,3,0)</f>
        <v>654.41308000000015</v>
      </c>
      <c r="T62" s="3">
        <f>SUMIFS(Hotel!$121:$121,Hotel!$6:$6,T$6-$C62+1)*HLOOKUP($C62,$I$6:$T$8,3,0)</f>
        <v>584.41308000000015</v>
      </c>
    </row>
    <row r="63" spans="2:20" hidden="1" outlineLevel="1" x14ac:dyDescent="0.35">
      <c r="C63" s="1">
        <v>7</v>
      </c>
      <c r="G63" s="1"/>
      <c r="H63" s="1" t="s">
        <v>25</v>
      </c>
      <c r="I63" s="3">
        <f>SUMIFS(Hotel!$121:$121,Hotel!$6:$6,I$6-$C63+1)*HLOOKUP($C63,$I$6:$T$8,3,0)</f>
        <v>0</v>
      </c>
      <c r="J63" s="3">
        <f>SUMIFS(Hotel!$121:$121,Hotel!$6:$6,J$6-$C63+1)*HLOOKUP($C63,$I$6:$T$8,3,0)</f>
        <v>0</v>
      </c>
      <c r="K63" s="3">
        <f>SUMIFS(Hotel!$121:$121,Hotel!$6:$6,K$6-$C63+1)*HLOOKUP($C63,$I$6:$T$8,3,0)</f>
        <v>0</v>
      </c>
      <c r="L63" s="3">
        <f>SUMIFS(Hotel!$121:$121,Hotel!$6:$6,L$6-$C63+1)*HLOOKUP($C63,$I$6:$T$8,3,0)</f>
        <v>0</v>
      </c>
      <c r="M63" s="3">
        <f>SUMIFS(Hotel!$121:$121,Hotel!$6:$6,M$6-$C63+1)*HLOOKUP($C63,$I$6:$T$8,3,0)</f>
        <v>0</v>
      </c>
      <c r="N63" s="3">
        <f>SUMIFS(Hotel!$121:$121,Hotel!$6:$6,N$6-$C63+1)*HLOOKUP($C63,$I$6:$T$8,3,0)</f>
        <v>0</v>
      </c>
      <c r="O63" s="3">
        <f>SUMIFS(Hotel!$121:$121,Hotel!$6:$6,O$6-$C63+1)*HLOOKUP($C63,$I$6:$T$8,3,0)</f>
        <v>-4645.5532000000003</v>
      </c>
      <c r="P63" s="3">
        <f>SUMIFS(Hotel!$121:$121,Hotel!$6:$6,P$6-$C63+1)*HLOOKUP($C63,$I$6:$T$8,3,0)</f>
        <v>130.5201999999999</v>
      </c>
      <c r="Q63" s="3">
        <f>SUMIFS(Hotel!$121:$121,Hotel!$6:$6,Q$6-$C63+1)*HLOOKUP($C63,$I$6:$T$8,3,0)</f>
        <v>340.39084000000014</v>
      </c>
      <c r="R63" s="3">
        <f>SUMIFS(Hotel!$121:$121,Hotel!$6:$6,R$6-$C63+1)*HLOOKUP($C63,$I$6:$T$8,3,0)</f>
        <v>497.40196000000003</v>
      </c>
      <c r="S63" s="3">
        <f>SUMIFS(Hotel!$121:$121,Hotel!$6:$6,S$6-$C63+1)*HLOOKUP($C63,$I$6:$T$8,3,0)</f>
        <v>575.90752000000009</v>
      </c>
      <c r="T63" s="3">
        <f>SUMIFS(Hotel!$121:$121,Hotel!$6:$6,T$6-$C63+1)*HLOOKUP($C63,$I$6:$T$8,3,0)</f>
        <v>654.41308000000015</v>
      </c>
    </row>
    <row r="64" spans="2:20" hidden="1" outlineLevel="1" x14ac:dyDescent="0.35">
      <c r="C64" s="1">
        <v>8</v>
      </c>
      <c r="G64" s="1"/>
      <c r="H64" s="1" t="s">
        <v>25</v>
      </c>
      <c r="I64" s="3">
        <f>SUMIFS(Hotel!$121:$121,Hotel!$6:$6,I$6-$C64+1)*HLOOKUP($C64,$I$6:$T$8,3,0)</f>
        <v>0</v>
      </c>
      <c r="J64" s="3">
        <f>SUMIFS(Hotel!$121:$121,Hotel!$6:$6,J$6-$C64+1)*HLOOKUP($C64,$I$6:$T$8,3,0)</f>
        <v>0</v>
      </c>
      <c r="K64" s="3">
        <f>SUMIFS(Hotel!$121:$121,Hotel!$6:$6,K$6-$C64+1)*HLOOKUP($C64,$I$6:$T$8,3,0)</f>
        <v>0</v>
      </c>
      <c r="L64" s="3">
        <f>SUMIFS(Hotel!$121:$121,Hotel!$6:$6,L$6-$C64+1)*HLOOKUP($C64,$I$6:$T$8,3,0)</f>
        <v>0</v>
      </c>
      <c r="M64" s="3">
        <f>SUMIFS(Hotel!$121:$121,Hotel!$6:$6,M$6-$C64+1)*HLOOKUP($C64,$I$6:$T$8,3,0)</f>
        <v>0</v>
      </c>
      <c r="N64" s="3">
        <f>SUMIFS(Hotel!$121:$121,Hotel!$6:$6,N$6-$C64+1)*HLOOKUP($C64,$I$6:$T$8,3,0)</f>
        <v>0</v>
      </c>
      <c r="O64" s="3">
        <f>SUMIFS(Hotel!$121:$121,Hotel!$6:$6,O$6-$C64+1)*HLOOKUP($C64,$I$6:$T$8,3,0)</f>
        <v>0</v>
      </c>
      <c r="P64" s="3">
        <f>SUMIFS(Hotel!$121:$121,Hotel!$6:$6,P$6-$C64+1)*HLOOKUP($C64,$I$6:$T$8,3,0)</f>
        <v>-4645.5532000000003</v>
      </c>
      <c r="Q64" s="3">
        <f>SUMIFS(Hotel!$121:$121,Hotel!$6:$6,Q$6-$C64+1)*HLOOKUP($C64,$I$6:$T$8,3,0)</f>
        <v>130.5201999999999</v>
      </c>
      <c r="R64" s="3">
        <f>SUMIFS(Hotel!$121:$121,Hotel!$6:$6,R$6-$C64+1)*HLOOKUP($C64,$I$6:$T$8,3,0)</f>
        <v>340.39084000000014</v>
      </c>
      <c r="S64" s="3">
        <f>SUMIFS(Hotel!$121:$121,Hotel!$6:$6,S$6-$C64+1)*HLOOKUP($C64,$I$6:$T$8,3,0)</f>
        <v>497.40196000000003</v>
      </c>
      <c r="T64" s="3">
        <f>SUMIFS(Hotel!$121:$121,Hotel!$6:$6,T$6-$C64+1)*HLOOKUP($C64,$I$6:$T$8,3,0)</f>
        <v>575.90752000000009</v>
      </c>
    </row>
    <row r="65" spans="2:23" hidden="1" outlineLevel="1" x14ac:dyDescent="0.35">
      <c r="C65" s="1">
        <v>9</v>
      </c>
      <c r="G65" s="1"/>
      <c r="H65" s="1" t="s">
        <v>25</v>
      </c>
      <c r="I65" s="3">
        <f>SUMIFS(Hotel!$121:$121,Hotel!$6:$6,I$6-$C65+1)*HLOOKUP($C65,$I$6:$T$8,3,0)</f>
        <v>0</v>
      </c>
      <c r="J65" s="3">
        <f>SUMIFS(Hotel!$121:$121,Hotel!$6:$6,J$6-$C65+1)*HLOOKUP($C65,$I$6:$T$8,3,0)</f>
        <v>0</v>
      </c>
      <c r="K65" s="3">
        <f>SUMIFS(Hotel!$121:$121,Hotel!$6:$6,K$6-$C65+1)*HLOOKUP($C65,$I$6:$T$8,3,0)</f>
        <v>0</v>
      </c>
      <c r="L65" s="3">
        <f>SUMIFS(Hotel!$121:$121,Hotel!$6:$6,L$6-$C65+1)*HLOOKUP($C65,$I$6:$T$8,3,0)</f>
        <v>0</v>
      </c>
      <c r="M65" s="3">
        <f>SUMIFS(Hotel!$121:$121,Hotel!$6:$6,M$6-$C65+1)*HLOOKUP($C65,$I$6:$T$8,3,0)</f>
        <v>0</v>
      </c>
      <c r="N65" s="3">
        <f>SUMIFS(Hotel!$121:$121,Hotel!$6:$6,N$6-$C65+1)*HLOOKUP($C65,$I$6:$T$8,3,0)</f>
        <v>0</v>
      </c>
      <c r="O65" s="3">
        <f>SUMIFS(Hotel!$121:$121,Hotel!$6:$6,O$6-$C65+1)*HLOOKUP($C65,$I$6:$T$8,3,0)</f>
        <v>0</v>
      </c>
      <c r="P65" s="3">
        <f>SUMIFS(Hotel!$121:$121,Hotel!$6:$6,P$6-$C65+1)*HLOOKUP($C65,$I$6:$T$8,3,0)</f>
        <v>0</v>
      </c>
      <c r="Q65" s="3">
        <f>SUMIFS(Hotel!$121:$121,Hotel!$6:$6,Q$6-$C65+1)*HLOOKUP($C65,$I$6:$T$8,3,0)</f>
        <v>-4645.5532000000003</v>
      </c>
      <c r="R65" s="3">
        <f>SUMIFS(Hotel!$121:$121,Hotel!$6:$6,R$6-$C65+1)*HLOOKUP($C65,$I$6:$T$8,3,0)</f>
        <v>130.5201999999999</v>
      </c>
      <c r="S65" s="3">
        <f>SUMIFS(Hotel!$121:$121,Hotel!$6:$6,S$6-$C65+1)*HLOOKUP($C65,$I$6:$T$8,3,0)</f>
        <v>340.39084000000014</v>
      </c>
      <c r="T65" s="3">
        <f>SUMIFS(Hotel!$121:$121,Hotel!$6:$6,T$6-$C65+1)*HLOOKUP($C65,$I$6:$T$8,3,0)</f>
        <v>497.40196000000003</v>
      </c>
    </row>
    <row r="66" spans="2:23" hidden="1" outlineLevel="1" x14ac:dyDescent="0.35">
      <c r="C66" s="1">
        <v>10</v>
      </c>
      <c r="H66" s="1" t="s">
        <v>25</v>
      </c>
      <c r="I66" s="3">
        <f>SUMIFS(Hotel!$121:$121,Hotel!$6:$6,I$6-$C66+1)*HLOOKUP($C66,$I$6:$T$8,3,0)</f>
        <v>0</v>
      </c>
      <c r="J66" s="3">
        <f>SUMIFS(Hotel!$121:$121,Hotel!$6:$6,J$6-$C66+1)*HLOOKUP($C66,$I$6:$T$8,3,0)</f>
        <v>0</v>
      </c>
      <c r="K66" s="3">
        <f>SUMIFS(Hotel!$121:$121,Hotel!$6:$6,K$6-$C66+1)*HLOOKUP($C66,$I$6:$T$8,3,0)</f>
        <v>0</v>
      </c>
      <c r="L66" s="3">
        <f>SUMIFS(Hotel!$121:$121,Hotel!$6:$6,L$6-$C66+1)*HLOOKUP($C66,$I$6:$T$8,3,0)</f>
        <v>0</v>
      </c>
      <c r="M66" s="3">
        <f>SUMIFS(Hotel!$121:$121,Hotel!$6:$6,M$6-$C66+1)*HLOOKUP($C66,$I$6:$T$8,3,0)</f>
        <v>0</v>
      </c>
      <c r="N66" s="3">
        <f>SUMIFS(Hotel!$121:$121,Hotel!$6:$6,N$6-$C66+1)*HLOOKUP($C66,$I$6:$T$8,3,0)</f>
        <v>0</v>
      </c>
      <c r="O66" s="3">
        <f>SUMIFS(Hotel!$121:$121,Hotel!$6:$6,O$6-$C66+1)*HLOOKUP($C66,$I$6:$T$8,3,0)</f>
        <v>0</v>
      </c>
      <c r="P66" s="3">
        <f>SUMIFS(Hotel!$121:$121,Hotel!$6:$6,P$6-$C66+1)*HLOOKUP($C66,$I$6:$T$8,3,0)</f>
        <v>0</v>
      </c>
      <c r="Q66" s="3">
        <f>SUMIFS(Hotel!$121:$121,Hotel!$6:$6,Q$6-$C66+1)*HLOOKUP($C66,$I$6:$T$8,3,0)</f>
        <v>0</v>
      </c>
      <c r="R66" s="3">
        <f>SUMIFS(Hotel!$121:$121,Hotel!$6:$6,R$6-$C66+1)*HLOOKUP($C66,$I$6:$T$8,3,0)</f>
        <v>-4645.5532000000003</v>
      </c>
      <c r="S66" s="3">
        <f>SUMIFS(Hotel!$121:$121,Hotel!$6:$6,S$6-$C66+1)*HLOOKUP($C66,$I$6:$T$8,3,0)</f>
        <v>130.5201999999999</v>
      </c>
      <c r="T66" s="3">
        <f>SUMIFS(Hotel!$121:$121,Hotel!$6:$6,T$6-$C66+1)*HLOOKUP($C66,$I$6:$T$8,3,0)</f>
        <v>340.39084000000014</v>
      </c>
    </row>
    <row r="67" spans="2:23" hidden="1" outlineLevel="1" x14ac:dyDescent="0.35">
      <c r="C67" s="1">
        <v>11</v>
      </c>
      <c r="H67" s="1" t="s">
        <v>25</v>
      </c>
      <c r="I67" s="3">
        <f>SUMIFS(Hotel!$121:$121,Hotel!$6:$6,I$6-$C67+1)*HLOOKUP($C67,$I$6:$T$8,3,0)</f>
        <v>0</v>
      </c>
      <c r="J67" s="3">
        <f>SUMIFS(Hotel!$121:$121,Hotel!$6:$6,J$6-$C67+1)*HLOOKUP($C67,$I$6:$T$8,3,0)</f>
        <v>0</v>
      </c>
      <c r="K67" s="3">
        <f>SUMIFS(Hotel!$121:$121,Hotel!$6:$6,K$6-$C67+1)*HLOOKUP($C67,$I$6:$T$8,3,0)</f>
        <v>0</v>
      </c>
      <c r="L67" s="3">
        <f>SUMIFS(Hotel!$121:$121,Hotel!$6:$6,L$6-$C67+1)*HLOOKUP($C67,$I$6:$T$8,3,0)</f>
        <v>0</v>
      </c>
      <c r="M67" s="3">
        <f>SUMIFS(Hotel!$121:$121,Hotel!$6:$6,M$6-$C67+1)*HLOOKUP($C67,$I$6:$T$8,3,0)</f>
        <v>0</v>
      </c>
      <c r="N67" s="3">
        <f>SUMIFS(Hotel!$121:$121,Hotel!$6:$6,N$6-$C67+1)*HLOOKUP($C67,$I$6:$T$8,3,0)</f>
        <v>0</v>
      </c>
      <c r="O67" s="3">
        <f>SUMIFS(Hotel!$121:$121,Hotel!$6:$6,O$6-$C67+1)*HLOOKUP($C67,$I$6:$T$8,3,0)</f>
        <v>0</v>
      </c>
      <c r="P67" s="3">
        <f>SUMIFS(Hotel!$121:$121,Hotel!$6:$6,P$6-$C67+1)*HLOOKUP($C67,$I$6:$T$8,3,0)</f>
        <v>0</v>
      </c>
      <c r="Q67" s="3">
        <f>SUMIFS(Hotel!$121:$121,Hotel!$6:$6,Q$6-$C67+1)*HLOOKUP($C67,$I$6:$T$8,3,0)</f>
        <v>0</v>
      </c>
      <c r="R67" s="3">
        <f>SUMIFS(Hotel!$121:$121,Hotel!$6:$6,R$6-$C67+1)*HLOOKUP($C67,$I$6:$T$8,3,0)</f>
        <v>0</v>
      </c>
      <c r="S67" s="3">
        <f>SUMIFS(Hotel!$121:$121,Hotel!$6:$6,S$6-$C67+1)*HLOOKUP($C67,$I$6:$T$8,3,0)</f>
        <v>-4645.5532000000003</v>
      </c>
      <c r="T67" s="3">
        <f>SUMIFS(Hotel!$121:$121,Hotel!$6:$6,T$6-$C67+1)*HLOOKUP($C67,$I$6:$T$8,3,0)</f>
        <v>130.5201999999999</v>
      </c>
    </row>
    <row r="68" spans="2:23" hidden="1" outlineLevel="1" x14ac:dyDescent="0.35">
      <c r="C68" s="1">
        <v>12</v>
      </c>
      <c r="H68" s="1" t="s">
        <v>25</v>
      </c>
      <c r="I68" s="3">
        <f>SUMIFS(Hotel!$121:$121,Hotel!$6:$6,I$6-$C68+1)*HLOOKUP($C68,$I$6:$T$8,3,0)</f>
        <v>0</v>
      </c>
      <c r="J68" s="3">
        <f>SUMIFS(Hotel!$121:$121,Hotel!$6:$6,J$6-$C68+1)*HLOOKUP($C68,$I$6:$T$8,3,0)</f>
        <v>0</v>
      </c>
      <c r="K68" s="3">
        <f>SUMIFS(Hotel!$121:$121,Hotel!$6:$6,K$6-$C68+1)*HLOOKUP($C68,$I$6:$T$8,3,0)</f>
        <v>0</v>
      </c>
      <c r="L68" s="3">
        <f>SUMIFS(Hotel!$121:$121,Hotel!$6:$6,L$6-$C68+1)*HLOOKUP($C68,$I$6:$T$8,3,0)</f>
        <v>0</v>
      </c>
      <c r="M68" s="3">
        <f>SUMIFS(Hotel!$121:$121,Hotel!$6:$6,M$6-$C68+1)*HLOOKUP($C68,$I$6:$T$8,3,0)</f>
        <v>0</v>
      </c>
      <c r="N68" s="3">
        <f>SUMIFS(Hotel!$121:$121,Hotel!$6:$6,N$6-$C68+1)*HLOOKUP($C68,$I$6:$T$8,3,0)</f>
        <v>0</v>
      </c>
      <c r="O68" s="3">
        <f>SUMIFS(Hotel!$121:$121,Hotel!$6:$6,O$6-$C68+1)*HLOOKUP($C68,$I$6:$T$8,3,0)</f>
        <v>0</v>
      </c>
      <c r="P68" s="3">
        <f>SUMIFS(Hotel!$121:$121,Hotel!$6:$6,P$6-$C68+1)*HLOOKUP($C68,$I$6:$T$8,3,0)</f>
        <v>0</v>
      </c>
      <c r="Q68" s="3">
        <f>SUMIFS(Hotel!$121:$121,Hotel!$6:$6,Q$6-$C68+1)*HLOOKUP($C68,$I$6:$T$8,3,0)</f>
        <v>0</v>
      </c>
      <c r="R68" s="3">
        <f>SUMIFS(Hotel!$121:$121,Hotel!$6:$6,R$6-$C68+1)*HLOOKUP($C68,$I$6:$T$8,3,0)</f>
        <v>0</v>
      </c>
      <c r="S68" s="3">
        <f>SUMIFS(Hotel!$121:$121,Hotel!$6:$6,S$6-$C68+1)*HLOOKUP($C68,$I$6:$T$8,3,0)</f>
        <v>0</v>
      </c>
      <c r="T68" s="3">
        <f>SUMIFS(Hotel!$121:$121,Hotel!$6:$6,T$6-$C68+1)*HLOOKUP($C68,$I$6:$T$8,3,0)</f>
        <v>-4645.5532000000003</v>
      </c>
    </row>
    <row r="69" spans="2:23" collapsed="1" x14ac:dyDescent="0.35">
      <c r="H69" s="1"/>
    </row>
    <row r="70" spans="2:23" x14ac:dyDescent="0.35">
      <c r="H70" s="1"/>
    </row>
    <row r="71" spans="2:23" x14ac:dyDescent="0.35">
      <c r="B71" s="2" t="s">
        <v>15</v>
      </c>
      <c r="H71" s="1" t="s">
        <v>25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2:23" x14ac:dyDescent="0.35">
      <c r="H72" s="1"/>
      <c r="S72" s="3"/>
      <c r="T72" s="3"/>
    </row>
    <row r="73" spans="2:23" x14ac:dyDescent="0.35">
      <c r="H73" s="1"/>
      <c r="S73" s="3"/>
      <c r="T73" s="3"/>
    </row>
    <row r="74" spans="2:23" x14ac:dyDescent="0.35">
      <c r="B74" s="2" t="s">
        <v>57</v>
      </c>
      <c r="H74" s="1" t="s">
        <v>25</v>
      </c>
      <c r="I74" s="7">
        <f>SUM(I75:I79)</f>
        <v>7481.2460000000001</v>
      </c>
      <c r="J74" s="7">
        <f t="shared" ref="J74:T74" si="24">SUM(J75:J79)</f>
        <v>4324.9483144864862</v>
      </c>
      <c r="K74" s="7">
        <f t="shared" si="24"/>
        <v>4135.8570351989192</v>
      </c>
      <c r="L74" s="7">
        <f t="shared" si="24"/>
        <v>3847.6211130752322</v>
      </c>
      <c r="M74" s="7">
        <f t="shared" si="24"/>
        <v>3480.8326034665256</v>
      </c>
      <c r="N74" s="7">
        <f t="shared" si="24"/>
        <v>3147.7211284265959</v>
      </c>
      <c r="O74" s="7">
        <f t="shared" si="24"/>
        <v>2899.1318639097803</v>
      </c>
      <c r="P74" s="7">
        <f t="shared" si="24"/>
        <v>2286.3281103845538</v>
      </c>
      <c r="Q74" s="7">
        <f t="shared" si="24"/>
        <v>1866.7248909046152</v>
      </c>
      <c r="R74" s="7">
        <f t="shared" si="24"/>
        <v>1460.6720113098784</v>
      </c>
      <c r="S74" s="7">
        <f t="shared" si="24"/>
        <v>1068.3049749991937</v>
      </c>
      <c r="T74" s="7">
        <f t="shared" si="24"/>
        <v>689.76064040540132</v>
      </c>
      <c r="U74" s="3"/>
      <c r="V74" s="3"/>
      <c r="W74" s="3"/>
    </row>
    <row r="75" spans="2:23" x14ac:dyDescent="0.35">
      <c r="B75" s="2"/>
      <c r="C75" s="1" t="s">
        <v>145</v>
      </c>
      <c r="H75" s="1" t="s">
        <v>25</v>
      </c>
      <c r="I75" s="3">
        <f>Loan!I8</f>
        <v>4572.7</v>
      </c>
      <c r="J75" s="3">
        <f>Loan!J8</f>
        <v>4572.7</v>
      </c>
      <c r="K75" s="3">
        <f>Loan!K8</f>
        <v>4572.7</v>
      </c>
      <c r="L75" s="3">
        <f>Loan!L8</f>
        <v>4572.7</v>
      </c>
      <c r="M75" s="3">
        <f>Loan!M8</f>
        <v>4572.7</v>
      </c>
      <c r="N75" s="3">
        <f>Loan!N8</f>
        <v>4572.7</v>
      </c>
      <c r="O75" s="3">
        <f>Loan!O8</f>
        <v>4572.7</v>
      </c>
      <c r="P75" s="3">
        <f>Loan!P8</f>
        <v>4572.7</v>
      </c>
      <c r="Q75" s="3">
        <f>Loan!Q8</f>
        <v>4572.7</v>
      </c>
      <c r="R75" s="3">
        <f>Loan!R8</f>
        <v>4572.7</v>
      </c>
      <c r="S75" s="3">
        <f>Loan!S8</f>
        <v>4572.7</v>
      </c>
      <c r="T75" s="3">
        <f>Loan!T8</f>
        <v>4572.7</v>
      </c>
      <c r="U75" s="3"/>
      <c r="V75" s="3"/>
      <c r="W75" s="3"/>
    </row>
    <row r="76" spans="2:23" x14ac:dyDescent="0.35">
      <c r="C76" s="1" t="s">
        <v>146</v>
      </c>
      <c r="H76" s="1" t="s">
        <v>25</v>
      </c>
      <c r="I76" s="3">
        <f>-Loan!I24</f>
        <v>-91.453999999999994</v>
      </c>
      <c r="J76" s="3">
        <f>-Loan!J24</f>
        <v>-274.36199999999997</v>
      </c>
      <c r="K76" s="3">
        <f>-Loan!K24</f>
        <v>-457.27</v>
      </c>
      <c r="L76" s="3">
        <f>-Loan!L24</f>
        <v>-638.1413714162162</v>
      </c>
      <c r="M76" s="3">
        <f>-Loan!M24</f>
        <v>-813.2463071286486</v>
      </c>
      <c r="N76" s="3">
        <f>-Loan!N24</f>
        <v>-981.38400064648658</v>
      </c>
      <c r="O76" s="3">
        <f>-Loan!O24</f>
        <v>-1144.6068240151353</v>
      </c>
      <c r="P76" s="3">
        <f>-Loan!P24</f>
        <v>-1296.9906563848649</v>
      </c>
      <c r="Q76" s="3">
        <f>-Loan!Q24</f>
        <v>-1434.61181219027</v>
      </c>
      <c r="R76" s="3">
        <f>-Loan!R24</f>
        <v>-1561.0307267156752</v>
      </c>
      <c r="S76" s="3">
        <f>-Loan!S24</f>
        <v>-1676.2473999610806</v>
      </c>
      <c r="T76" s="3">
        <f>-Loan!T24</f>
        <v>-1780.2618319264861</v>
      </c>
      <c r="U76" s="3"/>
      <c r="V76" s="3"/>
      <c r="W76" s="3"/>
    </row>
    <row r="77" spans="2:23" x14ac:dyDescent="0.35">
      <c r="C77" s="1" t="s">
        <v>166</v>
      </c>
      <c r="H77" s="1" t="s">
        <v>25</v>
      </c>
      <c r="I77" s="3">
        <f>Loan!I30</f>
        <v>0</v>
      </c>
      <c r="J77" s="3">
        <f>Loan!J30</f>
        <v>26.610314486486487</v>
      </c>
      <c r="K77" s="3">
        <f>Loan!K30</f>
        <v>20.427035198918912</v>
      </c>
      <c r="L77" s="3">
        <f>Loan!L30</f>
        <v>14.893913680637834</v>
      </c>
      <c r="M77" s="3">
        <f>Loan!M30</f>
        <v>9.7006957843631287</v>
      </c>
      <c r="N77" s="3">
        <f>Loan!N30</f>
        <v>6.59866799200136</v>
      </c>
      <c r="O77" s="3">
        <f>Loan!O30</f>
        <v>5.103980573564618</v>
      </c>
      <c r="P77" s="3">
        <f>Loan!P30</f>
        <v>2.7618556342840477</v>
      </c>
      <c r="Q77" s="3">
        <f>Loan!Q30</f>
        <v>0.83582395975121471</v>
      </c>
      <c r="R77" s="3">
        <f>Loan!R30</f>
        <v>1.2578908904189963</v>
      </c>
      <c r="S77" s="3">
        <f>Loan!S30</f>
        <v>4.1635598251394121</v>
      </c>
      <c r="T77" s="3">
        <f>Loan!T30</f>
        <v>9.6896891967529832</v>
      </c>
      <c r="U77" s="3"/>
      <c r="V77" s="3"/>
      <c r="W77" s="3"/>
    </row>
    <row r="78" spans="2:23" x14ac:dyDescent="0.35">
      <c r="C78" s="1" t="s">
        <v>147</v>
      </c>
      <c r="H78" s="1" t="s">
        <v>25</v>
      </c>
      <c r="I78" s="3">
        <f>-Loan!I13</f>
        <v>0</v>
      </c>
      <c r="J78" s="3">
        <f>-Loan!J13</f>
        <v>0</v>
      </c>
      <c r="K78" s="3">
        <f>-Loan!K13</f>
        <v>0</v>
      </c>
      <c r="L78" s="3">
        <f>-Loan!L13</f>
        <v>-101.83142918918925</v>
      </c>
      <c r="M78" s="3">
        <f>-Loan!M13</f>
        <v>-288.32178518918926</v>
      </c>
      <c r="N78" s="3">
        <f>-Loan!N13</f>
        <v>-450.19353891891905</v>
      </c>
      <c r="O78" s="3">
        <f>-Loan!O13</f>
        <v>-534.06529264864878</v>
      </c>
      <c r="P78" s="3">
        <f>-Loan!P13</f>
        <v>-992.14308886486515</v>
      </c>
      <c r="Q78" s="3">
        <f>-Loan!Q13</f>
        <v>-1272.1991208648656</v>
      </c>
      <c r="R78" s="3">
        <f>-Loan!R13</f>
        <v>-1552.2551528648653</v>
      </c>
      <c r="S78" s="3">
        <f>-Loan!S13</f>
        <v>-1832.311184864865</v>
      </c>
      <c r="T78" s="3">
        <f>-Loan!T13</f>
        <v>-2112.3672168648654</v>
      </c>
    </row>
    <row r="79" spans="2:23" x14ac:dyDescent="0.35">
      <c r="C79" s="1" t="s">
        <v>160</v>
      </c>
      <c r="H79" s="1" t="s">
        <v>25</v>
      </c>
      <c r="I79" s="9">
        <v>3000</v>
      </c>
      <c r="J79" s="9"/>
      <c r="N79" s="9"/>
      <c r="S79" s="3"/>
      <c r="T79" s="3"/>
    </row>
    <row r="80" spans="2:23" x14ac:dyDescent="0.35">
      <c r="H80" s="1"/>
      <c r="S80" s="3"/>
      <c r="T80" s="3"/>
    </row>
    <row r="81" spans="2:20" x14ac:dyDescent="0.35">
      <c r="B81" s="2" t="s">
        <v>56</v>
      </c>
      <c r="H81" s="1" t="s">
        <v>25</v>
      </c>
      <c r="I81" s="7">
        <f>SUM(I82:I85)</f>
        <v>2661.0314486486486</v>
      </c>
      <c r="J81" s="7">
        <f t="shared" ref="J81:T81" si="25">SUM(J82:J85)</f>
        <v>-618.3279287567575</v>
      </c>
      <c r="K81" s="7">
        <f t="shared" si="25"/>
        <v>-553.31215182810774</v>
      </c>
      <c r="L81" s="7">
        <f t="shared" si="25"/>
        <v>-519.32178962747048</v>
      </c>
      <c r="M81" s="7">
        <f t="shared" si="25"/>
        <v>-310.20277923617687</v>
      </c>
      <c r="N81" s="7">
        <f t="shared" si="25"/>
        <v>-149.46874184367425</v>
      </c>
      <c r="O81" s="7">
        <f t="shared" si="25"/>
        <v>-234.21249392805703</v>
      </c>
      <c r="P81" s="7">
        <f t="shared" si="25"/>
        <v>-192.60316745328328</v>
      </c>
      <c r="Q81" s="7">
        <f t="shared" si="25"/>
        <v>42.206693066778143</v>
      </c>
      <c r="R81" s="7">
        <f t="shared" si="25"/>
        <v>290.56689347204156</v>
      </c>
      <c r="S81" s="7">
        <f t="shared" si="25"/>
        <v>552.61293716135719</v>
      </c>
      <c r="T81" s="7">
        <f t="shared" si="25"/>
        <v>828.48168256756412</v>
      </c>
    </row>
    <row r="82" spans="2:20" x14ac:dyDescent="0.35">
      <c r="C82" s="32" t="s">
        <v>159</v>
      </c>
      <c r="H82" s="1" t="s">
        <v>25</v>
      </c>
      <c r="I82" s="3">
        <f>I$56</f>
        <v>-4645.5532000000003</v>
      </c>
      <c r="J82" s="3">
        <f t="shared" ref="J82:T82" si="26">J$56</f>
        <v>-4515.0330000000004</v>
      </c>
      <c r="K82" s="3">
        <f t="shared" si="26"/>
        <v>-4174.6421600000003</v>
      </c>
      <c r="L82" s="3">
        <f t="shared" si="26"/>
        <v>-3677.2402000000002</v>
      </c>
      <c r="M82" s="3">
        <f t="shared" si="26"/>
        <v>-3101.33268</v>
      </c>
      <c r="N82" s="3">
        <f t="shared" si="26"/>
        <v>-2446.9196000000002</v>
      </c>
      <c r="O82" s="3">
        <f t="shared" si="26"/>
        <v>-1862.5065199999999</v>
      </c>
      <c r="P82" s="3">
        <f t="shared" si="26"/>
        <v>-1208.0934399999996</v>
      </c>
      <c r="Q82" s="3">
        <f t="shared" si="26"/>
        <v>-553.68035999999938</v>
      </c>
      <c r="R82" s="3">
        <f t="shared" si="26"/>
        <v>100.73272000000088</v>
      </c>
      <c r="S82" s="3">
        <f t="shared" si="26"/>
        <v>755.14580000000115</v>
      </c>
      <c r="T82" s="3">
        <f t="shared" si="26"/>
        <v>1409.5588800000005</v>
      </c>
    </row>
    <row r="83" spans="2:20" x14ac:dyDescent="0.35">
      <c r="C83" s="32" t="s">
        <v>13</v>
      </c>
      <c r="H83" s="1" t="s">
        <v>25</v>
      </c>
      <c r="I83" s="3">
        <f>-I$42</f>
        <v>-174.66135135135136</v>
      </c>
      <c r="J83" s="3">
        <f t="shared" ref="J83:T83" si="27">-J$42</f>
        <v>-428.24324324324323</v>
      </c>
      <c r="K83" s="3">
        <f t="shared" si="27"/>
        <v>-514.52702702702697</v>
      </c>
      <c r="L83" s="3">
        <f t="shared" si="27"/>
        <v>-689.7027027027026</v>
      </c>
      <c r="M83" s="3">
        <f t="shared" si="27"/>
        <v>-689.7027027027026</v>
      </c>
      <c r="N83" s="3">
        <f t="shared" si="27"/>
        <v>-850.2702702702702</v>
      </c>
      <c r="O83" s="3">
        <f t="shared" si="27"/>
        <v>-1270.8378378378377</v>
      </c>
      <c r="P83" s="3">
        <f t="shared" si="27"/>
        <v>-1270.8378378378377</v>
      </c>
      <c r="Q83" s="3">
        <f t="shared" si="27"/>
        <v>-1270.8378378378377</v>
      </c>
      <c r="R83" s="3">
        <f t="shared" si="27"/>
        <v>-1270.8378378378377</v>
      </c>
      <c r="S83" s="3">
        <f t="shared" si="27"/>
        <v>-1270.8378378378377</v>
      </c>
      <c r="T83" s="3">
        <f t="shared" si="27"/>
        <v>-1270.8378378378377</v>
      </c>
    </row>
    <row r="84" spans="2:20" x14ac:dyDescent="0.35">
      <c r="C84" s="32" t="s">
        <v>15</v>
      </c>
      <c r="H84" s="1" t="s">
        <v>25</v>
      </c>
      <c r="I84" s="3">
        <f>-I71</f>
        <v>0</v>
      </c>
      <c r="J84" s="3">
        <f t="shared" ref="J84:T84" si="28">-J71</f>
        <v>0</v>
      </c>
      <c r="K84" s="3">
        <f t="shared" si="28"/>
        <v>0</v>
      </c>
      <c r="L84" s="3">
        <f t="shared" si="28"/>
        <v>0</v>
      </c>
      <c r="M84" s="3">
        <f t="shared" si="28"/>
        <v>0</v>
      </c>
      <c r="N84" s="3">
        <f t="shared" si="28"/>
        <v>0</v>
      </c>
      <c r="O84" s="3">
        <f t="shared" si="28"/>
        <v>0</v>
      </c>
      <c r="P84" s="3">
        <f t="shared" si="28"/>
        <v>0</v>
      </c>
      <c r="Q84" s="3">
        <f t="shared" si="28"/>
        <v>0</v>
      </c>
      <c r="R84" s="3">
        <f t="shared" si="28"/>
        <v>0</v>
      </c>
      <c r="S84" s="3">
        <f t="shared" si="28"/>
        <v>0</v>
      </c>
      <c r="T84" s="3">
        <f t="shared" si="28"/>
        <v>0</v>
      </c>
    </row>
    <row r="85" spans="2:20" x14ac:dyDescent="0.35">
      <c r="C85" s="32" t="s">
        <v>57</v>
      </c>
      <c r="H85" s="1" t="s">
        <v>25</v>
      </c>
      <c r="I85" s="3">
        <f>I74</f>
        <v>7481.2460000000001</v>
      </c>
      <c r="J85" s="3">
        <f t="shared" ref="J85:T85" si="29">J74</f>
        <v>4324.9483144864862</v>
      </c>
      <c r="K85" s="3">
        <f t="shared" si="29"/>
        <v>4135.8570351989192</v>
      </c>
      <c r="L85" s="3">
        <f t="shared" si="29"/>
        <v>3847.6211130752322</v>
      </c>
      <c r="M85" s="3">
        <f t="shared" si="29"/>
        <v>3480.8326034665256</v>
      </c>
      <c r="N85" s="3">
        <f t="shared" si="29"/>
        <v>3147.7211284265959</v>
      </c>
      <c r="O85" s="3">
        <f t="shared" si="29"/>
        <v>2899.1318639097803</v>
      </c>
      <c r="P85" s="3">
        <f t="shared" si="29"/>
        <v>2286.3281103845538</v>
      </c>
      <c r="Q85" s="3">
        <f t="shared" si="29"/>
        <v>1866.7248909046152</v>
      </c>
      <c r="R85" s="3">
        <f t="shared" si="29"/>
        <v>1460.6720113098784</v>
      </c>
      <c r="S85" s="3">
        <f t="shared" si="29"/>
        <v>1068.3049749991937</v>
      </c>
      <c r="T85" s="3">
        <f t="shared" si="29"/>
        <v>689.76064040540132</v>
      </c>
    </row>
    <row r="88" spans="2:20" x14ac:dyDescent="0.35">
      <c r="B88" s="2" t="s">
        <v>162</v>
      </c>
      <c r="H88" s="1" t="s">
        <v>25</v>
      </c>
      <c r="I88" s="7">
        <f>I89+I90</f>
        <v>2661.0314486486486</v>
      </c>
      <c r="J88" s="7">
        <f t="shared" ref="J88:T88" si="30">J89+J90</f>
        <v>2042.7035198918911</v>
      </c>
      <c r="K88" s="7">
        <f t="shared" si="30"/>
        <v>1489.3913680637834</v>
      </c>
      <c r="L88" s="7">
        <f t="shared" si="30"/>
        <v>970.0695784363129</v>
      </c>
      <c r="M88" s="7">
        <f t="shared" si="30"/>
        <v>659.86679920013603</v>
      </c>
      <c r="N88" s="7">
        <f t="shared" si="30"/>
        <v>510.39805735646178</v>
      </c>
      <c r="O88" s="7">
        <f t="shared" si="30"/>
        <v>276.18556342840475</v>
      </c>
      <c r="P88" s="7">
        <f t="shared" si="30"/>
        <v>83.582395975121472</v>
      </c>
      <c r="Q88" s="7">
        <f t="shared" si="30"/>
        <v>125.78908904189962</v>
      </c>
      <c r="R88" s="7">
        <f t="shared" si="30"/>
        <v>416.35598251394117</v>
      </c>
      <c r="S88" s="7">
        <f t="shared" si="30"/>
        <v>968.96891967529837</v>
      </c>
      <c r="T88" s="7">
        <f t="shared" si="30"/>
        <v>1797.4506022428625</v>
      </c>
    </row>
    <row r="89" spans="2:20" x14ac:dyDescent="0.35">
      <c r="C89" s="32" t="s">
        <v>163</v>
      </c>
      <c r="H89" s="1" t="s">
        <v>25</v>
      </c>
      <c r="J89" s="3">
        <f>I88</f>
        <v>2661.0314486486486</v>
      </c>
      <c r="K89" s="3">
        <f t="shared" ref="K89:T89" si="31">J88</f>
        <v>2042.7035198918911</v>
      </c>
      <c r="L89" s="3">
        <f t="shared" si="31"/>
        <v>1489.3913680637834</v>
      </c>
      <c r="M89" s="3">
        <f t="shared" si="31"/>
        <v>970.0695784363129</v>
      </c>
      <c r="N89" s="3">
        <f t="shared" si="31"/>
        <v>659.86679920013603</v>
      </c>
      <c r="O89" s="3">
        <f t="shared" si="31"/>
        <v>510.39805735646178</v>
      </c>
      <c r="P89" s="3">
        <f t="shared" si="31"/>
        <v>276.18556342840475</v>
      </c>
      <c r="Q89" s="3">
        <f t="shared" si="31"/>
        <v>83.582395975121472</v>
      </c>
      <c r="R89" s="3">
        <f t="shared" si="31"/>
        <v>125.78908904189962</v>
      </c>
      <c r="S89" s="3">
        <f t="shared" si="31"/>
        <v>416.35598251394117</v>
      </c>
      <c r="T89" s="3">
        <f t="shared" si="31"/>
        <v>968.96891967529837</v>
      </c>
    </row>
    <row r="90" spans="2:20" x14ac:dyDescent="0.35">
      <c r="C90" s="1" t="s">
        <v>161</v>
      </c>
      <c r="H90" s="1" t="s">
        <v>25</v>
      </c>
      <c r="I90" s="3">
        <f>I81</f>
        <v>2661.0314486486486</v>
      </c>
      <c r="J90" s="3">
        <f t="shared" ref="J90:T90" si="32">J81</f>
        <v>-618.3279287567575</v>
      </c>
      <c r="K90" s="3">
        <f t="shared" si="32"/>
        <v>-553.31215182810774</v>
      </c>
      <c r="L90" s="3">
        <f t="shared" si="32"/>
        <v>-519.32178962747048</v>
      </c>
      <c r="M90" s="3">
        <f t="shared" si="32"/>
        <v>-310.20277923617687</v>
      </c>
      <c r="N90" s="3">
        <f t="shared" si="32"/>
        <v>-149.46874184367425</v>
      </c>
      <c r="O90" s="3">
        <f t="shared" si="32"/>
        <v>-234.21249392805703</v>
      </c>
      <c r="P90" s="3">
        <f t="shared" si="32"/>
        <v>-192.60316745328328</v>
      </c>
      <c r="Q90" s="3">
        <f t="shared" si="32"/>
        <v>42.206693066778143</v>
      </c>
      <c r="R90" s="3">
        <f t="shared" si="32"/>
        <v>290.56689347204156</v>
      </c>
      <c r="S90" s="3">
        <f t="shared" si="32"/>
        <v>552.61293716135719</v>
      </c>
      <c r="T90" s="3">
        <f t="shared" si="32"/>
        <v>828.48168256756412</v>
      </c>
    </row>
    <row r="93" spans="2:20" x14ac:dyDescent="0.35">
      <c r="B93" s="2" t="s">
        <v>167</v>
      </c>
      <c r="H93" s="1" t="s">
        <v>25</v>
      </c>
      <c r="I93" s="7">
        <f>SUM(I94:I96)</f>
        <v>2661.0314486486486</v>
      </c>
      <c r="J93" s="7">
        <f t="shared" ref="J93:T93" si="33">SUM(J94:J96)</f>
        <v>-618.3279287567575</v>
      </c>
      <c r="K93" s="7">
        <f t="shared" si="33"/>
        <v>-553.31215182810774</v>
      </c>
      <c r="L93" s="7">
        <f t="shared" si="33"/>
        <v>-417.49036043828119</v>
      </c>
      <c r="M93" s="7">
        <f t="shared" si="33"/>
        <v>-21.88099404698778</v>
      </c>
      <c r="N93" s="7">
        <f t="shared" si="33"/>
        <v>300.72479707524462</v>
      </c>
      <c r="O93" s="7">
        <f t="shared" si="33"/>
        <v>299.85279872059164</v>
      </c>
      <c r="P93" s="7">
        <f t="shared" si="33"/>
        <v>799.53992141158187</v>
      </c>
      <c r="Q93" s="7">
        <f t="shared" si="33"/>
        <v>1314.4058139316437</v>
      </c>
      <c r="R93" s="7">
        <f t="shared" si="33"/>
        <v>1842.8220463369069</v>
      </c>
      <c r="S93" s="7">
        <f t="shared" si="33"/>
        <v>2384.924122026222</v>
      </c>
      <c r="T93" s="7">
        <f t="shared" si="33"/>
        <v>2940.8488994324298</v>
      </c>
    </row>
    <row r="94" spans="2:20" x14ac:dyDescent="0.35">
      <c r="C94" s="32" t="s">
        <v>159</v>
      </c>
      <c r="H94" s="1" t="s">
        <v>25</v>
      </c>
      <c r="I94" s="3">
        <f>I$56</f>
        <v>-4645.5532000000003</v>
      </c>
      <c r="J94" s="3">
        <f t="shared" ref="J94:T94" si="34">J$56</f>
        <v>-4515.0330000000004</v>
      </c>
      <c r="K94" s="3">
        <f t="shared" si="34"/>
        <v>-4174.6421600000003</v>
      </c>
      <c r="L94" s="3">
        <f t="shared" si="34"/>
        <v>-3677.2402000000002</v>
      </c>
      <c r="M94" s="3">
        <f t="shared" si="34"/>
        <v>-3101.33268</v>
      </c>
      <c r="N94" s="3">
        <f t="shared" si="34"/>
        <v>-2446.9196000000002</v>
      </c>
      <c r="O94" s="3">
        <f t="shared" si="34"/>
        <v>-1862.5065199999999</v>
      </c>
      <c r="P94" s="3">
        <f t="shared" si="34"/>
        <v>-1208.0934399999996</v>
      </c>
      <c r="Q94" s="3">
        <f t="shared" si="34"/>
        <v>-553.68035999999938</v>
      </c>
      <c r="R94" s="3">
        <f t="shared" si="34"/>
        <v>100.73272000000088</v>
      </c>
      <c r="S94" s="3">
        <f t="shared" si="34"/>
        <v>755.14580000000115</v>
      </c>
      <c r="T94" s="3">
        <f t="shared" si="34"/>
        <v>1409.5588800000005</v>
      </c>
    </row>
    <row r="95" spans="2:20" x14ac:dyDescent="0.35">
      <c r="C95" s="32" t="s">
        <v>13</v>
      </c>
      <c r="H95" s="1" t="s">
        <v>25</v>
      </c>
      <c r="I95" s="3">
        <f>-I$42</f>
        <v>-174.66135135135136</v>
      </c>
      <c r="J95" s="3">
        <f t="shared" ref="J95:T95" si="35">-J$42</f>
        <v>-428.24324324324323</v>
      </c>
      <c r="K95" s="3">
        <f t="shared" si="35"/>
        <v>-514.52702702702697</v>
      </c>
      <c r="L95" s="3">
        <f t="shared" si="35"/>
        <v>-689.7027027027026</v>
      </c>
      <c r="M95" s="3">
        <f t="shared" si="35"/>
        <v>-689.7027027027026</v>
      </c>
      <c r="N95" s="3">
        <f t="shared" si="35"/>
        <v>-850.2702702702702</v>
      </c>
      <c r="O95" s="3">
        <f t="shared" si="35"/>
        <v>-1270.8378378378377</v>
      </c>
      <c r="P95" s="3">
        <f t="shared" si="35"/>
        <v>-1270.8378378378377</v>
      </c>
      <c r="Q95" s="3">
        <f t="shared" si="35"/>
        <v>-1270.8378378378377</v>
      </c>
      <c r="R95" s="3">
        <f t="shared" si="35"/>
        <v>-1270.8378378378377</v>
      </c>
      <c r="S95" s="3">
        <f t="shared" si="35"/>
        <v>-1270.8378378378377</v>
      </c>
      <c r="T95" s="3">
        <f t="shared" si="35"/>
        <v>-1270.8378378378377</v>
      </c>
    </row>
    <row r="96" spans="2:20" x14ac:dyDescent="0.35">
      <c r="C96" s="32" t="s">
        <v>168</v>
      </c>
      <c r="H96" s="1" t="s">
        <v>25</v>
      </c>
      <c r="I96" s="3">
        <f>I74-I78</f>
        <v>7481.2460000000001</v>
      </c>
      <c r="J96" s="3">
        <f t="shared" ref="J96:T96" si="36">J74-J78</f>
        <v>4324.9483144864862</v>
      </c>
      <c r="K96" s="3">
        <f t="shared" si="36"/>
        <v>4135.8570351989192</v>
      </c>
      <c r="L96" s="3">
        <f t="shared" si="36"/>
        <v>3949.4525422644215</v>
      </c>
      <c r="M96" s="3">
        <f t="shared" si="36"/>
        <v>3769.1543886557147</v>
      </c>
      <c r="N96" s="3">
        <f t="shared" si="36"/>
        <v>3597.9146673455148</v>
      </c>
      <c r="O96" s="3">
        <f t="shared" si="36"/>
        <v>3433.197156558429</v>
      </c>
      <c r="P96" s="3">
        <f t="shared" si="36"/>
        <v>3278.471199249419</v>
      </c>
      <c r="Q96" s="3">
        <f t="shared" si="36"/>
        <v>3138.9240117694808</v>
      </c>
      <c r="R96" s="3">
        <f t="shared" si="36"/>
        <v>3012.9271641747437</v>
      </c>
      <c r="S96" s="3">
        <f t="shared" si="36"/>
        <v>2900.6161598640588</v>
      </c>
      <c r="T96" s="3">
        <f t="shared" si="36"/>
        <v>2802.1278572702668</v>
      </c>
    </row>
  </sheetData>
  <hyperlinks>
    <hyperlink ref="I2" location="Master!A1" display="back" xr:uid="{8E410F77-74D4-4719-AAC3-03A458588ADA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T20"/>
  <sheetViews>
    <sheetView zoomScale="60" zoomScaleNormal="6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O25" sqref="O25"/>
    </sheetView>
  </sheetViews>
  <sheetFormatPr defaultColWidth="9.1796875" defaultRowHeight="14.5" x14ac:dyDescent="0.35"/>
  <cols>
    <col min="1" max="1" width="9.1796875" style="1"/>
    <col min="2" max="2" width="5.54296875" style="1" customWidth="1"/>
    <col min="3" max="5" width="9.1796875" style="1"/>
    <col min="6" max="6" width="10" style="1" bestFit="1" customWidth="1"/>
    <col min="7" max="7" width="9.1796875" style="3"/>
    <col min="8" max="8" width="9.6328125" style="35" bestFit="1" customWidth="1"/>
    <col min="9" max="18" width="9.1796875" style="3"/>
    <col min="19" max="16384" width="9.1796875" style="1"/>
  </cols>
  <sheetData>
    <row r="1" spans="1:20" x14ac:dyDescent="0.35">
      <c r="A1" s="2" t="s">
        <v>181</v>
      </c>
    </row>
    <row r="2" spans="1:20" x14ac:dyDescent="0.35">
      <c r="A2" s="1" t="s">
        <v>28</v>
      </c>
      <c r="H2" s="37"/>
      <c r="J2" s="15" t="s">
        <v>24</v>
      </c>
    </row>
    <row r="5" spans="1:20" x14ac:dyDescent="0.35">
      <c r="I5" s="7" t="s">
        <v>27</v>
      </c>
      <c r="S5" s="3"/>
      <c r="T5" s="3"/>
    </row>
    <row r="6" spans="1:20" x14ac:dyDescent="0.35">
      <c r="I6" s="7">
        <v>1</v>
      </c>
      <c r="J6" s="7">
        <v>2</v>
      </c>
      <c r="K6" s="7">
        <v>3</v>
      </c>
      <c r="L6" s="7">
        <v>4</v>
      </c>
      <c r="M6" s="7">
        <v>5</v>
      </c>
      <c r="N6" s="7">
        <v>6</v>
      </c>
      <c r="O6" s="7">
        <v>7</v>
      </c>
      <c r="P6" s="7">
        <v>8</v>
      </c>
      <c r="Q6" s="7">
        <v>9</v>
      </c>
      <c r="R6" s="7">
        <v>10</v>
      </c>
      <c r="S6" s="7">
        <v>11</v>
      </c>
      <c r="T6" s="7">
        <v>12</v>
      </c>
    </row>
    <row r="7" spans="1:20" x14ac:dyDescent="0.35">
      <c r="H7" s="34"/>
      <c r="S7" s="3"/>
      <c r="T7" s="3"/>
    </row>
    <row r="8" spans="1:20" s="2" customFormat="1" x14ac:dyDescent="0.35">
      <c r="B8" s="2" t="s">
        <v>172</v>
      </c>
      <c r="G8" s="7"/>
      <c r="H8" s="34" t="s">
        <v>25</v>
      </c>
      <c r="I8" s="7">
        <f>I9*I10</f>
        <v>-2761.160064864865</v>
      </c>
      <c r="J8" s="7">
        <f t="shared" ref="J8:T8" si="0">J9*J10</f>
        <v>-3611.8416756756769</v>
      </c>
      <c r="K8" s="7">
        <f t="shared" si="0"/>
        <v>-313.66705729729665</v>
      </c>
      <c r="L8" s="7">
        <f t="shared" si="0"/>
        <v>3733.8190702702727</v>
      </c>
      <c r="M8" s="7">
        <f t="shared" si="0"/>
        <v>10571.798790270273</v>
      </c>
      <c r="N8" s="7">
        <f t="shared" si="0"/>
        <v>16507.096427027031</v>
      </c>
      <c r="O8" s="7">
        <f t="shared" si="0"/>
        <v>19582.394063783791</v>
      </c>
      <c r="P8" s="7">
        <f t="shared" si="0"/>
        <v>27283.934943783788</v>
      </c>
      <c r="Q8" s="7">
        <f t="shared" si="0"/>
        <v>34985.475823783803</v>
      </c>
      <c r="R8" s="7">
        <f t="shared" si="0"/>
        <v>42687.016703783789</v>
      </c>
      <c r="S8" s="7">
        <f t="shared" si="0"/>
        <v>50388.557583783782</v>
      </c>
      <c r="T8" s="7">
        <f t="shared" si="0"/>
        <v>58090.098463783797</v>
      </c>
    </row>
    <row r="9" spans="1:20" x14ac:dyDescent="0.35">
      <c r="C9" s="1" t="s">
        <v>173</v>
      </c>
      <c r="H9" s="34" t="s">
        <v>25</v>
      </c>
      <c r="I9" s="3">
        <f>'Total Chain'!I45</f>
        <v>-251.01455135135137</v>
      </c>
      <c r="J9" s="3">
        <f>'Total Chain'!J45</f>
        <v>-328.34924324324334</v>
      </c>
      <c r="K9" s="3">
        <f>'Total Chain'!K45</f>
        <v>-28.515187027026968</v>
      </c>
      <c r="L9" s="3">
        <f>'Total Chain'!L45</f>
        <v>339.43809729729753</v>
      </c>
      <c r="M9" s="3">
        <f>'Total Chain'!M45</f>
        <v>961.0726172972976</v>
      </c>
      <c r="N9" s="3">
        <f>'Total Chain'!N45</f>
        <v>1500.6451297297301</v>
      </c>
      <c r="O9" s="3">
        <f>'Total Chain'!O45</f>
        <v>1780.2176421621627</v>
      </c>
      <c r="P9" s="3">
        <f>'Total Chain'!P45</f>
        <v>2480.3577221621626</v>
      </c>
      <c r="Q9" s="3">
        <f>'Total Chain'!Q45</f>
        <v>3180.4978021621637</v>
      </c>
      <c r="R9" s="3">
        <f>'Total Chain'!R45</f>
        <v>3880.6378821621629</v>
      </c>
      <c r="S9" s="3">
        <f>'Total Chain'!S45</f>
        <v>4580.7779621621621</v>
      </c>
      <c r="T9" s="3">
        <f>'Total Chain'!T45</f>
        <v>5280.9180421621631</v>
      </c>
    </row>
    <row r="10" spans="1:20" x14ac:dyDescent="0.35">
      <c r="C10" s="1" t="s">
        <v>174</v>
      </c>
      <c r="I10" s="9">
        <v>11</v>
      </c>
      <c r="J10" s="3">
        <f>I10</f>
        <v>11</v>
      </c>
      <c r="K10" s="3">
        <f t="shared" ref="K10:T10" si="1">J10</f>
        <v>11</v>
      </c>
      <c r="L10" s="3">
        <f t="shared" si="1"/>
        <v>11</v>
      </c>
      <c r="M10" s="3">
        <f t="shared" si="1"/>
        <v>11</v>
      </c>
      <c r="N10" s="3">
        <f t="shared" si="1"/>
        <v>11</v>
      </c>
      <c r="O10" s="3">
        <f t="shared" si="1"/>
        <v>11</v>
      </c>
      <c r="P10" s="3">
        <f t="shared" si="1"/>
        <v>11</v>
      </c>
      <c r="Q10" s="3">
        <f t="shared" si="1"/>
        <v>11</v>
      </c>
      <c r="R10" s="3">
        <f t="shared" si="1"/>
        <v>11</v>
      </c>
      <c r="S10" s="3">
        <f t="shared" si="1"/>
        <v>11</v>
      </c>
      <c r="T10" s="3">
        <f t="shared" si="1"/>
        <v>11</v>
      </c>
    </row>
    <row r="12" spans="1:20" x14ac:dyDescent="0.35">
      <c r="B12" s="2" t="s">
        <v>176</v>
      </c>
      <c r="H12" s="34" t="s">
        <v>25</v>
      </c>
      <c r="I12" s="7">
        <f>I13-I14</f>
        <v>-7333.8600648648644</v>
      </c>
      <c r="J12" s="7">
        <f t="shared" ref="J12:T12" si="2">J13-J14</f>
        <v>-12757.241675675676</v>
      </c>
      <c r="K12" s="7">
        <f t="shared" si="2"/>
        <v>-14031.767057297295</v>
      </c>
      <c r="L12" s="7">
        <f t="shared" si="2"/>
        <v>-14455.14950054054</v>
      </c>
      <c r="M12" s="7">
        <f t="shared" si="2"/>
        <v>-11901.54799535135</v>
      </c>
      <c r="N12" s="7">
        <f t="shared" si="2"/>
        <v>-10088.756819675673</v>
      </c>
      <c r="O12" s="7">
        <f t="shared" si="2"/>
        <v>-11052.093890270266</v>
      </c>
      <c r="P12" s="7">
        <f t="shared" si="2"/>
        <v>-6931.1099214053975</v>
      </c>
      <c r="Q12" s="7">
        <f t="shared" si="2"/>
        <v>-2530.0699205405108</v>
      </c>
      <c r="R12" s="7">
        <f t="shared" si="2"/>
        <v>2151.0261123243399</v>
      </c>
      <c r="S12" s="7">
        <f t="shared" si="2"/>
        <v>7112.1781771891983</v>
      </c>
      <c r="T12" s="7">
        <f t="shared" si="2"/>
        <v>12353.386274054079</v>
      </c>
    </row>
    <row r="13" spans="1:20" x14ac:dyDescent="0.35">
      <c r="C13" s="34" t="s">
        <v>172</v>
      </c>
      <c r="H13" s="34" t="s">
        <v>25</v>
      </c>
      <c r="I13" s="3">
        <f>I8</f>
        <v>-2761.160064864865</v>
      </c>
      <c r="J13" s="3">
        <f t="shared" ref="J13:T13" si="3">J8</f>
        <v>-3611.8416756756769</v>
      </c>
      <c r="K13" s="3">
        <f t="shared" si="3"/>
        <v>-313.66705729729665</v>
      </c>
      <c r="L13" s="3">
        <f t="shared" si="3"/>
        <v>3733.8190702702727</v>
      </c>
      <c r="M13" s="3">
        <f t="shared" si="3"/>
        <v>10571.798790270273</v>
      </c>
      <c r="N13" s="3">
        <f t="shared" si="3"/>
        <v>16507.096427027031</v>
      </c>
      <c r="O13" s="3">
        <f t="shared" si="3"/>
        <v>19582.394063783791</v>
      </c>
      <c r="P13" s="3">
        <f t="shared" si="3"/>
        <v>27283.934943783788</v>
      </c>
      <c r="Q13" s="3">
        <f t="shared" si="3"/>
        <v>34985.475823783803</v>
      </c>
      <c r="R13" s="3">
        <f t="shared" si="3"/>
        <v>42687.016703783789</v>
      </c>
      <c r="S13" s="3">
        <f t="shared" si="3"/>
        <v>50388.557583783782</v>
      </c>
      <c r="T13" s="3">
        <f t="shared" si="3"/>
        <v>58090.098463783797</v>
      </c>
    </row>
    <row r="14" spans="1:20" x14ac:dyDescent="0.35">
      <c r="C14" s="1" t="s">
        <v>177</v>
      </c>
      <c r="H14" s="34" t="s">
        <v>25</v>
      </c>
      <c r="I14" s="3">
        <f>Loan!I18</f>
        <v>4572.7</v>
      </c>
      <c r="J14" s="3">
        <f>Loan!J18</f>
        <v>9145.4</v>
      </c>
      <c r="K14" s="3">
        <f>Loan!K18</f>
        <v>13718.099999999999</v>
      </c>
      <c r="L14" s="3">
        <f>Loan!L18</f>
        <v>18188.968570810812</v>
      </c>
      <c r="M14" s="3">
        <f>Loan!M18</f>
        <v>22473.346785621623</v>
      </c>
      <c r="N14" s="3">
        <f>Loan!N18</f>
        <v>26595.853246702703</v>
      </c>
      <c r="O14" s="3">
        <f>Loan!O18</f>
        <v>30634.487954054057</v>
      </c>
      <c r="P14" s="3">
        <f>Loan!P18</f>
        <v>34215.044865189186</v>
      </c>
      <c r="Q14" s="3">
        <f>Loan!Q18</f>
        <v>37515.545744324314</v>
      </c>
      <c r="R14" s="3">
        <f>Loan!R18</f>
        <v>40535.990591459449</v>
      </c>
      <c r="S14" s="3">
        <f>Loan!S18</f>
        <v>43276.379406594584</v>
      </c>
      <c r="T14" s="3">
        <f>Loan!T18</f>
        <v>45736.712189729718</v>
      </c>
    </row>
    <row r="18" spans="2:20" s="2" customFormat="1" x14ac:dyDescent="0.35">
      <c r="B18" s="2" t="s">
        <v>183</v>
      </c>
      <c r="G18" s="7"/>
      <c r="H18" s="35" t="s">
        <v>9</v>
      </c>
      <c r="I18" s="14">
        <f>I19/I20</f>
        <v>-2.4446200216216214</v>
      </c>
      <c r="J18" s="14">
        <f t="shared" ref="J18:T18" si="4">J19/J20</f>
        <v>-4.2524138918918917</v>
      </c>
      <c r="K18" s="14">
        <f t="shared" si="4"/>
        <v>-4.6772556857657648</v>
      </c>
      <c r="L18" s="14">
        <f t="shared" si="4"/>
        <v>-4.8183831668468464</v>
      </c>
      <c r="M18" s="14">
        <f t="shared" si="4"/>
        <v>-3.9671826651171167</v>
      </c>
      <c r="N18" s="14">
        <f t="shared" si="4"/>
        <v>-3.3629189398918911</v>
      </c>
      <c r="O18" s="14">
        <f t="shared" si="4"/>
        <v>-3.6840312967567552</v>
      </c>
      <c r="P18" s="14">
        <f t="shared" si="4"/>
        <v>-2.3103699738017993</v>
      </c>
      <c r="Q18" s="14">
        <f t="shared" si="4"/>
        <v>-0.84335664018017031</v>
      </c>
      <c r="R18" s="14">
        <f t="shared" si="4"/>
        <v>0.71700870410811335</v>
      </c>
      <c r="S18" s="14">
        <f t="shared" si="4"/>
        <v>2.3707260590630663</v>
      </c>
      <c r="T18" s="14">
        <f t="shared" si="4"/>
        <v>4.1177954246846928</v>
      </c>
    </row>
    <row r="19" spans="2:20" s="34" customFormat="1" x14ac:dyDescent="0.35">
      <c r="C19" s="34" t="s">
        <v>184</v>
      </c>
      <c r="G19" s="35"/>
      <c r="H19" s="34" t="s">
        <v>25</v>
      </c>
      <c r="I19" s="35">
        <f>I12</f>
        <v>-7333.8600648648644</v>
      </c>
      <c r="J19" s="35">
        <f t="shared" ref="J19:T19" si="5">J12</f>
        <v>-12757.241675675676</v>
      </c>
      <c r="K19" s="35">
        <f t="shared" si="5"/>
        <v>-14031.767057297295</v>
      </c>
      <c r="L19" s="35">
        <f t="shared" si="5"/>
        <v>-14455.14950054054</v>
      </c>
      <c r="M19" s="35">
        <f t="shared" si="5"/>
        <v>-11901.54799535135</v>
      </c>
      <c r="N19" s="35">
        <f t="shared" si="5"/>
        <v>-10088.756819675673</v>
      </c>
      <c r="O19" s="35">
        <f t="shared" si="5"/>
        <v>-11052.093890270266</v>
      </c>
      <c r="P19" s="35">
        <f t="shared" si="5"/>
        <v>-6931.1099214053975</v>
      </c>
      <c r="Q19" s="35">
        <f t="shared" si="5"/>
        <v>-2530.0699205405108</v>
      </c>
      <c r="R19" s="35">
        <f t="shared" si="5"/>
        <v>2151.0261123243399</v>
      </c>
      <c r="S19" s="35">
        <f t="shared" si="5"/>
        <v>7112.1781771891983</v>
      </c>
      <c r="T19" s="35">
        <f t="shared" si="5"/>
        <v>12353.386274054079</v>
      </c>
    </row>
    <row r="20" spans="2:20" x14ac:dyDescent="0.35">
      <c r="C20" s="1" t="s">
        <v>115</v>
      </c>
      <c r="H20" s="34" t="s">
        <v>25</v>
      </c>
      <c r="I20" s="3">
        <f>SUM('Total Chain'!$I$79:I79)</f>
        <v>3000</v>
      </c>
      <c r="J20" s="3">
        <f>SUM('Total Chain'!$I$79:J79)</f>
        <v>3000</v>
      </c>
      <c r="K20" s="3">
        <f>SUM('Total Chain'!$I$79:K79)</f>
        <v>3000</v>
      </c>
      <c r="L20" s="3">
        <f>SUM('Total Chain'!$I$79:L79)</f>
        <v>3000</v>
      </c>
      <c r="M20" s="3">
        <f>SUM('Total Chain'!$I$79:M79)</f>
        <v>3000</v>
      </c>
      <c r="N20" s="3">
        <f>SUM('Total Chain'!$I$79:N79)</f>
        <v>3000</v>
      </c>
      <c r="O20" s="3">
        <f>SUM('Total Chain'!$I$79:O79)</f>
        <v>3000</v>
      </c>
      <c r="P20" s="3">
        <f>SUM('Total Chain'!$I$79:P79)</f>
        <v>3000</v>
      </c>
      <c r="Q20" s="3">
        <f>SUM('Total Chain'!$I$79:Q79)</f>
        <v>3000</v>
      </c>
      <c r="R20" s="3">
        <f>SUM('Total Chain'!$I$79:R79)</f>
        <v>3000</v>
      </c>
      <c r="S20" s="3">
        <f>SUM('Total Chain'!$I$79:S79)</f>
        <v>3000</v>
      </c>
      <c r="T20" s="3">
        <f>SUM('Total Chain'!$I$79:T79)</f>
        <v>3000</v>
      </c>
    </row>
  </sheetData>
  <hyperlinks>
    <hyperlink ref="J2" location="Master!A1" display="back" xr:uid="{AAB7EBBF-BEFC-47AD-9EDB-A51735D9B55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S47"/>
  <sheetViews>
    <sheetView zoomScale="50" zoomScaleNormal="50" workbookViewId="0">
      <pane xSplit="9" ySplit="4" topLeftCell="J5" activePane="bottomRight" state="frozen"/>
      <selection pane="topRight" activeCell="J1" sqref="J1"/>
      <selection pane="bottomLeft" activeCell="A7" sqref="A7"/>
      <selection pane="bottomRight" activeCell="J1" sqref="J1"/>
    </sheetView>
  </sheetViews>
  <sheetFormatPr defaultColWidth="8.7265625" defaultRowHeight="14.5" x14ac:dyDescent="0.35"/>
  <cols>
    <col min="1" max="1" width="8.7265625" style="1"/>
    <col min="2" max="2" width="4.81640625" style="1" customWidth="1"/>
    <col min="3" max="3" width="6.453125" style="16" customWidth="1"/>
    <col min="4" max="4" width="3.453125" style="1" customWidth="1"/>
    <col min="5" max="5" width="5.7265625" style="1" customWidth="1"/>
    <col min="6" max="8" width="8.7265625" style="1"/>
    <col min="9" max="9" width="20.81640625" style="1" bestFit="1" customWidth="1"/>
    <col min="10" max="10" width="13.26953125" style="21" customWidth="1"/>
    <col min="11" max="11" width="14.81640625" style="1" customWidth="1"/>
    <col min="12" max="16384" width="8.7265625" style="1"/>
  </cols>
  <sheetData>
    <row r="1" spans="1:19" x14ac:dyDescent="0.35">
      <c r="A1" s="2" t="s">
        <v>33</v>
      </c>
      <c r="J1" s="15" t="s">
        <v>24</v>
      </c>
    </row>
    <row r="4" spans="1:19" x14ac:dyDescent="0.35">
      <c r="K4" s="21"/>
      <c r="L4" s="21"/>
      <c r="M4" s="21"/>
      <c r="N4" s="21"/>
      <c r="O4" s="21"/>
      <c r="P4" s="21"/>
      <c r="Q4" s="21"/>
      <c r="R4" s="21"/>
      <c r="S4" s="21"/>
    </row>
    <row r="5" spans="1:19" x14ac:dyDescent="0.35">
      <c r="H5" s="2" t="s">
        <v>46</v>
      </c>
    </row>
    <row r="6" spans="1:19" x14ac:dyDescent="0.35">
      <c r="I6" s="8" t="s">
        <v>34</v>
      </c>
      <c r="J6" s="20">
        <f>'Total Chain'!I12/1000</f>
        <v>0.71820000000000006</v>
      </c>
    </row>
    <row r="7" spans="1:19" x14ac:dyDescent="0.35">
      <c r="I7" s="8" t="s">
        <v>35</v>
      </c>
      <c r="J7" s="20">
        <f>'Total Chain'!J12/1000</f>
        <v>1.7010000000000001</v>
      </c>
    </row>
    <row r="8" spans="1:19" x14ac:dyDescent="0.35">
      <c r="I8" s="8" t="s">
        <v>36</v>
      </c>
      <c r="J8" s="20">
        <f>'Total Chain'!K12/1000</f>
        <v>2.9181599999999999</v>
      </c>
    </row>
    <row r="9" spans="1:19" x14ac:dyDescent="0.35">
      <c r="I9" s="8" t="s">
        <v>37</v>
      </c>
      <c r="J9" s="20">
        <f>'Total Chain'!L12/1000</f>
        <v>4.3091999999999997</v>
      </c>
    </row>
    <row r="10" spans="1:19" x14ac:dyDescent="0.35">
      <c r="I10" s="8" t="s">
        <v>38</v>
      </c>
      <c r="J10" s="20">
        <f>'Total Chain'!M12/1000</f>
        <v>5.7871800000000002</v>
      </c>
    </row>
    <row r="11" spans="1:19" x14ac:dyDescent="0.35">
      <c r="I11" s="8" t="s">
        <v>39</v>
      </c>
      <c r="J11" s="20">
        <f>'Total Chain'!N12/1000</f>
        <v>7.3521000000000001</v>
      </c>
    </row>
    <row r="12" spans="1:19" x14ac:dyDescent="0.35">
      <c r="I12" s="8" t="s">
        <v>40</v>
      </c>
      <c r="J12" s="20">
        <f>'Total Chain'!O12/1000</f>
        <v>8.9170200000000008</v>
      </c>
    </row>
    <row r="13" spans="1:19" x14ac:dyDescent="0.35">
      <c r="I13" s="8" t="s">
        <v>41</v>
      </c>
      <c r="J13" s="20">
        <f>'Total Chain'!P12/1000</f>
        <v>10.48194</v>
      </c>
    </row>
    <row r="14" spans="1:19" x14ac:dyDescent="0.35">
      <c r="I14" s="8" t="s">
        <v>42</v>
      </c>
      <c r="J14" s="20">
        <f>'Total Chain'!Q12/1000</f>
        <v>12.046860000000001</v>
      </c>
      <c r="M14" s="20">
        <f>'Total Chain'!S84/1000</f>
        <v>0</v>
      </c>
    </row>
    <row r="15" spans="1:19" x14ac:dyDescent="0.35">
      <c r="I15" s="8" t="s">
        <v>43</v>
      </c>
      <c r="J15" s="20">
        <f>'Total Chain'!R12/1000</f>
        <v>13.61178</v>
      </c>
    </row>
    <row r="16" spans="1:19" x14ac:dyDescent="0.35">
      <c r="I16" s="8" t="s">
        <v>44</v>
      </c>
      <c r="J16" s="20">
        <f>'Total Chain'!S12/1000</f>
        <v>15.1767</v>
      </c>
    </row>
    <row r="17" spans="8:10" x14ac:dyDescent="0.35">
      <c r="I17" s="8" t="s">
        <v>45</v>
      </c>
      <c r="J17" s="20">
        <f>'Total Chain'!T12/1000</f>
        <v>16.741619999999998</v>
      </c>
    </row>
    <row r="20" spans="8:10" x14ac:dyDescent="0.35">
      <c r="H20" s="2" t="s">
        <v>47</v>
      </c>
    </row>
    <row r="21" spans="8:10" x14ac:dyDescent="0.35">
      <c r="I21" s="1" t="str">
        <f>I6</f>
        <v>Year 1</v>
      </c>
      <c r="J21" s="20">
        <f>'Total Chain'!I27/1000</f>
        <v>-7.635320000000001E-2</v>
      </c>
    </row>
    <row r="22" spans="8:10" x14ac:dyDescent="0.35">
      <c r="I22" s="1" t="str">
        <f t="shared" ref="I22:I32" si="0">I7</f>
        <v>Year 2</v>
      </c>
      <c r="J22" s="20">
        <f>'Total Chain'!J27/1000</f>
        <v>9.9893999999999886E-2</v>
      </c>
    </row>
    <row r="23" spans="8:10" x14ac:dyDescent="0.35">
      <c r="I23" s="1" t="str">
        <f t="shared" si="0"/>
        <v>Year 3</v>
      </c>
      <c r="J23" s="20">
        <f>'Total Chain'!K27/1000</f>
        <v>0.48601184000000003</v>
      </c>
    </row>
    <row r="24" spans="8:10" x14ac:dyDescent="0.35">
      <c r="I24" s="1" t="str">
        <f t="shared" si="0"/>
        <v>Year 4</v>
      </c>
      <c r="J24" s="20">
        <f>'Total Chain'!L27/1000</f>
        <v>1.0291408000000002</v>
      </c>
    </row>
    <row r="25" spans="8:10" x14ac:dyDescent="0.35">
      <c r="I25" s="1" t="str">
        <f t="shared" si="0"/>
        <v>Year 5</v>
      </c>
      <c r="J25" s="20">
        <f>'Total Chain'!M27/1000</f>
        <v>1.6507753200000002</v>
      </c>
    </row>
    <row r="26" spans="8:10" x14ac:dyDescent="0.35">
      <c r="I26" s="1" t="str">
        <f t="shared" si="0"/>
        <v>Year 6</v>
      </c>
      <c r="J26" s="20">
        <f>'Total Chain'!N27/1000</f>
        <v>2.3509154000000003</v>
      </c>
    </row>
    <row r="27" spans="8:10" x14ac:dyDescent="0.35">
      <c r="I27" s="1" t="str">
        <f t="shared" si="0"/>
        <v>Year 7</v>
      </c>
      <c r="J27" s="20">
        <f>'Total Chain'!O27/1000</f>
        <v>3.0510554800000005</v>
      </c>
    </row>
    <row r="28" spans="8:10" x14ac:dyDescent="0.35">
      <c r="I28" s="1" t="str">
        <f t="shared" si="0"/>
        <v>Year 8</v>
      </c>
      <c r="J28" s="20">
        <f>'Total Chain'!P27/1000</f>
        <v>3.7511955600000007</v>
      </c>
    </row>
    <row r="29" spans="8:10" x14ac:dyDescent="0.35">
      <c r="I29" s="1" t="str">
        <f t="shared" si="0"/>
        <v>Year 9</v>
      </c>
      <c r="J29" s="20">
        <f>'Total Chain'!Q27/1000</f>
        <v>4.4513356400000008</v>
      </c>
    </row>
    <row r="30" spans="8:10" x14ac:dyDescent="0.35">
      <c r="I30" s="1" t="str">
        <f t="shared" si="0"/>
        <v>Year 10</v>
      </c>
      <c r="J30" s="20">
        <f>'Total Chain'!R27/1000</f>
        <v>5.1514757200000005</v>
      </c>
    </row>
    <row r="31" spans="8:10" x14ac:dyDescent="0.35">
      <c r="I31" s="1" t="str">
        <f t="shared" si="0"/>
        <v>Year 11</v>
      </c>
      <c r="J31" s="20">
        <f>'Total Chain'!S27/1000</f>
        <v>5.8516157999999994</v>
      </c>
    </row>
    <row r="32" spans="8:10" x14ac:dyDescent="0.35">
      <c r="I32" s="1" t="str">
        <f t="shared" si="0"/>
        <v>Year 12</v>
      </c>
      <c r="J32" s="20">
        <f>'Total Chain'!T27/1000</f>
        <v>6.5517558800000009</v>
      </c>
    </row>
    <row r="35" spans="8:10" x14ac:dyDescent="0.35">
      <c r="H35" s="2" t="s">
        <v>48</v>
      </c>
    </row>
    <row r="36" spans="8:10" x14ac:dyDescent="0.35">
      <c r="I36" s="1" t="str">
        <f>I21</f>
        <v>Year 1</v>
      </c>
      <c r="J36" s="20">
        <f>'Total Chain'!I45/1000</f>
        <v>-0.25101455135135137</v>
      </c>
    </row>
    <row r="37" spans="8:10" x14ac:dyDescent="0.35">
      <c r="I37" s="1" t="str">
        <f t="shared" ref="I37:I47" si="1">I22</f>
        <v>Year 2</v>
      </c>
      <c r="J37" s="20">
        <f>'Total Chain'!J45/1000</f>
        <v>-0.32834924324324333</v>
      </c>
    </row>
    <row r="38" spans="8:10" x14ac:dyDescent="0.35">
      <c r="I38" s="1" t="str">
        <f t="shared" si="1"/>
        <v>Year 3</v>
      </c>
      <c r="J38" s="20">
        <f>'Total Chain'!K45/1000</f>
        <v>-2.8515187027026968E-2</v>
      </c>
    </row>
    <row r="39" spans="8:10" x14ac:dyDescent="0.35">
      <c r="I39" s="1" t="str">
        <f t="shared" si="1"/>
        <v>Year 4</v>
      </c>
      <c r="J39" s="20">
        <f>'Total Chain'!L45/1000</f>
        <v>0.33943809729729751</v>
      </c>
    </row>
    <row r="40" spans="8:10" x14ac:dyDescent="0.35">
      <c r="I40" s="1" t="str">
        <f t="shared" si="1"/>
        <v>Year 5</v>
      </c>
      <c r="J40" s="20">
        <f>'Total Chain'!M45/1000</f>
        <v>0.96107261729729765</v>
      </c>
    </row>
    <row r="41" spans="8:10" x14ac:dyDescent="0.35">
      <c r="I41" s="1" t="str">
        <f t="shared" si="1"/>
        <v>Year 6</v>
      </c>
      <c r="J41" s="20">
        <f>'Total Chain'!N45/1000</f>
        <v>1.5006451297297301</v>
      </c>
    </row>
    <row r="42" spans="8:10" x14ac:dyDescent="0.35">
      <c r="I42" s="1" t="str">
        <f t="shared" si="1"/>
        <v>Year 7</v>
      </c>
      <c r="J42" s="20">
        <f>'Total Chain'!O45/1000</f>
        <v>1.7802176421621627</v>
      </c>
    </row>
    <row r="43" spans="8:10" x14ac:dyDescent="0.35">
      <c r="I43" s="1" t="str">
        <f t="shared" si="1"/>
        <v>Year 8</v>
      </c>
      <c r="J43" s="20">
        <f>'Total Chain'!P45/1000</f>
        <v>2.4803577221621627</v>
      </c>
    </row>
    <row r="44" spans="8:10" x14ac:dyDescent="0.35">
      <c r="I44" s="1" t="str">
        <f t="shared" si="1"/>
        <v>Year 9</v>
      </c>
      <c r="J44" s="20">
        <f>'Total Chain'!Q45/1000</f>
        <v>3.1804978021621637</v>
      </c>
    </row>
    <row r="45" spans="8:10" x14ac:dyDescent="0.35">
      <c r="I45" s="1" t="str">
        <f t="shared" si="1"/>
        <v>Year 10</v>
      </c>
      <c r="J45" s="20">
        <f>'Total Chain'!R45/1000</f>
        <v>3.880637882162163</v>
      </c>
    </row>
    <row r="46" spans="8:10" x14ac:dyDescent="0.35">
      <c r="I46" s="1" t="str">
        <f t="shared" si="1"/>
        <v>Year 11</v>
      </c>
      <c r="J46" s="20">
        <f>'Total Chain'!S45/1000</f>
        <v>4.5807779621621618</v>
      </c>
    </row>
    <row r="47" spans="8:10" x14ac:dyDescent="0.35">
      <c r="I47" s="1" t="str">
        <f t="shared" si="1"/>
        <v>Year 12</v>
      </c>
      <c r="J47" s="20">
        <f>'Total Chain'!T45/1000</f>
        <v>5.2809180421621633</v>
      </c>
    </row>
  </sheetData>
  <hyperlinks>
    <hyperlink ref="J1" location="Master!A1" display="back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E17"/>
  <sheetViews>
    <sheetView zoomScale="70" zoomScaleNormal="70" workbookViewId="0">
      <selection activeCell="D29" sqref="D29"/>
    </sheetView>
  </sheetViews>
  <sheetFormatPr defaultRowHeight="14.5" x14ac:dyDescent="0.35"/>
  <cols>
    <col min="1" max="3" width="8.7265625" style="1"/>
    <col min="4" max="4" width="31.1796875" style="1" bestFit="1" customWidth="1"/>
    <col min="5" max="16384" width="8.7265625" style="1"/>
  </cols>
  <sheetData>
    <row r="1" spans="1:5" x14ac:dyDescent="0.35">
      <c r="A1" s="2" t="s">
        <v>32</v>
      </c>
    </row>
    <row r="2" spans="1:5" x14ac:dyDescent="0.35">
      <c r="E2" s="15" t="s">
        <v>24</v>
      </c>
    </row>
    <row r="4" spans="1:5" x14ac:dyDescent="0.35">
      <c r="E4" s="15" t="s">
        <v>63</v>
      </c>
    </row>
    <row r="5" spans="1:5" x14ac:dyDescent="0.35">
      <c r="E5" s="15" t="s">
        <v>66</v>
      </c>
    </row>
    <row r="6" spans="1:5" x14ac:dyDescent="0.35">
      <c r="E6" s="15" t="s">
        <v>84</v>
      </c>
    </row>
    <row r="7" spans="1:5" x14ac:dyDescent="0.35">
      <c r="E7" s="15" t="s">
        <v>112</v>
      </c>
    </row>
    <row r="8" spans="1:5" x14ac:dyDescent="0.35">
      <c r="E8" s="15" t="s">
        <v>175</v>
      </c>
    </row>
    <row r="9" spans="1:5" x14ac:dyDescent="0.35">
      <c r="E9" s="15" t="s">
        <v>67</v>
      </c>
    </row>
    <row r="10" spans="1:5" x14ac:dyDescent="0.35">
      <c r="E10" s="23" t="s">
        <v>68</v>
      </c>
    </row>
    <row r="11" spans="1:5" x14ac:dyDescent="0.35">
      <c r="E11" s="23" t="s">
        <v>49</v>
      </c>
    </row>
    <row r="12" spans="1:5" x14ac:dyDescent="0.35">
      <c r="E12" s="23" t="s">
        <v>50</v>
      </c>
    </row>
    <row r="13" spans="1:5" x14ac:dyDescent="0.35">
      <c r="E13" s="23" t="s">
        <v>51</v>
      </c>
    </row>
    <row r="14" spans="1:5" x14ac:dyDescent="0.35">
      <c r="E14" s="23" t="s">
        <v>52</v>
      </c>
    </row>
    <row r="15" spans="1:5" x14ac:dyDescent="0.35">
      <c r="E15" s="15" t="s">
        <v>53</v>
      </c>
    </row>
    <row r="16" spans="1:5" x14ac:dyDescent="0.35">
      <c r="E16" s="15" t="s">
        <v>54</v>
      </c>
    </row>
    <row r="17" spans="5:5" x14ac:dyDescent="0.35">
      <c r="E17" s="15" t="s">
        <v>55</v>
      </c>
    </row>
  </sheetData>
  <hyperlinks>
    <hyperlink ref="E10" r:id="rId1" display="Additional explanation to the model" xr:uid="{00000000-0004-0000-0700-000001000000}"/>
    <hyperlink ref="E11" r:id="rId2" xr:uid="{00000000-0004-0000-0700-000002000000}"/>
    <hyperlink ref="E13" r:id="rId3" xr:uid="{00000000-0004-0000-0700-000003000000}"/>
    <hyperlink ref="E12" r:id="rId4" xr:uid="{00000000-0004-0000-0700-000004000000}"/>
    <hyperlink ref="E14" r:id="rId5" xr:uid="{00000000-0004-0000-0700-000005000000}"/>
    <hyperlink ref="E15" r:id="rId6" xr:uid="{00000000-0004-0000-0700-000006000000}"/>
    <hyperlink ref="E16" r:id="rId7" xr:uid="{00000000-0004-0000-0700-000007000000}"/>
    <hyperlink ref="E9" r:id="rId8" display="Video manual to the model in Excel" xr:uid="{00000000-0004-0000-0700-000008000000}"/>
    <hyperlink ref="E17" r:id="rId9" xr:uid="{00000000-0004-0000-0700-000009000000}"/>
    <hyperlink ref="E4" r:id="rId10" xr:uid="{00000000-0004-0000-0700-00000A000000}"/>
    <hyperlink ref="E5" r:id="rId11" xr:uid="{00000000-0004-0000-0700-00000B000000}"/>
    <hyperlink ref="E6" r:id="rId12" xr:uid="{00000000-0004-0000-0700-00000C000000}"/>
    <hyperlink ref="E7" r:id="rId13" xr:uid="{00000000-0004-0000-0700-00000D000000}"/>
    <hyperlink ref="E8" r:id="rId14" xr:uid="{00000000-0004-0000-0700-00000E000000}"/>
    <hyperlink ref="E2" location="Master!A1" display="back" xr:uid="{EA77E99B-10A1-470D-A71D-E0FCD787EFA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F16"/>
  <sheetViews>
    <sheetView zoomScale="70" zoomScaleNormal="70" workbookViewId="0">
      <selection activeCell="F2" sqref="F2"/>
    </sheetView>
  </sheetViews>
  <sheetFormatPr defaultRowHeight="14.5" x14ac:dyDescent="0.35"/>
  <cols>
    <col min="1" max="16384" width="8.7265625" style="1"/>
  </cols>
  <sheetData>
    <row r="1" spans="1:6" x14ac:dyDescent="0.35">
      <c r="A1" s="2" t="s">
        <v>26</v>
      </c>
    </row>
    <row r="2" spans="1:6" x14ac:dyDescent="0.35">
      <c r="F2" s="15" t="s">
        <v>24</v>
      </c>
    </row>
    <row r="5" spans="1:6" x14ac:dyDescent="0.35">
      <c r="C5" s="1">
        <v>1</v>
      </c>
      <c r="D5" s="1">
        <v>1</v>
      </c>
    </row>
    <row r="6" spans="1:6" x14ac:dyDescent="0.35">
      <c r="C6" s="1">
        <v>2</v>
      </c>
      <c r="D6" s="1">
        <v>2</v>
      </c>
    </row>
    <row r="7" spans="1:6" x14ac:dyDescent="0.35">
      <c r="C7" s="1">
        <v>3</v>
      </c>
      <c r="D7" s="1">
        <v>3</v>
      </c>
    </row>
    <row r="8" spans="1:6" x14ac:dyDescent="0.35">
      <c r="C8" s="1">
        <v>4</v>
      </c>
      <c r="D8" s="1">
        <v>4</v>
      </c>
    </row>
    <row r="9" spans="1:6" x14ac:dyDescent="0.35">
      <c r="C9" s="1">
        <v>5</v>
      </c>
      <c r="D9" s="1">
        <v>5</v>
      </c>
    </row>
    <row r="10" spans="1:6" x14ac:dyDescent="0.35">
      <c r="C10" s="1">
        <v>6</v>
      </c>
      <c r="D10" s="1">
        <v>6</v>
      </c>
    </row>
    <row r="11" spans="1:6" x14ac:dyDescent="0.35">
      <c r="C11" s="1">
        <v>7</v>
      </c>
      <c r="D11" s="1">
        <v>7</v>
      </c>
    </row>
    <row r="12" spans="1:6" x14ac:dyDescent="0.35">
      <c r="C12" s="1">
        <v>8</v>
      </c>
      <c r="D12" s="1">
        <v>8</v>
      </c>
    </row>
    <row r="13" spans="1:6" x14ac:dyDescent="0.35">
      <c r="C13" s="1">
        <v>9</v>
      </c>
      <c r="D13" s="1">
        <v>9</v>
      </c>
    </row>
    <row r="14" spans="1:6" x14ac:dyDescent="0.35">
      <c r="C14" s="1">
        <v>10</v>
      </c>
      <c r="D14" s="1">
        <v>10</v>
      </c>
    </row>
    <row r="15" spans="1:6" x14ac:dyDescent="0.35">
      <c r="C15" s="1">
        <v>11</v>
      </c>
      <c r="D15" s="1">
        <v>11</v>
      </c>
    </row>
    <row r="16" spans="1:6" x14ac:dyDescent="0.35">
      <c r="C16" s="1">
        <v>12</v>
      </c>
      <c r="D16" s="1">
        <v>12</v>
      </c>
    </row>
  </sheetData>
  <hyperlinks>
    <hyperlink ref="F2" location="Master!A1" display="back" xr:uid="{59B24737-A360-4F0E-B46F-1BDF0F48D7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Hotel</vt:lpstr>
      <vt:lpstr>HQ</vt:lpstr>
      <vt:lpstr>Loan</vt:lpstr>
      <vt:lpstr>Total Chain</vt:lpstr>
      <vt:lpstr>Value</vt:lpstr>
      <vt:lpstr>Slide</vt:lpstr>
      <vt:lpstr>Links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2019-12-15T17:54:49Z</dcterms:modified>
</cp:coreProperties>
</file>