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99215_cognizant_com/Documents/Desktop/Aspen - Cloud Migration/Test Center - POV/"/>
    </mc:Choice>
  </mc:AlternateContent>
  <xr:revisionPtr revIDLastSave="8" documentId="8_{98336131-6A42-4286-8F79-98B68D97BA59}" xr6:coauthVersionLast="47" xr6:coauthVersionMax="47" xr10:uidLastSave="{E578A233-D8D1-4A40-897D-D97A47489523}"/>
  <bookViews>
    <workbookView xWindow="-110" yWindow="-110" windowWidth="19420" windowHeight="10300" tabRatio="839" xr2:uid="{00000000-000D-0000-FFFF-FFFF00000000}"/>
  </bookViews>
  <sheets>
    <sheet name="ROI Summary" sheetId="1" r:id="rId1"/>
    <sheet name="ROI - Overall" sheetId="14" state="hidden" r:id="rId2"/>
    <sheet name="ROI - ClaimCenter" sheetId="8" r:id="rId3"/>
    <sheet name="ROI -Smoke Test" sheetId="10" r:id="rId4"/>
    <sheet name="Effort Analysis" sheetId="3" r:id="rId5"/>
    <sheet name="Assumptions_Dependencies" sheetId="5" state="hidden" r:id="rId6"/>
  </sheets>
  <definedNames>
    <definedName name="_xlnm._FilterDatabase" localSheetId="2" hidden="1">'ROI - ClaimCenter'!#REF!</definedName>
    <definedName name="_xlnm._FilterDatabase" localSheetId="1" hidden="1">'ROI - Overall'!#REF!</definedName>
    <definedName name="_xlnm._FilterDatabase" localSheetId="3" hidden="1">'ROI -Smoke Test'!#REF!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K7" i="1" s="1"/>
  <c r="F7" i="1"/>
  <c r="J7" i="1" s="1"/>
  <c r="H7" i="1" l="1"/>
  <c r="G5" i="3" l="1"/>
  <c r="C26" i="8"/>
  <c r="C6" i="1"/>
  <c r="C7" i="1"/>
  <c r="D4" i="10" l="1"/>
  <c r="C4" i="10"/>
  <c r="B4" i="10"/>
  <c r="C17" i="10"/>
  <c r="C24" i="10"/>
  <c r="F5" i="3"/>
  <c r="C13" i="10"/>
  <c r="C14" i="10" s="1"/>
  <c r="D8" i="8"/>
  <c r="G4" i="3"/>
  <c r="D4" i="3"/>
  <c r="I4" i="3" l="1"/>
  <c r="J4" i="3"/>
  <c r="H4" i="3"/>
  <c r="E4" i="10"/>
  <c r="O5" i="3"/>
  <c r="C14" i="8"/>
  <c r="C23" i="1"/>
  <c r="C22" i="1"/>
  <c r="I33" i="14"/>
  <c r="F30" i="14"/>
  <c r="D30" i="14"/>
  <c r="C30" i="14"/>
  <c r="F30" i="10"/>
  <c r="D30" i="10"/>
  <c r="F29" i="14"/>
  <c r="D29" i="14"/>
  <c r="F29" i="10"/>
  <c r="D29" i="10"/>
  <c r="C18" i="14"/>
  <c r="C17" i="14"/>
  <c r="C13" i="14"/>
  <c r="C14" i="14" s="1"/>
  <c r="E39" i="14" s="1"/>
  <c r="J39" i="14" s="1"/>
  <c r="F4" i="3"/>
  <c r="C30" i="10"/>
  <c r="F28" i="10"/>
  <c r="D28" i="10"/>
  <c r="E36" i="10"/>
  <c r="C31" i="8"/>
  <c r="C32" i="8" s="1"/>
  <c r="C13" i="8"/>
  <c r="E40" i="8" s="1"/>
  <c r="F6" i="1" s="1"/>
  <c r="D4" i="8"/>
  <c r="C4" i="8"/>
  <c r="B4" i="8"/>
  <c r="F28" i="14"/>
  <c r="D28" i="14"/>
  <c r="C23" i="14"/>
  <c r="C24" i="14" s="1"/>
  <c r="D11" i="1"/>
  <c r="H9" i="1"/>
  <c r="E6" i="1"/>
  <c r="D6" i="1"/>
  <c r="E41" i="8" l="1"/>
  <c r="E42" i="8" s="1"/>
  <c r="E43" i="8" s="1"/>
  <c r="C18" i="10"/>
  <c r="C19" i="10" s="1"/>
  <c r="P5" i="3"/>
  <c r="L45" i="8"/>
  <c r="C15" i="8"/>
  <c r="J40" i="8"/>
  <c r="K4" i="3"/>
  <c r="C18" i="8" s="1"/>
  <c r="E11" i="1"/>
  <c r="D4" i="14"/>
  <c r="B4" i="14"/>
  <c r="E4" i="8"/>
  <c r="C4" i="14"/>
  <c r="E4" i="14"/>
  <c r="F34" i="14"/>
  <c r="C19" i="14"/>
  <c r="G39" i="14" s="1"/>
  <c r="G40" i="14" s="1"/>
  <c r="K40" i="14" s="1"/>
  <c r="L42" i="10"/>
  <c r="J36" i="10"/>
  <c r="J28" i="10" s="1"/>
  <c r="E28" i="10"/>
  <c r="L37" i="10"/>
  <c r="L38" i="10"/>
  <c r="L41" i="10"/>
  <c r="L47" i="8"/>
  <c r="L44" i="8"/>
  <c r="L46" i="8"/>
  <c r="J28" i="14"/>
  <c r="L57" i="14"/>
  <c r="L56" i="14"/>
  <c r="L46" i="14"/>
  <c r="L53" i="14"/>
  <c r="L52" i="14"/>
  <c r="L42" i="14"/>
  <c r="L29" i="14" s="1"/>
  <c r="L51" i="14"/>
  <c r="L41" i="14"/>
  <c r="L40" i="14"/>
  <c r="L49" i="14"/>
  <c r="L43" i="14"/>
  <c r="L50" i="14"/>
  <c r="L47" i="14"/>
  <c r="L44" i="14"/>
  <c r="L45" i="14"/>
  <c r="L39" i="14"/>
  <c r="L54" i="14"/>
  <c r="L48" i="14"/>
  <c r="L58" i="14"/>
  <c r="L30" i="14" s="1"/>
  <c r="L55" i="14"/>
  <c r="E28" i="14"/>
  <c r="L42" i="8"/>
  <c r="L41" i="8"/>
  <c r="L43" i="8"/>
  <c r="L40" i="8"/>
  <c r="E40" i="14"/>
  <c r="O4" i="3"/>
  <c r="L40" i="10"/>
  <c r="L36" i="10"/>
  <c r="L30" i="10"/>
  <c r="L43" i="10"/>
  <c r="L39" i="10"/>
  <c r="L29" i="10" s="1"/>
  <c r="E37" i="10"/>
  <c r="E44" i="8" l="1"/>
  <c r="E45" i="8" s="1"/>
  <c r="E46" i="8" s="1"/>
  <c r="E47" i="8" s="1"/>
  <c r="G36" i="10"/>
  <c r="K36" i="10" s="1"/>
  <c r="C19" i="8"/>
  <c r="P4" i="3"/>
  <c r="G41" i="14"/>
  <c r="K41" i="14" s="1"/>
  <c r="M41" i="14" s="1"/>
  <c r="G28" i="14"/>
  <c r="H39" i="14"/>
  <c r="I39" i="14" s="1"/>
  <c r="I28" i="14" s="1"/>
  <c r="K39" i="14"/>
  <c r="K28" i="14" s="1"/>
  <c r="L34" i="14"/>
  <c r="M40" i="14"/>
  <c r="H40" i="14"/>
  <c r="I40" i="14" s="1"/>
  <c r="J40" i="14"/>
  <c r="N40" i="14" s="1"/>
  <c r="O40" i="14" s="1"/>
  <c r="E41" i="14"/>
  <c r="G10" i="1"/>
  <c r="H10" i="1" s="1"/>
  <c r="L28" i="10"/>
  <c r="J37" i="10"/>
  <c r="E38" i="10"/>
  <c r="L28" i="14"/>
  <c r="J41" i="8"/>
  <c r="J6" i="1" l="1"/>
  <c r="F8" i="1"/>
  <c r="C20" i="8"/>
  <c r="G40" i="8"/>
  <c r="G6" i="1" s="1"/>
  <c r="G37" i="10"/>
  <c r="K37" i="10" s="1"/>
  <c r="M37" i="10" s="1"/>
  <c r="H36" i="10"/>
  <c r="I36" i="10" s="1"/>
  <c r="I28" i="10" s="1"/>
  <c r="G28" i="10"/>
  <c r="M36" i="10"/>
  <c r="M28" i="10" s="1"/>
  <c r="K28" i="10"/>
  <c r="N36" i="10"/>
  <c r="N28" i="10" s="1"/>
  <c r="H28" i="10"/>
  <c r="M39" i="14"/>
  <c r="M28" i="14" s="1"/>
  <c r="H28" i="14"/>
  <c r="G38" i="10"/>
  <c r="H38" i="10" s="1"/>
  <c r="I38" i="10" s="1"/>
  <c r="N39" i="14"/>
  <c r="G42" i="14"/>
  <c r="G29" i="14" s="1"/>
  <c r="H37" i="10"/>
  <c r="I37" i="10" s="1"/>
  <c r="N37" i="10"/>
  <c r="O37" i="10" s="1"/>
  <c r="E39" i="10"/>
  <c r="E29" i="10" s="1"/>
  <c r="J38" i="10"/>
  <c r="E42" i="14"/>
  <c r="E29" i="14" s="1"/>
  <c r="J41" i="14"/>
  <c r="N41" i="14" s="1"/>
  <c r="O41" i="14" s="1"/>
  <c r="H41" i="14"/>
  <c r="I41" i="14" s="1"/>
  <c r="J42" i="8"/>
  <c r="G41" i="8" l="1"/>
  <c r="G42" i="8" s="1"/>
  <c r="G43" i="8" s="1"/>
  <c r="O36" i="10"/>
  <c r="O28" i="10" s="1"/>
  <c r="K41" i="8"/>
  <c r="H41" i="8"/>
  <c r="I41" i="8" s="1"/>
  <c r="H40" i="8"/>
  <c r="K40" i="8"/>
  <c r="K38" i="10"/>
  <c r="M38" i="10" s="1"/>
  <c r="G39" i="10"/>
  <c r="G29" i="10" s="1"/>
  <c r="K42" i="14"/>
  <c r="M42" i="14" s="1"/>
  <c r="M29" i="14" s="1"/>
  <c r="O39" i="14"/>
  <c r="O28" i="14" s="1"/>
  <c r="N28" i="14"/>
  <c r="G43" i="14"/>
  <c r="K43" i="14" s="1"/>
  <c r="M43" i="14" s="1"/>
  <c r="J44" i="8"/>
  <c r="H42" i="14"/>
  <c r="E43" i="14"/>
  <c r="J42" i="14"/>
  <c r="J39" i="10"/>
  <c r="J29" i="10" s="1"/>
  <c r="E40" i="10"/>
  <c r="J43" i="8"/>
  <c r="I40" i="8" l="1"/>
  <c r="H43" i="8"/>
  <c r="G8" i="1"/>
  <c r="K6" i="1"/>
  <c r="K43" i="8"/>
  <c r="K42" i="8"/>
  <c r="M42" i="8" s="1"/>
  <c r="H42" i="8"/>
  <c r="I42" i="8" s="1"/>
  <c r="G44" i="8"/>
  <c r="G45" i="8" s="1"/>
  <c r="K45" i="8" s="1"/>
  <c r="M45" i="8" s="1"/>
  <c r="N40" i="8"/>
  <c r="M40" i="8"/>
  <c r="M41" i="8"/>
  <c r="N41" i="8"/>
  <c r="O41" i="8" s="1"/>
  <c r="N38" i="10"/>
  <c r="O38" i="10" s="1"/>
  <c r="G40" i="10"/>
  <c r="G41" i="10" s="1"/>
  <c r="K39" i="10"/>
  <c r="N39" i="10" s="1"/>
  <c r="H39" i="10"/>
  <c r="I39" i="10" s="1"/>
  <c r="I29" i="10" s="1"/>
  <c r="K29" i="14"/>
  <c r="G44" i="14"/>
  <c r="G45" i="14" s="1"/>
  <c r="N42" i="14"/>
  <c r="J29" i="14"/>
  <c r="I42" i="14"/>
  <c r="I29" i="14" s="1"/>
  <c r="H29" i="14"/>
  <c r="I43" i="8"/>
  <c r="J45" i="8"/>
  <c r="J40" i="10"/>
  <c r="E41" i="10"/>
  <c r="J43" i="14"/>
  <c r="N43" i="14" s="1"/>
  <c r="O43" i="14" s="1"/>
  <c r="H43" i="14"/>
  <c r="I43" i="14" s="1"/>
  <c r="E44" i="14"/>
  <c r="M43" i="8" l="1"/>
  <c r="N43" i="8"/>
  <c r="K44" i="8"/>
  <c r="M44" i="8" s="1"/>
  <c r="N42" i="8"/>
  <c r="O42" i="8" s="1"/>
  <c r="H44" i="8"/>
  <c r="I44" i="8" s="1"/>
  <c r="H45" i="8"/>
  <c r="I45" i="8" s="1"/>
  <c r="G46" i="8"/>
  <c r="K46" i="8" s="1"/>
  <c r="M46" i="8" s="1"/>
  <c r="O40" i="8"/>
  <c r="K44" i="14"/>
  <c r="M44" i="14" s="1"/>
  <c r="K29" i="10"/>
  <c r="M39" i="10"/>
  <c r="M29" i="10" s="1"/>
  <c r="H29" i="10"/>
  <c r="H40" i="10"/>
  <c r="I40" i="10" s="1"/>
  <c r="K40" i="10"/>
  <c r="M40" i="10" s="1"/>
  <c r="O42" i="14"/>
  <c r="O29" i="14" s="1"/>
  <c r="N29" i="14"/>
  <c r="O39" i="10"/>
  <c r="O29" i="10" s="1"/>
  <c r="N29" i="10"/>
  <c r="N45" i="8"/>
  <c r="O45" i="8" s="1"/>
  <c r="J46" i="8"/>
  <c r="J44" i="14"/>
  <c r="E45" i="14"/>
  <c r="H44" i="14"/>
  <c r="I44" i="14" s="1"/>
  <c r="K41" i="10"/>
  <c r="M41" i="10" s="1"/>
  <c r="G42" i="10"/>
  <c r="J41" i="10"/>
  <c r="E42" i="10"/>
  <c r="H41" i="10"/>
  <c r="I41" i="10" s="1"/>
  <c r="K45" i="14"/>
  <c r="M45" i="14" s="1"/>
  <c r="G46" i="14"/>
  <c r="O43" i="8" l="1"/>
  <c r="N44" i="8"/>
  <c r="O44" i="8" s="1"/>
  <c r="G47" i="8"/>
  <c r="H46" i="8"/>
  <c r="I46" i="8" s="1"/>
  <c r="N44" i="14"/>
  <c r="O44" i="14" s="1"/>
  <c r="N40" i="10"/>
  <c r="O40" i="10" s="1"/>
  <c r="J47" i="8"/>
  <c r="N46" i="8"/>
  <c r="O46" i="8" s="1"/>
  <c r="E43" i="10"/>
  <c r="J8" i="1" s="1"/>
  <c r="H42" i="10"/>
  <c r="I42" i="10" s="1"/>
  <c r="J42" i="10"/>
  <c r="G43" i="10"/>
  <c r="K42" i="10"/>
  <c r="M42" i="10" s="1"/>
  <c r="H45" i="14"/>
  <c r="I45" i="14" s="1"/>
  <c r="E46" i="14"/>
  <c r="J45" i="14"/>
  <c r="N45" i="14" s="1"/>
  <c r="O45" i="14" s="1"/>
  <c r="G47" i="14"/>
  <c r="K46" i="14"/>
  <c r="M46" i="14" s="1"/>
  <c r="N41" i="10"/>
  <c r="O41" i="10" s="1"/>
  <c r="L7" i="1" l="1"/>
  <c r="H47" i="8"/>
  <c r="I47" i="8" s="1"/>
  <c r="K47" i="8"/>
  <c r="M47" i="8" s="1"/>
  <c r="K8" i="1"/>
  <c r="K47" i="14"/>
  <c r="M47" i="14" s="1"/>
  <c r="G48" i="14"/>
  <c r="K43" i="10"/>
  <c r="M43" i="10" s="1"/>
  <c r="N42" i="10"/>
  <c r="O42" i="10" s="1"/>
  <c r="J43" i="10"/>
  <c r="H43" i="10"/>
  <c r="I43" i="10" s="1"/>
  <c r="H46" i="14"/>
  <c r="I46" i="14" s="1"/>
  <c r="E47" i="14"/>
  <c r="J46" i="14"/>
  <c r="N46" i="14" s="1"/>
  <c r="O46" i="14" s="1"/>
  <c r="N47" i="8" l="1"/>
  <c r="O47" i="8" s="1"/>
  <c r="H47" i="14"/>
  <c r="I47" i="14" s="1"/>
  <c r="E48" i="14"/>
  <c r="J47" i="14"/>
  <c r="N47" i="14" s="1"/>
  <c r="O47" i="14" s="1"/>
  <c r="G49" i="14"/>
  <c r="K48" i="14"/>
  <c r="M48" i="14" s="1"/>
  <c r="N43" i="10"/>
  <c r="O43" i="10" s="1"/>
  <c r="J48" i="14" l="1"/>
  <c r="N48" i="14" s="1"/>
  <c r="O48" i="14" s="1"/>
  <c r="E49" i="14"/>
  <c r="H48" i="14"/>
  <c r="I48" i="14" s="1"/>
  <c r="K49" i="14"/>
  <c r="M49" i="14" s="1"/>
  <c r="G50" i="14"/>
  <c r="G51" i="14" l="1"/>
  <c r="K50" i="14"/>
  <c r="M50" i="14" s="1"/>
  <c r="J49" i="14"/>
  <c r="N49" i="14" s="1"/>
  <c r="O49" i="14" s="1"/>
  <c r="E50" i="14"/>
  <c r="H49" i="14"/>
  <c r="I49" i="14" s="1"/>
  <c r="G52" i="14" l="1"/>
  <c r="K51" i="14"/>
  <c r="M51" i="14" s="1"/>
  <c r="H50" i="14"/>
  <c r="I50" i="14" s="1"/>
  <c r="E51" i="14"/>
  <c r="J50" i="14"/>
  <c r="N50" i="14" s="1"/>
  <c r="O50" i="14" s="1"/>
  <c r="K52" i="14" l="1"/>
  <c r="M52" i="14" s="1"/>
  <c r="G53" i="14"/>
  <c r="H51" i="14"/>
  <c r="I51" i="14" s="1"/>
  <c r="E52" i="14"/>
  <c r="J51" i="14"/>
  <c r="N51" i="14" s="1"/>
  <c r="O51" i="14" s="1"/>
  <c r="K53" i="14" l="1"/>
  <c r="M53" i="14" s="1"/>
  <c r="G54" i="14"/>
  <c r="E53" i="14"/>
  <c r="J52" i="14"/>
  <c r="N52" i="14" s="1"/>
  <c r="O52" i="14" s="1"/>
  <c r="H52" i="14"/>
  <c r="I52" i="14" s="1"/>
  <c r="G55" i="14" l="1"/>
  <c r="K54" i="14"/>
  <c r="J53" i="14"/>
  <c r="N53" i="14" s="1"/>
  <c r="O53" i="14" s="1"/>
  <c r="E54" i="14"/>
  <c r="H53" i="14"/>
  <c r="I53" i="14" s="1"/>
  <c r="M54" i="14" l="1"/>
  <c r="K55" i="14"/>
  <c r="M55" i="14" s="1"/>
  <c r="G56" i="14"/>
  <c r="J54" i="14"/>
  <c r="E55" i="14"/>
  <c r="H54" i="14"/>
  <c r="G11" i="1" l="1"/>
  <c r="I54" i="14"/>
  <c r="G57" i="14"/>
  <c r="K56" i="14"/>
  <c r="M56" i="14" s="1"/>
  <c r="N54" i="14"/>
  <c r="H6" i="1"/>
  <c r="J55" i="14"/>
  <c r="N55" i="14" s="1"/>
  <c r="O55" i="14" s="1"/>
  <c r="H55" i="14"/>
  <c r="I55" i="14" s="1"/>
  <c r="E56" i="14"/>
  <c r="O54" i="14" l="1"/>
  <c r="K57" i="14"/>
  <c r="M57" i="14" s="1"/>
  <c r="G58" i="14"/>
  <c r="G30" i="14" s="1"/>
  <c r="G34" i="14" s="1"/>
  <c r="F11" i="1"/>
  <c r="H8" i="1"/>
  <c r="H11" i="1" s="1"/>
  <c r="H56" i="14"/>
  <c r="I56" i="14" s="1"/>
  <c r="J56" i="14"/>
  <c r="N56" i="14" s="1"/>
  <c r="O56" i="14" s="1"/>
  <c r="E57" i="14"/>
  <c r="L6" i="1" l="1"/>
  <c r="E22" i="1"/>
  <c r="D22" i="1"/>
  <c r="G30" i="10"/>
  <c r="E23" i="1" s="1"/>
  <c r="E30" i="10"/>
  <c r="H57" i="14"/>
  <c r="I57" i="14" s="1"/>
  <c r="E58" i="14"/>
  <c r="E30" i="14" s="1"/>
  <c r="E34" i="14" s="1"/>
  <c r="J57" i="14"/>
  <c r="N57" i="14" s="1"/>
  <c r="O57" i="14" s="1"/>
  <c r="K58" i="14"/>
  <c r="D23" i="1" l="1"/>
  <c r="D24" i="1" s="1"/>
  <c r="E24" i="1"/>
  <c r="K11" i="1"/>
  <c r="M58" i="14"/>
  <c r="M30" i="14" s="1"/>
  <c r="M34" i="14" s="1"/>
  <c r="K30" i="14"/>
  <c r="K34" i="14" s="1"/>
  <c r="J30" i="10"/>
  <c r="J58" i="14"/>
  <c r="H58" i="14"/>
  <c r="I30" i="10" l="1"/>
  <c r="H30" i="10"/>
  <c r="J11" i="1"/>
  <c r="L8" i="1"/>
  <c r="L11" i="1" s="1"/>
  <c r="M30" i="10"/>
  <c r="K30" i="10"/>
  <c r="I58" i="14"/>
  <c r="I30" i="14" s="1"/>
  <c r="H30" i="14"/>
  <c r="H34" i="14" s="1"/>
  <c r="I34" i="14" s="1"/>
  <c r="N58" i="14"/>
  <c r="J30" i="14"/>
  <c r="J34" i="14" s="1"/>
  <c r="O30" i="10" l="1"/>
  <c r="N30" i="10"/>
  <c r="O58" i="14"/>
  <c r="O30" i="14" s="1"/>
  <c r="O34" i="14" s="1"/>
  <c r="N30" i="14"/>
  <c r="N34" i="14" s="1"/>
</calcChain>
</file>

<file path=xl/sharedStrings.xml><?xml version="1.0" encoding="utf-8"?>
<sst xmlns="http://schemas.openxmlformats.org/spreadsheetml/2006/main" count="287" uniqueCount="134">
  <si>
    <t>Automation Indicative ROI Summary</t>
  </si>
  <si>
    <t>S No.</t>
  </si>
  <si>
    <t>Application Name</t>
  </si>
  <si>
    <t>Test Case Details</t>
  </si>
  <si>
    <t>Automation Indicative</t>
  </si>
  <si>
    <t>ROI Summary</t>
  </si>
  <si>
    <t># Test Cases identified for functional regression</t>
  </si>
  <si>
    <t># Test Cases identified for Automation</t>
  </si>
  <si>
    <t>Gross Total</t>
  </si>
  <si>
    <t>Adjustments</t>
  </si>
  <si>
    <t>Initial Investments</t>
  </si>
  <si>
    <t>Tool Cost</t>
  </si>
  <si>
    <t>Net Total</t>
  </si>
  <si>
    <t>Test Cases currently covered in automation</t>
  </si>
  <si>
    <t>Test Cases to be covered in automation*</t>
  </si>
  <si>
    <t>Onsite Offshore Ratio</t>
  </si>
  <si>
    <t>Effort Distribution</t>
  </si>
  <si>
    <t># Resources</t>
  </si>
  <si>
    <t>Offshore</t>
  </si>
  <si>
    <t>Billing Hrs / Day</t>
  </si>
  <si>
    <t>Manual Testing</t>
  </si>
  <si>
    <t>Test Execution</t>
  </si>
  <si>
    <t>Total Manual Effort (PH)</t>
  </si>
  <si>
    <t>Amortised Tool value</t>
  </si>
  <si>
    <t>Automation Testing</t>
  </si>
  <si>
    <t>Number of licenses</t>
  </si>
  <si>
    <t>Design</t>
  </si>
  <si>
    <t>Licese Cost</t>
  </si>
  <si>
    <t>Execution</t>
  </si>
  <si>
    <t>Number of runs</t>
  </si>
  <si>
    <t>Total Automation Effort (PH)</t>
  </si>
  <si>
    <t>Tool Licensing</t>
  </si>
  <si>
    <t># Licenses</t>
  </si>
  <si>
    <t>Cost Details - Year Wise</t>
  </si>
  <si>
    <t>Year</t>
  </si>
  <si>
    <t>Cumulative Manual Effort (PH)</t>
  </si>
  <si>
    <t>Auto. Maintenance / Enhancement / Data Update Effort (PH)</t>
  </si>
  <si>
    <t>Cumulative Automation Effort (PH)</t>
  </si>
  <si>
    <t>Effort Savings</t>
  </si>
  <si>
    <t>% Saving</t>
  </si>
  <si>
    <t>ROI</t>
  </si>
  <si>
    <t>ROI %</t>
  </si>
  <si>
    <t>Inception</t>
  </si>
  <si>
    <t>Cost Details - Iteration Wise</t>
  </si>
  <si>
    <t>Runs</t>
  </si>
  <si>
    <t>Automation ROI Analysis</t>
  </si>
  <si>
    <t>Tier / Critical</t>
  </si>
  <si>
    <t># Potential Test Cases for Automation</t>
  </si>
  <si>
    <t>Manual Testing  - Test Execution Effort (PD)</t>
  </si>
  <si>
    <t>No. of Automation Scripts</t>
  </si>
  <si>
    <t>Automation Design Effort (PDs)</t>
  </si>
  <si>
    <t>Automation Execution Productivity (TS/PD)</t>
  </si>
  <si>
    <t>Automation Execution Effort (PDs)</t>
  </si>
  <si>
    <t>Simple</t>
  </si>
  <si>
    <t>Medium</t>
  </si>
  <si>
    <t>Complex</t>
  </si>
  <si>
    <t>Sr. No.</t>
  </si>
  <si>
    <t>Assumptions &amp; Dependencies</t>
  </si>
  <si>
    <t>ROI calculation done considering a medium complexity application (e.g Web application)</t>
  </si>
  <si>
    <t>Integration test automation, automated report validation, batch test automation may not fit into this ROI calculation and would require further analysis</t>
  </si>
  <si>
    <t>Estimation , Scope of automation &amp;  ROI will be revisited after performing technical feasibility for the test cases</t>
  </si>
  <si>
    <t>Manual productivity and automation productivity subjected to change based on application in scope of automation</t>
  </si>
  <si>
    <t>Down time, data dependency etc. need to be factored in during detailed assessment</t>
  </si>
  <si>
    <t>CITS tool have been considered in the overall ROI calculation, assuming that both onsite and offshore will be leveraging the tool for design, execution and maintenance</t>
  </si>
  <si>
    <t>Rates (GBP/hr)</t>
  </si>
  <si>
    <t>Cumulative Manual Cost (GBP)</t>
  </si>
  <si>
    <t>Cumulative Automation QA Cost (GBP)</t>
  </si>
  <si>
    <t>Cumulative Tool Cost (GBP)</t>
  </si>
  <si>
    <t>Cumulative Automation Cost (GBP)</t>
  </si>
  <si>
    <t>32 PHs of maintenance / enhancement / data update effort has been considered every quarter, considering the data refresh and other factors</t>
  </si>
  <si>
    <t>Year - 1</t>
  </si>
  <si>
    <t>Q1- Round1</t>
  </si>
  <si>
    <t>Q1- Round2</t>
  </si>
  <si>
    <t>Q1- Round3</t>
  </si>
  <si>
    <t>Q1- Round4</t>
  </si>
  <si>
    <t>Q2- Round1</t>
  </si>
  <si>
    <t>Q2- Round2</t>
  </si>
  <si>
    <t>Q3- Round3</t>
  </si>
  <si>
    <t>Q4- Round4</t>
  </si>
  <si>
    <t>Q3- Round1</t>
  </si>
  <si>
    <t>Q3- Round2</t>
  </si>
  <si>
    <t>Q3- Round4</t>
  </si>
  <si>
    <t>Q4- Round1</t>
  </si>
  <si>
    <t>Q2- Round3</t>
  </si>
  <si>
    <t>Q2- Round4</t>
  </si>
  <si>
    <t>Q4- Round2</t>
  </si>
  <si>
    <t>Q4- Round3</t>
  </si>
  <si>
    <t>Total License Cost (GBP) / Year</t>
  </si>
  <si>
    <t>Tool License Cost (£) / Year</t>
  </si>
  <si>
    <t>Cumulative Manual Effort (PD)</t>
  </si>
  <si>
    <t>Year -1</t>
  </si>
  <si>
    <t>No. Of Rounds</t>
  </si>
  <si>
    <t>Manual Effort (PH)</t>
  </si>
  <si>
    <t>Automation Effort (PH)</t>
  </si>
  <si>
    <t>Manual Cost (GBP)</t>
  </si>
  <si>
    <t xml:space="preserve"> Automation QA Cost (GBP)</t>
  </si>
  <si>
    <t xml:space="preserve"> Tool Cost (GBP)</t>
  </si>
  <si>
    <t>Automation Cost (GBP)</t>
  </si>
  <si>
    <t xml:space="preserve"> Manual Effort (PD)</t>
  </si>
  <si>
    <t xml:space="preserve"> Automation Effort (PD)</t>
  </si>
  <si>
    <t>Savings for Year -1</t>
  </si>
  <si>
    <t>Onsite</t>
  </si>
  <si>
    <t>Onshore</t>
  </si>
  <si>
    <t>Regression Execution Cycle 1</t>
  </si>
  <si>
    <t>Regression Execution Cycle 2</t>
  </si>
  <si>
    <t>Regression Execution Cycle 3</t>
  </si>
  <si>
    <t>Regression Execution Cycle 4</t>
  </si>
  <si>
    <t>Regression Execution Cycle 5</t>
  </si>
  <si>
    <t>Regression Execution Cycle 6</t>
  </si>
  <si>
    <t>Regression Execution Cycle 7</t>
  </si>
  <si>
    <t>Regression Execution Cycle 8</t>
  </si>
  <si>
    <t>Smoke Execution</t>
  </si>
  <si>
    <t>Regression Test Execution</t>
  </si>
  <si>
    <t>Smoke Test Execution</t>
  </si>
  <si>
    <t>Cumulative Manual Cost ($)</t>
  </si>
  <si>
    <t>Cumulative Automation QA Cost ($)</t>
  </si>
  <si>
    <t>Cumulative Tool Cost ($)</t>
  </si>
  <si>
    <t>Cumulative Automation Cost ($)</t>
  </si>
  <si>
    <t>Tool License Cost ($) / Year</t>
  </si>
  <si>
    <t>Rates ($/hr)</t>
  </si>
  <si>
    <t>Total License Cost ($) / Year</t>
  </si>
  <si>
    <t>Cumulative Automation Effort (PD)</t>
  </si>
  <si>
    <t>Cumulative Effort Savings (PD)</t>
  </si>
  <si>
    <t>Overall Design</t>
  </si>
  <si>
    <t>Overall Execution</t>
  </si>
  <si>
    <t>Automation Testing - Till beginning of Regression Cycle 1</t>
  </si>
  <si>
    <t>Execution Effort Savings after Script Completion  (PDs)</t>
  </si>
  <si>
    <t>Test script Productivity (Tcs/day)</t>
  </si>
  <si>
    <t>Guidewire Claim Center - Regression Execution</t>
  </si>
  <si>
    <t>Name</t>
  </si>
  <si>
    <t xml:space="preserve"># Regression Test Cases </t>
  </si>
  <si>
    <t># Test CasesFeasible for Automation</t>
  </si>
  <si>
    <t># of Regression cycles planned in 2025</t>
  </si>
  <si>
    <t>Effort Savings Per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</si>
</sst>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"/>
    <numFmt numFmtId="165" formatCode="[$£-809]#,##0"/>
    <numFmt numFmtId="166" formatCode="[$£-809]#,##0;[Red]\-[$£-809]#,##0"/>
    <numFmt numFmtId="173" formatCode="_(&quot;$&quot;* #,##0_);_(&quot;$&quot;* \(#,##0\);_(&quot;$&quot;* &quot;-&quot;??_);_(@_)"/>
    <numFmt numFmtId="17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36"/>
      <color rgb="FF00B050"/>
      <name val="Wingdings"/>
      <charset val="2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36"/>
      <color theme="0"/>
      <name val="Wingdings"/>
      <charset val="2"/>
    </font>
    <font>
      <b/>
      <sz val="36"/>
      <color rgb="FF92D050"/>
      <name val="Wingdings"/>
      <charset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192">
    <xf numFmtId="0" fontId="0" fillId="0" borderId="0" xfId="0"/>
    <xf numFmtId="0" fontId="2" fillId="0" borderId="0" xfId="0" applyFont="1"/>
    <xf numFmtId="2" fontId="5" fillId="7" borderId="10" xfId="1" applyNumberFormat="1" applyFont="1" applyFill="1" applyBorder="1" applyAlignment="1">
      <alignment horizontal="center" vertical="center"/>
    </xf>
    <xf numFmtId="1" fontId="5" fillId="7" borderId="8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4" borderId="24" xfId="1" applyFont="1" applyFill="1" applyBorder="1" applyAlignment="1">
      <alignment horizontal="center" vertical="center" wrapText="1"/>
    </xf>
    <xf numFmtId="0" fontId="4" fillId="4" borderId="25" xfId="1" applyFont="1" applyFill="1" applyBorder="1" applyAlignment="1">
      <alignment horizontal="center" vertical="center" wrapText="1"/>
    </xf>
    <xf numFmtId="0" fontId="4" fillId="4" borderId="26" xfId="1" applyFont="1" applyFill="1" applyBorder="1" applyAlignment="1">
      <alignment horizontal="center" vertical="center" wrapText="1"/>
    </xf>
    <xf numFmtId="0" fontId="4" fillId="4" borderId="27" xfId="1" applyFont="1" applyFill="1" applyBorder="1" applyAlignment="1">
      <alignment horizontal="center" vertical="center" wrapText="1"/>
    </xf>
    <xf numFmtId="1" fontId="5" fillId="6" borderId="5" xfId="1" applyNumberFormat="1" applyFont="1" applyFill="1" applyBorder="1" applyAlignment="1">
      <alignment horizontal="center" vertical="center"/>
    </xf>
    <xf numFmtId="1" fontId="5" fillId="6" borderId="1" xfId="1" applyNumberFormat="1" applyFont="1" applyFill="1" applyBorder="1" applyAlignment="1">
      <alignment horizontal="center" vertical="center"/>
    </xf>
    <xf numFmtId="1" fontId="5" fillId="6" borderId="12" xfId="1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5" fillId="0" borderId="0" xfId="1" applyFont="1"/>
    <xf numFmtId="0" fontId="6" fillId="0" borderId="0" xfId="1" applyFont="1"/>
    <xf numFmtId="2" fontId="6" fillId="0" borderId="0" xfId="1" applyNumberFormat="1" applyFont="1" applyAlignment="1">
      <alignment horizontal="center"/>
    </xf>
    <xf numFmtId="1" fontId="5" fillId="0" borderId="1" xfId="1" applyNumberFormat="1" applyFont="1" applyBorder="1" applyAlignment="1">
      <alignment horizontal="center" vertical="center"/>
    </xf>
    <xf numFmtId="1" fontId="5" fillId="0" borderId="12" xfId="1" applyNumberFormat="1" applyFont="1" applyBorder="1" applyAlignment="1">
      <alignment horizontal="center" vertical="center"/>
    </xf>
    <xf numFmtId="0" fontId="5" fillId="0" borderId="7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2" fontId="6" fillId="0" borderId="13" xfId="1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left" vertical="center" wrapText="1"/>
    </xf>
    <xf numFmtId="0" fontId="4" fillId="4" borderId="14" xfId="1" applyFont="1" applyFill="1" applyBorder="1" applyAlignment="1">
      <alignment horizontal="center" vertical="center" wrapText="1"/>
    </xf>
    <xf numFmtId="0" fontId="4" fillId="4" borderId="15" xfId="1" applyFont="1" applyFill="1" applyBorder="1" applyAlignment="1">
      <alignment horizontal="center" vertical="center" wrapText="1"/>
    </xf>
    <xf numFmtId="9" fontId="5" fillId="0" borderId="1" xfId="1" applyNumberFormat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9" fontId="5" fillId="0" borderId="12" xfId="1" applyNumberFormat="1" applyFont="1" applyBorder="1" applyAlignment="1">
      <alignment horizontal="center" vertical="center"/>
    </xf>
    <xf numFmtId="9" fontId="5" fillId="0" borderId="8" xfId="4" applyFont="1" applyBorder="1" applyAlignment="1">
      <alignment horizontal="center" vertical="center"/>
    </xf>
    <xf numFmtId="9" fontId="5" fillId="0" borderId="13" xfId="4" applyFont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0" xfId="1" applyFont="1" applyFill="1" applyAlignment="1">
      <alignment horizontal="center" vertical="center" wrapText="1"/>
    </xf>
    <xf numFmtId="0" fontId="10" fillId="6" borderId="0" xfId="1" applyFont="1" applyFill="1" applyAlignment="1">
      <alignment horizontal="center" vertical="center"/>
    </xf>
    <xf numFmtId="0" fontId="10" fillId="6" borderId="0" xfId="0" applyFont="1" applyFill="1"/>
    <xf numFmtId="0" fontId="3" fillId="6" borderId="0" xfId="1" applyFont="1" applyFill="1"/>
    <xf numFmtId="2" fontId="3" fillId="6" borderId="0" xfId="1" applyNumberFormat="1" applyFont="1" applyFill="1" applyAlignment="1">
      <alignment horizontal="center"/>
    </xf>
    <xf numFmtId="0" fontId="5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1" xfId="1" applyFont="1" applyBorder="1" applyAlignment="1">
      <alignment horizontal="center" vertical="center" wrapText="1"/>
    </xf>
    <xf numFmtId="0" fontId="4" fillId="5" borderId="17" xfId="0" applyFont="1" applyFill="1" applyBorder="1"/>
    <xf numFmtId="0" fontId="6" fillId="0" borderId="0" xfId="1" applyFont="1" applyAlignment="1">
      <alignment horizontal="left" vertical="center" wrapText="1"/>
    </xf>
    <xf numFmtId="0" fontId="6" fillId="0" borderId="14" xfId="1" applyFont="1" applyBorder="1" applyAlignment="1">
      <alignment horizontal="left" vertical="center" wrapText="1"/>
    </xf>
    <xf numFmtId="2" fontId="6" fillId="0" borderId="15" xfId="1" applyNumberFormat="1" applyFont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5" fillId="0" borderId="0" xfId="0" applyFont="1"/>
    <xf numFmtId="1" fontId="5" fillId="6" borderId="0" xfId="1" applyNumberFormat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4" fillId="4" borderId="20" xfId="1" applyFont="1" applyFill="1" applyBorder="1" applyAlignment="1">
      <alignment horizontal="center" vertical="center" wrapText="1"/>
    </xf>
    <xf numFmtId="9" fontId="5" fillId="7" borderId="3" xfId="1" applyNumberFormat="1" applyFont="1" applyFill="1" applyBorder="1" applyAlignment="1">
      <alignment horizontal="center" vertical="center"/>
    </xf>
    <xf numFmtId="0" fontId="5" fillId="7" borderId="3" xfId="4" applyNumberFormat="1" applyFont="1" applyFill="1" applyBorder="1" applyAlignment="1">
      <alignment horizontal="center" vertical="center"/>
    </xf>
    <xf numFmtId="0" fontId="5" fillId="7" borderId="10" xfId="4" applyNumberFormat="1" applyFont="1" applyFill="1" applyBorder="1" applyAlignment="1">
      <alignment horizontal="center" vertical="center"/>
    </xf>
    <xf numFmtId="9" fontId="5" fillId="7" borderId="12" xfId="1" applyNumberFormat="1" applyFont="1" applyFill="1" applyBorder="1" applyAlignment="1">
      <alignment horizontal="center" vertical="center"/>
    </xf>
    <xf numFmtId="0" fontId="5" fillId="7" borderId="12" xfId="4" applyNumberFormat="1" applyFont="1" applyFill="1" applyBorder="1" applyAlignment="1">
      <alignment horizontal="center" vertical="center"/>
    </xf>
    <xf numFmtId="0" fontId="5" fillId="7" borderId="13" xfId="4" applyNumberFormat="1" applyFont="1" applyFill="1" applyBorder="1" applyAlignment="1">
      <alignment horizontal="center" vertical="center"/>
    </xf>
    <xf numFmtId="2" fontId="6" fillId="7" borderId="15" xfId="1" applyNumberFormat="1" applyFont="1" applyFill="1" applyBorder="1" applyAlignment="1">
      <alignment horizontal="center" vertical="center"/>
    </xf>
    <xf numFmtId="0" fontId="4" fillId="4" borderId="21" xfId="1" applyFont="1" applyFill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2" xfId="1" applyFont="1" applyBorder="1" applyAlignment="1">
      <alignment horizontal="center" vertical="center"/>
    </xf>
    <xf numFmtId="2" fontId="5" fillId="6" borderId="5" xfId="1" applyNumberFormat="1" applyFont="1" applyFill="1" applyBorder="1" applyAlignment="1">
      <alignment horizontal="center" vertical="center"/>
    </xf>
    <xf numFmtId="1" fontId="5" fillId="0" borderId="5" xfId="1" applyNumberFormat="1" applyFont="1" applyBorder="1" applyAlignment="1">
      <alignment horizontal="center" vertical="center"/>
    </xf>
    <xf numFmtId="9" fontId="5" fillId="0" borderId="5" xfId="1" applyNumberFormat="1" applyFont="1" applyBorder="1" applyAlignment="1">
      <alignment horizontal="center" vertical="center"/>
    </xf>
    <xf numFmtId="9" fontId="5" fillId="0" borderId="6" xfId="4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/>
    </xf>
    <xf numFmtId="2" fontId="6" fillId="11" borderId="15" xfId="1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left" vertical="top" wrapText="1"/>
    </xf>
    <xf numFmtId="0" fontId="9" fillId="12" borderId="5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left" vertical="top" wrapText="1"/>
    </xf>
    <xf numFmtId="0" fontId="9" fillId="12" borderId="12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top" wrapText="1"/>
    </xf>
    <xf numFmtId="0" fontId="18" fillId="3" borderId="20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left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12" fillId="10" borderId="1" xfId="0" applyFont="1" applyFill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165" fontId="5" fillId="0" borderId="12" xfId="1" applyNumberFormat="1" applyFont="1" applyBorder="1" applyAlignment="1">
      <alignment horizontal="center" vertical="center"/>
    </xf>
    <xf numFmtId="166" fontId="5" fillId="0" borderId="5" xfId="1" applyNumberFormat="1" applyFont="1" applyBorder="1" applyAlignment="1">
      <alignment horizontal="center" vertical="center"/>
    </xf>
    <xf numFmtId="166" fontId="5" fillId="0" borderId="1" xfId="1" applyNumberFormat="1" applyFont="1" applyBorder="1" applyAlignment="1">
      <alignment horizontal="center" vertical="center"/>
    </xf>
    <xf numFmtId="166" fontId="5" fillId="0" borderId="12" xfId="1" applyNumberFormat="1" applyFont="1" applyBorder="1" applyAlignment="1">
      <alignment horizontal="center" vertical="center"/>
    </xf>
    <xf numFmtId="165" fontId="5" fillId="0" borderId="3" xfId="1" applyNumberFormat="1" applyFont="1" applyBorder="1" applyAlignment="1">
      <alignment horizontal="center" vertical="center"/>
    </xf>
    <xf numFmtId="1" fontId="5" fillId="6" borderId="3" xfId="1" applyNumberFormat="1" applyFont="1" applyFill="1" applyBorder="1" applyAlignment="1">
      <alignment horizontal="center" vertical="center"/>
    </xf>
    <xf numFmtId="1" fontId="5" fillId="6" borderId="37" xfId="1" applyNumberFormat="1" applyFont="1" applyFill="1" applyBorder="1" applyAlignment="1">
      <alignment horizontal="center" vertical="center"/>
    </xf>
    <xf numFmtId="1" fontId="5" fillId="0" borderId="22" xfId="1" applyNumberFormat="1" applyFont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3" fillId="3" borderId="20" xfId="5" applyNumberFormat="1" applyFont="1" applyFill="1" applyBorder="1" applyAlignment="1">
      <alignment horizontal="center" vertical="center"/>
    </xf>
    <xf numFmtId="0" fontId="2" fillId="12" borderId="5" xfId="5" applyNumberFormat="1" applyFont="1" applyFill="1" applyBorder="1" applyAlignment="1">
      <alignment horizontal="center" vertical="center"/>
    </xf>
    <xf numFmtId="0" fontId="2" fillId="12" borderId="12" xfId="5" applyNumberFormat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 wrapText="1"/>
    </xf>
    <xf numFmtId="0" fontId="5" fillId="7" borderId="4" xfId="1" applyFont="1" applyFill="1" applyBorder="1" applyAlignment="1">
      <alignment horizontal="center" vertical="center"/>
    </xf>
    <xf numFmtId="1" fontId="5" fillId="7" borderId="22" xfId="1" applyNumberFormat="1" applyFont="1" applyFill="1" applyBorder="1" applyAlignment="1">
      <alignment horizontal="center" vertical="center"/>
    </xf>
    <xf numFmtId="2" fontId="5" fillId="7" borderId="5" xfId="1" applyNumberFormat="1" applyFont="1" applyFill="1" applyBorder="1" applyAlignment="1">
      <alignment horizontal="center" vertical="center"/>
    </xf>
    <xf numFmtId="1" fontId="5" fillId="7" borderId="5" xfId="1" applyNumberFormat="1" applyFont="1" applyFill="1" applyBorder="1" applyAlignment="1">
      <alignment horizontal="center" vertical="center"/>
    </xf>
    <xf numFmtId="9" fontId="5" fillId="7" borderId="5" xfId="1" applyNumberFormat="1" applyFont="1" applyFill="1" applyBorder="1" applyAlignment="1">
      <alignment horizontal="center" vertical="center"/>
    </xf>
    <xf numFmtId="165" fontId="5" fillId="7" borderId="5" xfId="1" applyNumberFormat="1" applyFont="1" applyFill="1" applyBorder="1" applyAlignment="1">
      <alignment horizontal="center" vertical="center"/>
    </xf>
    <xf numFmtId="166" fontId="5" fillId="7" borderId="5" xfId="1" applyNumberFormat="1" applyFont="1" applyFill="1" applyBorder="1" applyAlignment="1">
      <alignment horizontal="center" vertical="center"/>
    </xf>
    <xf numFmtId="9" fontId="5" fillId="7" borderId="6" xfId="4" applyFont="1" applyFill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2" fontId="5" fillId="6" borderId="1" xfId="1" applyNumberFormat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2" fontId="5" fillId="6" borderId="12" xfId="1" applyNumberFormat="1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/>
    </xf>
    <xf numFmtId="0" fontId="8" fillId="3" borderId="32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33" xfId="0" applyFont="1" applyFill="1" applyBorder="1" applyAlignment="1">
      <alignment horizontal="center" vertical="center"/>
    </xf>
    <xf numFmtId="0" fontId="8" fillId="3" borderId="34" xfId="0" applyFont="1" applyFill="1" applyBorder="1" applyAlignment="1">
      <alignment horizontal="center" vertical="center"/>
    </xf>
    <xf numFmtId="0" fontId="8" fillId="3" borderId="35" xfId="0" applyFont="1" applyFill="1" applyBorder="1" applyAlignment="1">
      <alignment horizontal="center" vertical="center"/>
    </xf>
    <xf numFmtId="0" fontId="8" fillId="3" borderId="36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 textRotation="90"/>
    </xf>
    <xf numFmtId="0" fontId="2" fillId="12" borderId="5" xfId="0" applyFont="1" applyFill="1" applyBorder="1" applyAlignment="1">
      <alignment horizontal="center" vertical="center" textRotation="90"/>
    </xf>
    <xf numFmtId="0" fontId="2" fillId="12" borderId="11" xfId="0" applyFont="1" applyFill="1" applyBorder="1" applyAlignment="1">
      <alignment horizontal="center" vertical="center" textRotation="90"/>
    </xf>
    <xf numFmtId="0" fontId="2" fillId="12" borderId="12" xfId="0" applyFont="1" applyFill="1" applyBorder="1" applyAlignment="1">
      <alignment horizontal="center" vertical="center" textRotation="90"/>
    </xf>
    <xf numFmtId="0" fontId="2" fillId="12" borderId="5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4" borderId="18" xfId="1" applyFont="1" applyFill="1" applyBorder="1" applyAlignment="1">
      <alignment horizontal="center" vertical="center" wrapText="1"/>
    </xf>
    <xf numFmtId="0" fontId="4" fillId="4" borderId="19" xfId="1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9" fontId="5" fillId="0" borderId="1" xfId="4" applyFont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/>
    </xf>
    <xf numFmtId="0" fontId="12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5" fillId="0" borderId="38" xfId="1" applyFont="1" applyBorder="1" applyAlignment="1">
      <alignment horizontal="left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left" vertical="center" wrapText="1" indent="8"/>
    </xf>
    <xf numFmtId="164" fontId="11" fillId="0" borderId="1" xfId="0" applyNumberFormat="1" applyFont="1" applyBorder="1" applyAlignment="1">
      <alignment horizontal="center" vertical="center" wrapText="1"/>
    </xf>
    <xf numFmtId="173" fontId="5" fillId="0" borderId="5" xfId="5" applyNumberFormat="1" applyFont="1" applyBorder="1" applyAlignment="1">
      <alignment horizontal="center" vertical="center"/>
    </xf>
    <xf numFmtId="173" fontId="5" fillId="0" borderId="3" xfId="5" applyNumberFormat="1" applyFont="1" applyBorder="1" applyAlignment="1">
      <alignment horizontal="center" vertical="center"/>
    </xf>
    <xf numFmtId="173" fontId="5" fillId="0" borderId="1" xfId="5" applyNumberFormat="1" applyFont="1" applyBorder="1" applyAlignment="1">
      <alignment horizontal="center" vertical="center"/>
    </xf>
    <xf numFmtId="175" fontId="5" fillId="0" borderId="1" xfId="5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left" vertical="center" wrapText="1"/>
    </xf>
    <xf numFmtId="2" fontId="3" fillId="3" borderId="20" xfId="5" applyNumberFormat="1" applyFont="1" applyFill="1" applyBorder="1" applyAlignment="1">
      <alignment horizontal="center" vertical="center"/>
    </xf>
    <xf numFmtId="2" fontId="3" fillId="3" borderId="20" xfId="5" applyNumberFormat="1" applyFont="1" applyFill="1" applyBorder="1" applyAlignment="1">
      <alignment horizontal="left" vertical="center" indent="5"/>
    </xf>
    <xf numFmtId="0" fontId="6" fillId="0" borderId="0" xfId="1" applyFont="1" applyBorder="1" applyAlignment="1">
      <alignment horizontal="left" vertical="center" wrapText="1"/>
    </xf>
    <xf numFmtId="2" fontId="6" fillId="0" borderId="0" xfId="1" applyNumberFormat="1" applyFont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left" vertical="center" wrapText="1" indent="8"/>
    </xf>
    <xf numFmtId="164" fontId="3" fillId="3" borderId="20" xfId="5" applyNumberFormat="1" applyFont="1" applyFill="1" applyBorder="1" applyAlignment="1">
      <alignment horizontal="center" vertical="center"/>
    </xf>
    <xf numFmtId="2" fontId="2" fillId="0" borderId="26" xfId="0" applyNumberFormat="1" applyFont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</cellXfs>
  <cellStyles count="6">
    <cellStyle name="Currency" xfId="5" builtinId="4"/>
    <cellStyle name="Normal" xfId="0" builtinId="0"/>
    <cellStyle name="Normal 2" xfId="1" xr:uid="{00000000-0005-0000-0000-000002000000}"/>
    <cellStyle name="Normal 2 3 2" xfId="2" xr:uid="{00000000-0005-0000-0000-000003000000}"/>
    <cellStyle name="Normal 4" xfId="3" xr:uid="{00000000-0005-0000-0000-000004000000}"/>
    <cellStyle name="Percent" xfId="4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Years ROI (Cost)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8808721203873"/>
          <c:y val="0.14634559770937725"/>
          <c:w val="0.82312235009085399"/>
          <c:h val="0.65045211049438489"/>
        </c:manualLayout>
      </c:layout>
      <c:lineChart>
        <c:grouping val="standard"/>
        <c:varyColors val="0"/>
        <c:ser>
          <c:idx val="0"/>
          <c:order val="0"/>
          <c:tx>
            <c:strRef>
              <c:f>'ROI - Overall'!$J$27</c:f>
              <c:strCache>
                <c:ptCount val="1"/>
                <c:pt idx="0">
                  <c:v>Cumulative Manual Cost (GBP)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522888105350621E-2"/>
                  <c:y val="2.692084009431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24-4AA8-AE54-9ACD0054EA50}"/>
                </c:ext>
              </c:extLst>
            </c:dLbl>
            <c:dLbl>
              <c:idx val="1"/>
              <c:layout>
                <c:manualLayout>
                  <c:x val="-9.2712001170775715E-2"/>
                  <c:y val="-2.7989140423565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524-4AA8-AE54-9ACD0054EA50}"/>
                </c:ext>
              </c:extLst>
            </c:dLbl>
            <c:dLbl>
              <c:idx val="2"/>
              <c:layout>
                <c:manualLayout>
                  <c:x val="-0.10290869051560438"/>
                  <c:y val="-3.6202643310390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24-4AA8-AE54-9ACD0054EA50}"/>
                </c:ext>
              </c:extLst>
            </c:dLbl>
            <c:dLbl>
              <c:idx val="3"/>
              <c:layout>
                <c:manualLayout>
                  <c:x val="-0.10493131478418327"/>
                  <c:y val="-2.37240581093108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24-4AA8-AE54-9ACD0054EA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'ROI - Overall'!$C$28:$C$30</c:f>
            </c:strRef>
          </c:cat>
          <c:val>
            <c:numRef>
              <c:f>'ROI - Overall'!$J$28:$J$30</c:f>
            </c:numRef>
          </c:val>
          <c:smooth val="0"/>
          <c:extLst>
            <c:ext xmlns:c16="http://schemas.microsoft.com/office/drawing/2014/chart" uri="{C3380CC4-5D6E-409C-BE32-E72D297353CC}">
              <c16:uniqueId val="{00000004-A524-4AA8-AE54-9ACD0054EA50}"/>
            </c:ext>
          </c:extLst>
        </c:ser>
        <c:ser>
          <c:idx val="1"/>
          <c:order val="1"/>
          <c:tx>
            <c:strRef>
              <c:f>'ROI - Overall'!$M$27</c:f>
              <c:strCache>
                <c:ptCount val="1"/>
                <c:pt idx="0">
                  <c:v>Cumulative Automation Cost (GBP)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9196316130919822E-2"/>
                  <c:y val="-4.51094764470230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24-4AA8-AE54-9ACD0054EA50}"/>
                </c:ext>
              </c:extLst>
            </c:dLbl>
            <c:dLbl>
              <c:idx val="1"/>
              <c:layout>
                <c:manualLayout>
                  <c:x val="-1.9586501851728933E-2"/>
                  <c:y val="4.0493997825984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24-4AA8-AE54-9ACD0054EA50}"/>
                </c:ext>
              </c:extLst>
            </c:dLbl>
            <c:dLbl>
              <c:idx val="2"/>
              <c:layout>
                <c:manualLayout>
                  <c:x val="-4.1909286901731665E-2"/>
                  <c:y val="3.2067145798898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24-4AA8-AE54-9ACD0054EA50}"/>
                </c:ext>
              </c:extLst>
            </c:dLbl>
            <c:dLbl>
              <c:idx val="3"/>
              <c:layout>
                <c:manualLayout>
                  <c:x val="-2.9279406500592787E-2"/>
                  <c:y val="4.4532950936352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24-4AA8-AE54-9ACD0054EA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'ROI - Overall'!$C$28:$C$30</c:f>
            </c:strRef>
          </c:cat>
          <c:val>
            <c:numRef>
              <c:f>'ROI - Overall'!$M$28:$M$30</c:f>
            </c:numRef>
          </c:val>
          <c:smooth val="0"/>
          <c:extLst>
            <c:ext xmlns:c16="http://schemas.microsoft.com/office/drawing/2014/chart" uri="{C3380CC4-5D6E-409C-BE32-E72D297353CC}">
              <c16:uniqueId val="{00000009-A524-4AA8-AE54-9ACD0054E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724698751"/>
        <c:axId val="1724699167"/>
      </c:lineChart>
      <c:catAx>
        <c:axId val="172469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accent3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99167"/>
        <c:crosses val="autoZero"/>
        <c:auto val="1"/>
        <c:lblAlgn val="ctr"/>
        <c:lblOffset val="100"/>
        <c:noMultiLvlLbl val="0"/>
      </c:catAx>
      <c:valAx>
        <c:axId val="1724699167"/>
        <c:scaling>
          <c:orientation val="minMax"/>
          <c:max val="1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£-809]#,##0" sourceLinked="1"/>
        <c:majorTickMark val="none"/>
        <c:minorTickMark val="none"/>
        <c:tickLblPos val="nextTo"/>
        <c:spPr>
          <a:noFill/>
          <a:ln>
            <a:solidFill>
              <a:schemeClr val="accent3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98751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accent3">
          <a:lumMod val="50000"/>
        </a:schemeClr>
      </a:solidFill>
      <a:prstDash val="solid"/>
      <a:round/>
    </a:ln>
    <a:effectLst/>
    <a:scene3d>
      <a:camera prst="orthographicFront"/>
      <a:lightRig rig="threePt" dir="t"/>
    </a:scene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Years ROI (Effort)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76955083875286"/>
          <c:y val="0.17100235019642154"/>
          <c:w val="0.84706655167727474"/>
          <c:h val="0.60243425454171173"/>
        </c:manualLayout>
      </c:layout>
      <c:lineChart>
        <c:grouping val="standard"/>
        <c:varyColors val="0"/>
        <c:ser>
          <c:idx val="0"/>
          <c:order val="0"/>
          <c:tx>
            <c:strRef>
              <c:f>'ROI -Smoke Test'!$E$27</c:f>
              <c:strCache>
                <c:ptCount val="1"/>
                <c:pt idx="0">
                  <c:v>Cumulative Manual Effort (PH)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1932562606527896E-2"/>
                  <c:y val="2.4792146001804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7F-4146-BE22-8BF0D4F609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'ROI -Smoke Test'!$C$28:$C$30</c:f>
            </c:strRef>
          </c:cat>
          <c:val>
            <c:numRef>
              <c:f>'ROI -Smoke Test'!$E$28:$E$30</c:f>
            </c:numRef>
          </c:val>
          <c:smooth val="0"/>
          <c:extLst>
            <c:ext xmlns:c16="http://schemas.microsoft.com/office/drawing/2014/chart" uri="{C3380CC4-5D6E-409C-BE32-E72D297353CC}">
              <c16:uniqueId val="{00000001-667F-4146-BE22-8BF0D4F6095B}"/>
            </c:ext>
          </c:extLst>
        </c:ser>
        <c:ser>
          <c:idx val="1"/>
          <c:order val="1"/>
          <c:tx>
            <c:strRef>
              <c:f>'ROI -Smoke Test'!$G$27</c:f>
              <c:strCache>
                <c:ptCount val="1"/>
                <c:pt idx="0">
                  <c:v>Cumulative Automation Effort (PH)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2640528626594942E-2"/>
                  <c:y val="-4.35557965492671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7F-4146-BE22-8BF0D4F609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'ROI -Smoke Test'!$C$28:$C$30</c:f>
            </c:strRef>
          </c:cat>
          <c:val>
            <c:numRef>
              <c:f>'ROI -Smoke Test'!$G$28:$G$30</c:f>
            </c:numRef>
          </c:val>
          <c:smooth val="0"/>
          <c:extLst>
            <c:ext xmlns:c16="http://schemas.microsoft.com/office/drawing/2014/chart" uri="{C3380CC4-5D6E-409C-BE32-E72D297353CC}">
              <c16:uniqueId val="{00000003-667F-4146-BE22-8BF0D4F60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729563631"/>
        <c:axId val="1729564047"/>
      </c:lineChart>
      <c:catAx>
        <c:axId val="172956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accent3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64047"/>
        <c:crosses val="autoZero"/>
        <c:auto val="1"/>
        <c:lblAlgn val="ctr"/>
        <c:lblOffset val="100"/>
        <c:noMultiLvlLbl val="0"/>
      </c:catAx>
      <c:valAx>
        <c:axId val="1729564047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accent3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63631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accent3">
          <a:lumMod val="50000"/>
        </a:schemeClr>
      </a:solidFill>
      <a:prstDash val="solid"/>
      <a:round/>
    </a:ln>
    <a:effectLst/>
    <a:scene3d>
      <a:camera prst="orthographicFront"/>
      <a:lightRig rig="contrasting" dir="t">
        <a:rot lat="0" lon="0" rev="7800000"/>
      </a:lightRig>
    </a:scene3d>
    <a:sp3d>
      <a:bevelT w="139700" h="139700" prst="coolSlant"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ysClr val="windowText" lastClr="000000"/>
                </a:solidFill>
              </a:rPr>
              <a:t>Runs vs. Cost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'ROI -Smoke Test'!$J$35</c:f>
              <c:strCache>
                <c:ptCount val="1"/>
                <c:pt idx="0">
                  <c:v>Cumulative Manual Cost ($)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1104577793452614E-2"/>
                  <c:y val="3.5279855643044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AE-4166-BCC4-79F633DB76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'ROI -Smoke Test'!$J$36:$J$43</c:f>
              <c:numCache>
                <c:formatCode>_("$"* #,##0_);_("$"* \(#,##0\);_("$"* "-"??_);_(@_)</c:formatCode>
                <c:ptCount val="8"/>
                <c:pt idx="0">
                  <c:v>262.5</c:v>
                </c:pt>
                <c:pt idx="1">
                  <c:v>525</c:v>
                </c:pt>
                <c:pt idx="2">
                  <c:v>787.5</c:v>
                </c:pt>
                <c:pt idx="3">
                  <c:v>1050</c:v>
                </c:pt>
                <c:pt idx="4">
                  <c:v>1312.5</c:v>
                </c:pt>
                <c:pt idx="5">
                  <c:v>1575</c:v>
                </c:pt>
                <c:pt idx="6">
                  <c:v>1837.5</c:v>
                </c:pt>
                <c:pt idx="7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AE-4166-BCC4-79F633DB76A4}"/>
            </c:ext>
          </c:extLst>
        </c:ser>
        <c:ser>
          <c:idx val="1"/>
          <c:order val="1"/>
          <c:tx>
            <c:strRef>
              <c:f>'ROI -Smoke Test'!$M$35</c:f>
              <c:strCache>
                <c:ptCount val="1"/>
                <c:pt idx="0">
                  <c:v>Cumulative Automation Cost ($)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AE-4166-BCC4-79F633DB76A4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AE-4166-BCC4-79F633DB76A4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AE-4166-BCC4-79F633DB76A4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AE-4166-BCC4-79F633DB76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'ROI -Smoke Test'!$M$36:$M$43</c:f>
              <c:numCache>
                <c:formatCode>_("$"* #,##0_);_("$"* \(#,##0\);_("$"* "-"??_);_(@_)</c:formatCode>
                <c:ptCount val="8"/>
                <c:pt idx="0">
                  <c:v>26.25</c:v>
                </c:pt>
                <c:pt idx="1">
                  <c:v>52.5</c:v>
                </c:pt>
                <c:pt idx="2">
                  <c:v>78.749999999999986</c:v>
                </c:pt>
                <c:pt idx="3">
                  <c:v>105</c:v>
                </c:pt>
                <c:pt idx="4">
                  <c:v>131.25</c:v>
                </c:pt>
                <c:pt idx="5">
                  <c:v>157.5</c:v>
                </c:pt>
                <c:pt idx="6">
                  <c:v>183.75</c:v>
                </c:pt>
                <c:pt idx="7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5AE-4166-BCC4-79F633DB7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06143"/>
        <c:axId val="851710303"/>
      </c:lineChart>
      <c:catAx>
        <c:axId val="85170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10303"/>
        <c:crosses val="autoZero"/>
        <c:auto val="1"/>
        <c:lblAlgn val="ctr"/>
        <c:lblOffset val="100"/>
        <c:noMultiLvlLbl val="0"/>
      </c:catAx>
      <c:valAx>
        <c:axId val="85171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solidFill>
              <a:schemeClr val="accent3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0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3">
          <a:lumMod val="50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Runs vs. 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39474108451173"/>
          <c:y val="0.15801850078167184"/>
          <c:w val="0.88560525891548825"/>
          <c:h val="0.63262058686734279"/>
        </c:manualLayout>
      </c:layout>
      <c:lineChart>
        <c:grouping val="standard"/>
        <c:varyColors val="0"/>
        <c:ser>
          <c:idx val="0"/>
          <c:order val="0"/>
          <c:tx>
            <c:strRef>
              <c:f>'ROI -Smoke Test'!$E$35</c:f>
              <c:strCache>
                <c:ptCount val="1"/>
                <c:pt idx="0">
                  <c:v>Cumulative Manual Effort (PH)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8574386473369041E-2"/>
                  <c:y val="-4.1252472958365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82-4A85-A542-187C009790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'ROI -Smoke Test'!$E$36:$E$43</c:f>
              <c:numCache>
                <c:formatCode>0</c:formatCode>
                <c:ptCount val="8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2-4A85-A542-187C00979012}"/>
            </c:ext>
          </c:extLst>
        </c:ser>
        <c:ser>
          <c:idx val="1"/>
          <c:order val="1"/>
          <c:tx>
            <c:strRef>
              <c:f>'ROI -Smoke Test'!$G$35</c:f>
              <c:strCache>
                <c:ptCount val="1"/>
                <c:pt idx="0">
                  <c:v>Cumulative Automation Effort (PH)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82-4A85-A542-187C0097901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82-4A85-A542-187C0097901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A82-4A85-A542-187C0097901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A82-4A85-A542-187C009790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'ROI -Smoke Test'!$G$36:$G$43</c:f>
              <c:numCache>
                <c:formatCode>0</c:formatCode>
                <c:ptCount val="8"/>
                <c:pt idx="0">
                  <c:v>1.2</c:v>
                </c:pt>
                <c:pt idx="1">
                  <c:v>2.4</c:v>
                </c:pt>
                <c:pt idx="2">
                  <c:v>3.5999999999999996</c:v>
                </c:pt>
                <c:pt idx="3">
                  <c:v>4.8</c:v>
                </c:pt>
                <c:pt idx="4">
                  <c:v>6</c:v>
                </c:pt>
                <c:pt idx="5">
                  <c:v>7.2</c:v>
                </c:pt>
                <c:pt idx="6">
                  <c:v>8.4</c:v>
                </c:pt>
                <c:pt idx="7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82-4A85-A542-187C00979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72815"/>
        <c:axId val="716970319"/>
      </c:lineChart>
      <c:catAx>
        <c:axId val="71697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70319"/>
        <c:crosses val="autoZero"/>
        <c:auto val="1"/>
        <c:lblAlgn val="ctr"/>
        <c:lblOffset val="100"/>
        <c:noMultiLvlLbl val="0"/>
      </c:catAx>
      <c:valAx>
        <c:axId val="7169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accent3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7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3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Years ROI (Effort)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76955083875286"/>
          <c:y val="0.17100235019642154"/>
          <c:w val="0.84706655167727474"/>
          <c:h val="0.60243425454171173"/>
        </c:manualLayout>
      </c:layout>
      <c:lineChart>
        <c:grouping val="standard"/>
        <c:varyColors val="0"/>
        <c:ser>
          <c:idx val="0"/>
          <c:order val="0"/>
          <c:tx>
            <c:strRef>
              <c:f>'ROI - Overall'!$E$27</c:f>
              <c:strCache>
                <c:ptCount val="1"/>
                <c:pt idx="0">
                  <c:v>Cumulative Manual Effort (PH)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1932562606527896E-2"/>
                  <c:y val="2.4792146001804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15-4570-8AF5-68D7495190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'ROI - Overall'!$C$28:$C$30</c:f>
            </c:strRef>
          </c:cat>
          <c:val>
            <c:numRef>
              <c:f>'ROI - Overall'!$E$28:$E$30</c:f>
            </c:numRef>
          </c:val>
          <c:smooth val="0"/>
          <c:extLst>
            <c:ext xmlns:c16="http://schemas.microsoft.com/office/drawing/2014/chart" uri="{C3380CC4-5D6E-409C-BE32-E72D297353CC}">
              <c16:uniqueId val="{00000001-4A15-4570-8AF5-68D749519072}"/>
            </c:ext>
          </c:extLst>
        </c:ser>
        <c:ser>
          <c:idx val="1"/>
          <c:order val="1"/>
          <c:tx>
            <c:strRef>
              <c:f>'ROI - Overall'!$G$27</c:f>
              <c:strCache>
                <c:ptCount val="1"/>
                <c:pt idx="0">
                  <c:v>Cumulative Automation Effort (PH)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2640528626594942E-2"/>
                  <c:y val="-4.35557965492671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A15-4570-8AF5-68D7495190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'ROI - Overall'!$C$28:$C$30</c:f>
            </c:strRef>
          </c:cat>
          <c:val>
            <c:numRef>
              <c:f>'ROI - Overall'!$G$28:$G$30</c:f>
            </c:numRef>
          </c:val>
          <c:smooth val="0"/>
          <c:extLst>
            <c:ext xmlns:c16="http://schemas.microsoft.com/office/drawing/2014/chart" uri="{C3380CC4-5D6E-409C-BE32-E72D297353CC}">
              <c16:uniqueId val="{00000003-4A15-4570-8AF5-68D749519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729563631"/>
        <c:axId val="1729564047"/>
      </c:lineChart>
      <c:catAx>
        <c:axId val="172956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accent3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64047"/>
        <c:crosses val="autoZero"/>
        <c:auto val="1"/>
        <c:lblAlgn val="ctr"/>
        <c:lblOffset val="100"/>
        <c:noMultiLvlLbl val="0"/>
      </c:catAx>
      <c:valAx>
        <c:axId val="1729564047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accent3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63631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accent3">
          <a:lumMod val="50000"/>
        </a:schemeClr>
      </a:solidFill>
      <a:prstDash val="solid"/>
      <a:round/>
    </a:ln>
    <a:effectLst/>
    <a:scene3d>
      <a:camera prst="orthographicFront"/>
      <a:lightRig rig="contrasting" dir="t">
        <a:rot lat="0" lon="0" rev="7800000"/>
      </a:lightRig>
    </a:scene3d>
    <a:sp3d>
      <a:bevelT w="139700" h="139700" prst="coolSlant"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ysClr val="windowText" lastClr="000000"/>
                </a:solidFill>
              </a:rPr>
              <a:t>Runs vs. Cost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'ROI - Overall'!$J$38</c:f>
              <c:strCache>
                <c:ptCount val="1"/>
                <c:pt idx="0">
                  <c:v>Cumulative Manual Cost (GBP)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1104577793452614E-2"/>
                  <c:y val="3.5279855643044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42B-4E36-B8CF-612CE6F919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'ROI - Overall'!$J$39:$J$48</c:f>
              <c:numCache>
                <c:formatCode>[$£-809]#,##0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B-4E36-B8CF-612CE6F9191B}"/>
            </c:ext>
          </c:extLst>
        </c:ser>
        <c:ser>
          <c:idx val="1"/>
          <c:order val="1"/>
          <c:tx>
            <c:strRef>
              <c:f>'ROI - Overall'!$M$38</c:f>
              <c:strCache>
                <c:ptCount val="1"/>
                <c:pt idx="0">
                  <c:v>Cumulative Automation Cost (GBP)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2B-4E36-B8CF-612CE6F9191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42B-4E36-B8CF-612CE6F919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42B-4E36-B8CF-612CE6F9191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2B-4E36-B8CF-612CE6F919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'ROI - Overall'!$M$39:$M$48</c:f>
              <c:numCache>
                <c:formatCode>[$£-809]#,##0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2B-4E36-B8CF-612CE6F91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06143"/>
        <c:axId val="851710303"/>
      </c:lineChart>
      <c:catAx>
        <c:axId val="85170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10303"/>
        <c:crosses val="autoZero"/>
        <c:auto val="1"/>
        <c:lblAlgn val="ctr"/>
        <c:lblOffset val="100"/>
        <c:noMultiLvlLbl val="0"/>
      </c:catAx>
      <c:valAx>
        <c:axId val="85171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£-809]#,##0" sourceLinked="1"/>
        <c:majorTickMark val="none"/>
        <c:minorTickMark val="none"/>
        <c:tickLblPos val="nextTo"/>
        <c:spPr>
          <a:noFill/>
          <a:ln>
            <a:solidFill>
              <a:schemeClr val="accent3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0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3">
          <a:lumMod val="50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Runs vs. 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39474108451173"/>
          <c:y val="0.15801850078167184"/>
          <c:w val="0.88560525891548825"/>
          <c:h val="0.63262058686734279"/>
        </c:manualLayout>
      </c:layout>
      <c:lineChart>
        <c:grouping val="standard"/>
        <c:varyColors val="0"/>
        <c:ser>
          <c:idx val="0"/>
          <c:order val="0"/>
          <c:tx>
            <c:strRef>
              <c:f>'ROI - Overall'!$E$38</c:f>
              <c:strCache>
                <c:ptCount val="1"/>
                <c:pt idx="0">
                  <c:v>Cumulative Manual Effort (PH)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8574386473369041E-2"/>
                  <c:y val="-4.1252472958365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89D-42EA-A943-52E7E2921E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'ROI - Overall'!$E$39:$E$48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D-42EA-A943-52E7E2921EB5}"/>
            </c:ext>
          </c:extLst>
        </c:ser>
        <c:ser>
          <c:idx val="1"/>
          <c:order val="1"/>
          <c:tx>
            <c:strRef>
              <c:f>'ROI - Overall'!$G$38</c:f>
              <c:strCache>
                <c:ptCount val="1"/>
                <c:pt idx="0">
                  <c:v>Cumulative Automation Effort (PH)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89D-42EA-A943-52E7E2921EB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9D-42EA-A943-52E7E2921EB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9D-42EA-A943-52E7E2921EB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9D-42EA-A943-52E7E2921E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'ROI - Overall'!$G$39:$G$48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9D-42EA-A943-52E7E2921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72815"/>
        <c:axId val="716970319"/>
      </c:lineChart>
      <c:catAx>
        <c:axId val="71697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70319"/>
        <c:crosses val="autoZero"/>
        <c:auto val="1"/>
        <c:lblAlgn val="ctr"/>
        <c:lblOffset val="100"/>
        <c:noMultiLvlLbl val="0"/>
      </c:catAx>
      <c:valAx>
        <c:axId val="7169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accent3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7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3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Years ROI (Cost)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8808721203873"/>
          <c:y val="0.14634559770937725"/>
          <c:w val="0.82312235009085399"/>
          <c:h val="0.65045211049438489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522888105350621E-2"/>
                  <c:y val="2.692084009431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5F-4E20-A839-0C4EC7DA8C25}"/>
                </c:ext>
              </c:extLst>
            </c:dLbl>
            <c:dLbl>
              <c:idx val="1"/>
              <c:layout>
                <c:manualLayout>
                  <c:x val="-9.2712001170775715E-2"/>
                  <c:y val="-2.7989140423565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5F-4E20-A839-0C4EC7DA8C25}"/>
                </c:ext>
              </c:extLst>
            </c:dLbl>
            <c:dLbl>
              <c:idx val="2"/>
              <c:layout>
                <c:manualLayout>
                  <c:x val="-0.10290869051560438"/>
                  <c:y val="-3.6202643310390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5F-4E20-A839-0C4EC7DA8C25}"/>
                </c:ext>
              </c:extLst>
            </c:dLbl>
            <c:dLbl>
              <c:idx val="3"/>
              <c:layout>
                <c:manualLayout>
                  <c:x val="-0.10493131478418327"/>
                  <c:y val="-2.37240581093108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5F-4E20-A839-0C4EC7DA8C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'ROI - ClaimCenter'!#REF!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'ROI - ClaimCenter'!#REF!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'ROI - ClaimCenter'!#REF!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345F-4E20-A839-0C4EC7DA8C25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9196316130919822E-2"/>
                  <c:y val="-4.51094764470230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5F-4E20-A839-0C4EC7DA8C25}"/>
                </c:ext>
              </c:extLst>
            </c:dLbl>
            <c:dLbl>
              <c:idx val="1"/>
              <c:layout>
                <c:manualLayout>
                  <c:x val="-1.9586501851728933E-2"/>
                  <c:y val="4.0493997825984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5F-4E20-A839-0C4EC7DA8C25}"/>
                </c:ext>
              </c:extLst>
            </c:dLbl>
            <c:dLbl>
              <c:idx val="2"/>
              <c:layout>
                <c:manualLayout>
                  <c:x val="-4.1909286901731665E-2"/>
                  <c:y val="3.2067145798898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5F-4E20-A839-0C4EC7DA8C25}"/>
                </c:ext>
              </c:extLst>
            </c:dLbl>
            <c:dLbl>
              <c:idx val="3"/>
              <c:layout>
                <c:manualLayout>
                  <c:x val="-2.9279406500592787E-2"/>
                  <c:y val="4.4532950936352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5F-4E20-A839-0C4EC7DA8C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'ROI - ClaimCenter'!#REF!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'ROI - ClaimCenter'!#REF!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'ROI - ClaimCenter'!#REF!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9-345F-4E20-A839-0C4EC7DA8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724698751"/>
        <c:axId val="1724699167"/>
      </c:lineChart>
      <c:catAx>
        <c:axId val="172469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accent3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99167"/>
        <c:crosses val="autoZero"/>
        <c:auto val="1"/>
        <c:lblAlgn val="ctr"/>
        <c:lblOffset val="100"/>
        <c:noMultiLvlLbl val="0"/>
      </c:catAx>
      <c:valAx>
        <c:axId val="1724699167"/>
        <c:scaling>
          <c:orientation val="minMax"/>
          <c:max val="1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98751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accent3">
          <a:lumMod val="50000"/>
        </a:schemeClr>
      </a:solidFill>
      <a:prstDash val="solid"/>
      <a:round/>
    </a:ln>
    <a:effectLst/>
    <a:scene3d>
      <a:camera prst="orthographicFront"/>
      <a:lightRig rig="threePt" dir="t"/>
    </a:scene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Years ROI (Effort)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76955083875286"/>
          <c:y val="0.17100235019642154"/>
          <c:w val="0.84706655167727474"/>
          <c:h val="0.60243425454171173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1932562606527896E-2"/>
                  <c:y val="2.4792146001804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9D9-4FC9-95AC-FA4B0FDF09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'ROI - ClaimCenter'!#REF!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'ROI - ClaimCenter'!#REF!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'ROI - ClaimCenter'!#REF!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E9D9-4FC9-95AC-FA4B0FDF09B4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2640528626594942E-2"/>
                  <c:y val="-4.35557965492671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D9-4FC9-95AC-FA4B0FDF09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'ROI - ClaimCenter'!#REF!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'ROI - ClaimCenter'!#REF!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'ROI - ClaimCenter'!#REF!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E9D9-4FC9-95AC-FA4B0FDF0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729563631"/>
        <c:axId val="1729564047"/>
      </c:lineChart>
      <c:catAx>
        <c:axId val="172956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accent3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64047"/>
        <c:crosses val="autoZero"/>
        <c:auto val="1"/>
        <c:lblAlgn val="ctr"/>
        <c:lblOffset val="100"/>
        <c:noMultiLvlLbl val="0"/>
      </c:catAx>
      <c:valAx>
        <c:axId val="1729564047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3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63631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accent3">
          <a:lumMod val="50000"/>
        </a:schemeClr>
      </a:solidFill>
      <a:prstDash val="solid"/>
      <a:round/>
    </a:ln>
    <a:effectLst/>
    <a:scene3d>
      <a:camera prst="orthographicFront"/>
      <a:lightRig rig="contrasting" dir="t">
        <a:rot lat="0" lon="0" rev="7800000"/>
      </a:lightRig>
    </a:scene3d>
    <a:sp3d>
      <a:bevelT w="139700" h="139700" prst="coolSlant"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aseline="0">
                <a:solidFill>
                  <a:sysClr val="windowText" lastClr="000000"/>
                </a:solidFill>
              </a:rPr>
              <a:t>Runs vs. Cost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'ROI - ClaimCenter'!$J$39</c:f>
              <c:strCache>
                <c:ptCount val="1"/>
                <c:pt idx="0">
                  <c:v>Cumulative Manual Cost ($)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5.1104577793452614E-2"/>
                  <c:y val="3.52798556430444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F2C-4876-A149-AD97520837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'ROI - ClaimCenter'!$J$40:$J$47</c:f>
              <c:numCache>
                <c:formatCode>[$£-809]#,##0</c:formatCode>
                <c:ptCount val="8"/>
                <c:pt idx="0">
                  <c:v>1400</c:v>
                </c:pt>
                <c:pt idx="1">
                  <c:v>2800</c:v>
                </c:pt>
                <c:pt idx="2">
                  <c:v>4200</c:v>
                </c:pt>
                <c:pt idx="3">
                  <c:v>5600</c:v>
                </c:pt>
                <c:pt idx="4">
                  <c:v>7000</c:v>
                </c:pt>
                <c:pt idx="5">
                  <c:v>8400</c:v>
                </c:pt>
                <c:pt idx="6">
                  <c:v>9800</c:v>
                </c:pt>
                <c:pt idx="7">
                  <c:v>11200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C-4876-A149-AD97520837D2}"/>
            </c:ext>
          </c:extLst>
        </c:ser>
        <c:ser>
          <c:idx val="1"/>
          <c:order val="1"/>
          <c:tx>
            <c:strRef>
              <c:f>'ROI - ClaimCenter'!$M$39</c:f>
              <c:strCache>
                <c:ptCount val="1"/>
                <c:pt idx="0">
                  <c:v>Cumulative Automation Cost ($)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F2C-4876-A149-AD97520837D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2C-4876-A149-AD97520837D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2C-4876-A149-AD97520837D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2C-4876-A149-AD97520837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'ROI - ClaimCenter'!$M$40:$M$47</c:f>
              <c:numCache>
                <c:formatCode>[$£-809]#,##0</c:formatCode>
                <c:ptCount val="8"/>
                <c:pt idx="0">
                  <c:v>13177.45</c:v>
                </c:pt>
                <c:pt idx="1">
                  <c:v>13529.9</c:v>
                </c:pt>
                <c:pt idx="2">
                  <c:v>13707.35</c:v>
                </c:pt>
                <c:pt idx="3">
                  <c:v>14059.8</c:v>
                </c:pt>
                <c:pt idx="4">
                  <c:v>14237.25</c:v>
                </c:pt>
                <c:pt idx="5">
                  <c:v>14589.7</c:v>
                </c:pt>
                <c:pt idx="6">
                  <c:v>14767.15</c:v>
                </c:pt>
                <c:pt idx="7">
                  <c:v>15119.6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C-4876-A149-AD9752083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06143"/>
        <c:axId val="851710303"/>
      </c:lineChart>
      <c:catAx>
        <c:axId val="85170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10303"/>
        <c:crosses val="autoZero"/>
        <c:auto val="1"/>
        <c:lblAlgn val="ctr"/>
        <c:lblOffset val="100"/>
        <c:noMultiLvlLbl val="0"/>
      </c:catAx>
      <c:valAx>
        <c:axId val="85171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£-809]#,##0" sourceLinked="1"/>
        <c:majorTickMark val="none"/>
        <c:minorTickMark val="none"/>
        <c:tickLblPos val="nextTo"/>
        <c:spPr>
          <a:noFill/>
          <a:ln>
            <a:solidFill>
              <a:schemeClr val="accent3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0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3">
          <a:lumMod val="50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Runs vs. Effort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39474108451173"/>
          <c:y val="0.15801850078167184"/>
          <c:w val="0.88560525891548825"/>
          <c:h val="0.63262058686734279"/>
        </c:manualLayout>
      </c:layout>
      <c:lineChart>
        <c:grouping val="standard"/>
        <c:varyColors val="0"/>
        <c:ser>
          <c:idx val="0"/>
          <c:order val="0"/>
          <c:tx>
            <c:strRef>
              <c:f>'ROI - ClaimCenter'!$E$39</c:f>
              <c:strCache>
                <c:ptCount val="1"/>
                <c:pt idx="0">
                  <c:v>Cumulative Manual Effort (PH)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8574386473369041E-2"/>
                  <c:y val="-4.1252472958365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02-48D5-BB8C-04392F408E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'ROI - ClaimCenter'!$E$40:$E$47</c:f>
              <c:numCache>
                <c:formatCode>0</c:formatCode>
                <c:ptCount val="8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2-48D5-BB8C-04392F408E59}"/>
            </c:ext>
          </c:extLst>
        </c:ser>
        <c:ser>
          <c:idx val="1"/>
          <c:order val="1"/>
          <c:tx>
            <c:strRef>
              <c:f>'ROI - ClaimCenter'!$G$39</c:f>
              <c:strCache>
                <c:ptCount val="1"/>
                <c:pt idx="0">
                  <c:v>Cumulative Automation Effort (PH)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02-48D5-BB8C-04392F408E5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802-48D5-BB8C-04392F408E5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802-48D5-BB8C-04392F408E5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02-48D5-BB8C-04392F408E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'ROI - ClaimCenter'!$G$40:$G$47</c:f>
              <c:numCache>
                <c:formatCode>0</c:formatCode>
                <c:ptCount val="8"/>
                <c:pt idx="0">
                  <c:v>8.1120000000000001</c:v>
                </c:pt>
                <c:pt idx="1">
                  <c:v>24.224</c:v>
                </c:pt>
                <c:pt idx="2">
                  <c:v>32.335999999999999</c:v>
                </c:pt>
                <c:pt idx="3">
                  <c:v>48.448</c:v>
                </c:pt>
                <c:pt idx="4">
                  <c:v>56.56</c:v>
                </c:pt>
                <c:pt idx="5">
                  <c:v>72.671999999999997</c:v>
                </c:pt>
                <c:pt idx="6">
                  <c:v>80.783999999999992</c:v>
                </c:pt>
                <c:pt idx="7">
                  <c:v>96.895999999999987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2-48D5-BB8C-04392F408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972815"/>
        <c:axId val="716970319"/>
      </c:lineChart>
      <c:catAx>
        <c:axId val="716972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accent3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70319"/>
        <c:crosses val="autoZero"/>
        <c:auto val="1"/>
        <c:lblAlgn val="ctr"/>
        <c:lblOffset val="100"/>
        <c:noMultiLvlLbl val="0"/>
      </c:catAx>
      <c:valAx>
        <c:axId val="7169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solidFill>
              <a:schemeClr val="accent3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97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3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Years ROI (Cost)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48808721203873"/>
          <c:y val="0.14634559770937725"/>
          <c:w val="0.82312235009085399"/>
          <c:h val="0.65045211049438489"/>
        </c:manualLayout>
      </c:layout>
      <c:lineChart>
        <c:grouping val="standard"/>
        <c:varyColors val="0"/>
        <c:ser>
          <c:idx val="0"/>
          <c:order val="0"/>
          <c:tx>
            <c:strRef>
              <c:f>'ROI -Smoke Test'!$J$27</c:f>
              <c:strCache>
                <c:ptCount val="1"/>
                <c:pt idx="0">
                  <c:v>Cumulative Manual Cost (GBP)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1.522888105350621E-2"/>
                  <c:y val="2.69208400943122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62-4C9C-969A-BA294816CBD3}"/>
                </c:ext>
              </c:extLst>
            </c:dLbl>
            <c:dLbl>
              <c:idx val="1"/>
              <c:layout>
                <c:manualLayout>
                  <c:x val="-9.2712001170775715E-2"/>
                  <c:y val="-2.7989140423565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62-4C9C-969A-BA294816CBD3}"/>
                </c:ext>
              </c:extLst>
            </c:dLbl>
            <c:dLbl>
              <c:idx val="2"/>
              <c:layout>
                <c:manualLayout>
                  <c:x val="-0.10290869051560438"/>
                  <c:y val="-3.62026433103903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62-4C9C-969A-BA294816CBD3}"/>
                </c:ext>
              </c:extLst>
            </c:dLbl>
            <c:dLbl>
              <c:idx val="3"/>
              <c:layout>
                <c:manualLayout>
                  <c:x val="-0.10493131478418327"/>
                  <c:y val="-2.37240581093108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62-4C9C-969A-BA294816CB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'ROI -Smoke Test'!$C$28:$C$30</c:f>
            </c:strRef>
          </c:cat>
          <c:val>
            <c:numRef>
              <c:f>'ROI -Smoke Test'!$J$28:$J$30</c:f>
            </c:numRef>
          </c:val>
          <c:smooth val="0"/>
          <c:extLst>
            <c:ext xmlns:c16="http://schemas.microsoft.com/office/drawing/2014/chart" uri="{C3380CC4-5D6E-409C-BE32-E72D297353CC}">
              <c16:uniqueId val="{00000004-8762-4C9C-969A-BA294816CBD3}"/>
            </c:ext>
          </c:extLst>
        </c:ser>
        <c:ser>
          <c:idx val="1"/>
          <c:order val="1"/>
          <c:tx>
            <c:strRef>
              <c:f>'ROI -Smoke Test'!$M$27</c:f>
              <c:strCache>
                <c:ptCount val="1"/>
                <c:pt idx="0">
                  <c:v>Cumulative Automation Cost (GBP)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5.9196316130919822E-2"/>
                  <c:y val="-4.51094764470230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762-4C9C-969A-BA294816CBD3}"/>
                </c:ext>
              </c:extLst>
            </c:dLbl>
            <c:dLbl>
              <c:idx val="1"/>
              <c:layout>
                <c:manualLayout>
                  <c:x val="-1.9586501851728933E-2"/>
                  <c:y val="4.049399782598421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62-4C9C-969A-BA294816CBD3}"/>
                </c:ext>
              </c:extLst>
            </c:dLbl>
            <c:dLbl>
              <c:idx val="2"/>
              <c:layout>
                <c:manualLayout>
                  <c:x val="-4.1909286901731665E-2"/>
                  <c:y val="3.20671457988981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62-4C9C-969A-BA294816CBD3}"/>
                </c:ext>
              </c:extLst>
            </c:dLbl>
            <c:dLbl>
              <c:idx val="3"/>
              <c:layout>
                <c:manualLayout>
                  <c:x val="-2.9279406500592787E-2"/>
                  <c:y val="4.45329509363526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62-4C9C-969A-BA294816CB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'ROI -Smoke Test'!$C$28:$C$30</c:f>
            </c:strRef>
          </c:cat>
          <c:val>
            <c:numRef>
              <c:f>'ROI -Smoke Test'!$M$28:$M$30</c:f>
            </c:numRef>
          </c:val>
          <c:smooth val="0"/>
          <c:extLst>
            <c:ext xmlns:c16="http://schemas.microsoft.com/office/drawing/2014/chart" uri="{C3380CC4-5D6E-409C-BE32-E72D297353CC}">
              <c16:uniqueId val="{00000009-8762-4C9C-969A-BA294816C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724698751"/>
        <c:axId val="1724699167"/>
      </c:lineChart>
      <c:catAx>
        <c:axId val="172469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accent3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99167"/>
        <c:crosses val="autoZero"/>
        <c:auto val="1"/>
        <c:lblAlgn val="ctr"/>
        <c:lblOffset val="100"/>
        <c:noMultiLvlLbl val="0"/>
      </c:catAx>
      <c:valAx>
        <c:axId val="1724699167"/>
        <c:scaling>
          <c:orientation val="minMax"/>
          <c:max val="1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£-809]#,##0" sourceLinked="1"/>
        <c:majorTickMark val="none"/>
        <c:minorTickMark val="none"/>
        <c:tickLblPos val="nextTo"/>
        <c:spPr>
          <a:noFill/>
          <a:ln>
            <a:solidFill>
              <a:schemeClr val="accent3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698751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accent3">
          <a:lumMod val="50000"/>
        </a:schemeClr>
      </a:solidFill>
      <a:prstDash val="solid"/>
      <a:round/>
    </a:ln>
    <a:effectLst/>
    <a:scene3d>
      <a:camera prst="orthographicFront"/>
      <a:lightRig rig="threePt" dir="t"/>
    </a:scene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13</xdr:row>
      <xdr:rowOff>0</xdr:rowOff>
    </xdr:from>
    <xdr:to>
      <xdr:col>2</xdr:col>
      <xdr:colOff>133350</xdr:colOff>
      <xdr:row>13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2157921-A5B2-48CE-9757-200121D7FAC9}"/>
            </a:ext>
          </a:extLst>
        </xdr:cNvPr>
        <xdr:cNvCxnSpPr/>
      </xdr:nvCxnSpPr>
      <xdr:spPr>
        <a:xfrm rot="16200000" flipH="1">
          <a:off x="2271713" y="3548062"/>
          <a:ext cx="0" cy="9525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771980</xdr:colOff>
      <xdr:row>0</xdr:row>
      <xdr:rowOff>121558</xdr:rowOff>
    </xdr:from>
    <xdr:to>
      <xdr:col>14</xdr:col>
      <xdr:colOff>680357</xdr:colOff>
      <xdr:row>11</xdr:row>
      <xdr:rowOff>111579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177737-D038-46D0-8A93-461140B2F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771979</xdr:colOff>
      <xdr:row>11</xdr:row>
      <xdr:rowOff>174170</xdr:rowOff>
    </xdr:from>
    <xdr:to>
      <xdr:col>14</xdr:col>
      <xdr:colOff>680357</xdr:colOff>
      <xdr:row>23</xdr:row>
      <xdr:rowOff>149678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8FD2F2-DC78-4776-AEEF-586BFE898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108857</xdr:colOff>
      <xdr:row>0</xdr:row>
      <xdr:rowOff>136071</xdr:rowOff>
    </xdr:from>
    <xdr:to>
      <xdr:col>9</xdr:col>
      <xdr:colOff>666750</xdr:colOff>
      <xdr:row>11</xdr:row>
      <xdr:rowOff>122464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BA3B1F-E473-49D3-9D8E-6E312136B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108856</xdr:colOff>
      <xdr:row>11</xdr:row>
      <xdr:rowOff>193219</xdr:rowOff>
    </xdr:from>
    <xdr:to>
      <xdr:col>9</xdr:col>
      <xdr:colOff>666750</xdr:colOff>
      <xdr:row>23</xdr:row>
      <xdr:rowOff>163284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FF1156-3E77-449A-BCDB-C90DC5FDA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14</xdr:row>
      <xdr:rowOff>0</xdr:rowOff>
    </xdr:from>
    <xdr:to>
      <xdr:col>2</xdr:col>
      <xdr:colOff>133350</xdr:colOff>
      <xdr:row>14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2290763" y="3548062"/>
          <a:ext cx="0" cy="9525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771980</xdr:colOff>
      <xdr:row>0</xdr:row>
      <xdr:rowOff>121558</xdr:rowOff>
    </xdr:from>
    <xdr:to>
      <xdr:col>14</xdr:col>
      <xdr:colOff>680357</xdr:colOff>
      <xdr:row>11</xdr:row>
      <xdr:rowOff>111579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771979</xdr:colOff>
      <xdr:row>11</xdr:row>
      <xdr:rowOff>174170</xdr:rowOff>
    </xdr:from>
    <xdr:to>
      <xdr:col>14</xdr:col>
      <xdr:colOff>680357</xdr:colOff>
      <xdr:row>31</xdr:row>
      <xdr:rowOff>149678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108857</xdr:colOff>
      <xdr:row>0</xdr:row>
      <xdr:rowOff>136071</xdr:rowOff>
    </xdr:from>
    <xdr:to>
      <xdr:col>9</xdr:col>
      <xdr:colOff>666750</xdr:colOff>
      <xdr:row>11</xdr:row>
      <xdr:rowOff>122464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108856</xdr:colOff>
      <xdr:row>11</xdr:row>
      <xdr:rowOff>193219</xdr:rowOff>
    </xdr:from>
    <xdr:to>
      <xdr:col>9</xdr:col>
      <xdr:colOff>666750</xdr:colOff>
      <xdr:row>31</xdr:row>
      <xdr:rowOff>163284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13</xdr:row>
      <xdr:rowOff>0</xdr:rowOff>
    </xdr:from>
    <xdr:to>
      <xdr:col>2</xdr:col>
      <xdr:colOff>133350</xdr:colOff>
      <xdr:row>13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945275B-D539-4E35-8AD2-8DE4FA9A324C}"/>
            </a:ext>
          </a:extLst>
        </xdr:cNvPr>
        <xdr:cNvCxnSpPr/>
      </xdr:nvCxnSpPr>
      <xdr:spPr>
        <a:xfrm rot="16200000" flipH="1">
          <a:off x="2271713" y="3548062"/>
          <a:ext cx="0" cy="9525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771980</xdr:colOff>
      <xdr:row>0</xdr:row>
      <xdr:rowOff>121558</xdr:rowOff>
    </xdr:from>
    <xdr:to>
      <xdr:col>14</xdr:col>
      <xdr:colOff>680357</xdr:colOff>
      <xdr:row>11</xdr:row>
      <xdr:rowOff>111579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BEC059-402B-4A3B-B335-1947968D5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771979</xdr:colOff>
      <xdr:row>11</xdr:row>
      <xdr:rowOff>174170</xdr:rowOff>
    </xdr:from>
    <xdr:to>
      <xdr:col>14</xdr:col>
      <xdr:colOff>680357</xdr:colOff>
      <xdr:row>23</xdr:row>
      <xdr:rowOff>149678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F0FF0B-D90F-48EB-9628-4969DE81E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108857</xdr:colOff>
      <xdr:row>0</xdr:row>
      <xdr:rowOff>136071</xdr:rowOff>
    </xdr:from>
    <xdr:to>
      <xdr:col>9</xdr:col>
      <xdr:colOff>666750</xdr:colOff>
      <xdr:row>11</xdr:row>
      <xdr:rowOff>122464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BFA88C-7027-43A8-89AF-8446D11EF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108856</xdr:colOff>
      <xdr:row>11</xdr:row>
      <xdr:rowOff>193219</xdr:rowOff>
    </xdr:from>
    <xdr:to>
      <xdr:col>9</xdr:col>
      <xdr:colOff>666750</xdr:colOff>
      <xdr:row>23</xdr:row>
      <xdr:rowOff>163284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25B66E-E179-4A34-9005-E4F1E4732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123825</xdr:colOff>
      <xdr:row>13</xdr:row>
      <xdr:rowOff>0</xdr:rowOff>
    </xdr:from>
    <xdr:to>
      <xdr:col>2</xdr:col>
      <xdr:colOff>133350</xdr:colOff>
      <xdr:row>13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EBB3897-8D4B-4B8F-B9E2-649CCC47CDC6}"/>
            </a:ext>
          </a:extLst>
        </xdr:cNvPr>
        <xdr:cNvCxnSpPr/>
      </xdr:nvCxnSpPr>
      <xdr:spPr>
        <a:xfrm rot="16200000" flipH="1">
          <a:off x="2376488" y="3500437"/>
          <a:ext cx="0" cy="9525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123825</xdr:colOff>
      <xdr:row>13</xdr:row>
      <xdr:rowOff>0</xdr:rowOff>
    </xdr:from>
    <xdr:to>
      <xdr:col>2</xdr:col>
      <xdr:colOff>133350</xdr:colOff>
      <xdr:row>13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A992682-B2F7-4C97-B76D-77BE5D7A0542}"/>
            </a:ext>
          </a:extLst>
        </xdr:cNvPr>
        <xdr:cNvCxnSpPr/>
      </xdr:nvCxnSpPr>
      <xdr:spPr>
        <a:xfrm rot="16200000" flipH="1">
          <a:off x="2376488" y="3500437"/>
          <a:ext cx="0" cy="9525"/>
        </a:xfrm>
        <a:prstGeom prst="lin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C9" totalsRowShown="0" headerRowDxfId="3" dataDxfId="2">
  <autoFilter ref="B2:C9" xr:uid="{00000000-0009-0000-0100-000001000000}"/>
  <tableColumns count="2">
    <tableColumn id="1" xr3:uid="{00000000-0010-0000-0000-000001000000}" name="Sr. No." dataDxfId="1"/>
    <tableColumn id="2" xr3:uid="{00000000-0010-0000-0000-000002000000}" name="Assumptions &amp; Dependencie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5"/>
  <sheetViews>
    <sheetView showGridLines="0" tabSelected="1" zoomScale="70" zoomScaleNormal="60" workbookViewId="0">
      <pane ySplit="5" topLeftCell="A6" activePane="bottomLeft" state="frozen"/>
      <selection pane="bottomLeft" activeCell="L6" sqref="L6"/>
    </sheetView>
  </sheetViews>
  <sheetFormatPr defaultColWidth="9.1796875" defaultRowHeight="15.5" outlineLevelCol="1" x14ac:dyDescent="0.35"/>
  <cols>
    <col min="1" max="1" width="1" style="1" customWidth="1"/>
    <col min="2" max="2" width="9.1796875" style="1"/>
    <col min="3" max="3" width="23.81640625" style="1" customWidth="1"/>
    <col min="4" max="4" width="23.453125" style="1" bestFit="1" customWidth="1"/>
    <col min="5" max="5" width="17.453125" style="1" customWidth="1"/>
    <col min="6" max="6" width="16.81640625" style="1" customWidth="1" outlineLevel="1"/>
    <col min="7" max="7" width="17.26953125" style="1" customWidth="1" outlineLevel="1"/>
    <col min="8" max="8" width="21.90625" style="1" customWidth="1"/>
    <col min="9" max="9" width="19" style="1" customWidth="1"/>
    <col min="10" max="10" width="18.453125" style="1" customWidth="1" outlineLevel="1"/>
    <col min="11" max="11" width="17.26953125" style="1" customWidth="1" outlineLevel="1"/>
    <col min="12" max="12" width="24.54296875" style="1" bestFit="1" customWidth="1"/>
    <col min="13" max="13" width="31.54296875" style="1" bestFit="1" customWidth="1"/>
    <col min="14" max="14" width="90.453125" style="1" customWidth="1"/>
    <col min="15" max="15" width="20.453125" style="1" customWidth="1"/>
    <col min="16" max="16" width="10.453125" style="1" customWidth="1"/>
    <col min="17" max="16384" width="9.1796875" style="1"/>
  </cols>
  <sheetData>
    <row r="1" spans="2:14" x14ac:dyDescent="0.35">
      <c r="B1" s="130" t="s">
        <v>0</v>
      </c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2"/>
    </row>
    <row r="2" spans="2:14" x14ac:dyDescent="0.35">
      <c r="B2" s="133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5"/>
    </row>
    <row r="3" spans="2:14" ht="16" thickBot="1" x14ac:dyDescent="0.4">
      <c r="B3" s="136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8"/>
    </row>
    <row r="4" spans="2:14" x14ac:dyDescent="0.35">
      <c r="B4" s="142" t="s">
        <v>1</v>
      </c>
      <c r="C4" s="139" t="s">
        <v>129</v>
      </c>
      <c r="D4" s="141" t="s">
        <v>3</v>
      </c>
      <c r="E4" s="141"/>
      <c r="F4" s="125" t="s">
        <v>133</v>
      </c>
      <c r="G4" s="126"/>
      <c r="H4" s="127"/>
      <c r="I4" s="189">
        <v>2025</v>
      </c>
      <c r="J4" s="190"/>
      <c r="K4" s="190"/>
      <c r="L4" s="191"/>
      <c r="M4" s="139" t="s">
        <v>4</v>
      </c>
      <c r="N4" s="150" t="s">
        <v>5</v>
      </c>
    </row>
    <row r="5" spans="2:14" ht="53.25" customHeight="1" thickBot="1" x14ac:dyDescent="0.4">
      <c r="B5" s="143"/>
      <c r="C5" s="140"/>
      <c r="D5" s="105" t="s">
        <v>130</v>
      </c>
      <c r="E5" s="105" t="s">
        <v>131</v>
      </c>
      <c r="F5" s="105" t="s">
        <v>89</v>
      </c>
      <c r="G5" s="105" t="s">
        <v>121</v>
      </c>
      <c r="H5" s="105" t="s">
        <v>122</v>
      </c>
      <c r="I5" s="105" t="s">
        <v>132</v>
      </c>
      <c r="J5" s="105" t="s">
        <v>89</v>
      </c>
      <c r="K5" s="105" t="s">
        <v>121</v>
      </c>
      <c r="L5" s="105" t="s">
        <v>122</v>
      </c>
      <c r="M5" s="140"/>
      <c r="N5" s="151"/>
    </row>
    <row r="6" spans="2:14" ht="39" customHeight="1" thickBot="1" x14ac:dyDescent="0.4">
      <c r="B6" s="81">
        <v>1</v>
      </c>
      <c r="C6" s="82" t="str">
        <f>'Effort Analysis'!B4</f>
        <v>Guidewire Claim Center - Regression Execution</v>
      </c>
      <c r="D6" s="82">
        <f>'Effort Analysis'!C4</f>
        <v>80</v>
      </c>
      <c r="E6" s="82">
        <f>'Effort Analysis'!D4</f>
        <v>72</v>
      </c>
      <c r="F6" s="169">
        <f>'ROI - ClaimCenter'!E40/8</f>
        <v>8</v>
      </c>
      <c r="G6" s="169">
        <f>'ROI - ClaimCenter'!G40/8</f>
        <v>1.014</v>
      </c>
      <c r="H6" s="170">
        <f>F6-G6</f>
        <v>6.9859999999999998</v>
      </c>
      <c r="I6" s="186">
        <v>7</v>
      </c>
      <c r="J6" s="169">
        <f>I6*F6</f>
        <v>56</v>
      </c>
      <c r="K6" s="169">
        <f>I6*G6</f>
        <v>7.0979999999999999</v>
      </c>
      <c r="L6" s="169">
        <f>J6-K6</f>
        <v>48.902000000000001</v>
      </c>
      <c r="M6" s="83"/>
      <c r="N6" s="91"/>
    </row>
    <row r="7" spans="2:14" ht="27" customHeight="1" thickBot="1" x14ac:dyDescent="0.4">
      <c r="B7" s="176">
        <v>2</v>
      </c>
      <c r="C7" s="82" t="str">
        <f>'Effort Analysis'!B5</f>
        <v>Smoke Execution</v>
      </c>
      <c r="D7" s="82">
        <v>15</v>
      </c>
      <c r="E7" s="82">
        <v>15</v>
      </c>
      <c r="F7" s="169">
        <f>E7/10</f>
        <v>1.5</v>
      </c>
      <c r="G7" s="188">
        <f>E7/100</f>
        <v>0.15</v>
      </c>
      <c r="H7" s="170">
        <f>F7-G7</f>
        <v>1.35</v>
      </c>
      <c r="I7" s="186">
        <v>7</v>
      </c>
      <c r="J7" s="169">
        <f>I7*F7</f>
        <v>10.5</v>
      </c>
      <c r="K7" s="169">
        <f>I7*G7</f>
        <v>1.05</v>
      </c>
      <c r="L7" s="169">
        <f>J7-K7</f>
        <v>9.4499999999999993</v>
      </c>
      <c r="M7" s="177"/>
      <c r="N7" s="178"/>
    </row>
    <row r="8" spans="2:14" ht="30" customHeight="1" thickBot="1" x14ac:dyDescent="0.4">
      <c r="B8" s="128" t="s">
        <v>8</v>
      </c>
      <c r="C8" s="129"/>
      <c r="D8" s="92">
        <v>80</v>
      </c>
      <c r="E8" s="92">
        <v>72</v>
      </c>
      <c r="F8" s="187">
        <f>SUM(F6:F7)</f>
        <v>9.5</v>
      </c>
      <c r="G8" s="187">
        <f>SUM(G6:G7)</f>
        <v>1.1639999999999999</v>
      </c>
      <c r="H8" s="179">
        <f t="shared" ref="H8:H10" si="0">F8-G8</f>
        <v>8.3360000000000003</v>
      </c>
      <c r="I8" s="106"/>
      <c r="J8" s="106">
        <f>SUM(J6:J7)</f>
        <v>66.5</v>
      </c>
      <c r="K8" s="179">
        <f>SUM(K6:K7)</f>
        <v>8.1479999999999997</v>
      </c>
      <c r="L8" s="180">
        <f t="shared" ref="L8" si="1">J8-K8</f>
        <v>58.352000000000004</v>
      </c>
      <c r="M8" s="84"/>
      <c r="N8" s="85"/>
    </row>
    <row r="9" spans="2:14" ht="44" hidden="1" x14ac:dyDescent="0.35">
      <c r="B9" s="144" t="s">
        <v>9</v>
      </c>
      <c r="C9" s="145"/>
      <c r="D9" s="148" t="s">
        <v>10</v>
      </c>
      <c r="E9" s="148"/>
      <c r="F9" s="107">
        <v>0</v>
      </c>
      <c r="G9" s="107">
        <v>0</v>
      </c>
      <c r="H9" s="107">
        <f t="shared" si="0"/>
        <v>0</v>
      </c>
      <c r="I9" s="107"/>
      <c r="J9" s="107">
        <v>0</v>
      </c>
      <c r="K9" s="107">
        <v>0</v>
      </c>
      <c r="L9" s="107">
        <v>0</v>
      </c>
      <c r="M9" s="86"/>
      <c r="N9" s="87"/>
    </row>
    <row r="10" spans="2:14" ht="44.5" hidden="1" thickBot="1" x14ac:dyDescent="0.4">
      <c r="B10" s="146"/>
      <c r="C10" s="147"/>
      <c r="D10" s="149" t="s">
        <v>11</v>
      </c>
      <c r="E10" s="149"/>
      <c r="F10" s="108">
        <v>0</v>
      </c>
      <c r="G10" s="108">
        <f>'ROI - Overall'!L30</f>
        <v>0</v>
      </c>
      <c r="H10" s="108">
        <f t="shared" si="0"/>
        <v>0</v>
      </c>
      <c r="I10" s="108"/>
      <c r="J10" s="108">
        <v>0</v>
      </c>
      <c r="K10" s="108">
        <v>0</v>
      </c>
      <c r="L10" s="108">
        <v>0</v>
      </c>
      <c r="M10" s="88"/>
      <c r="N10" s="89"/>
    </row>
    <row r="11" spans="2:14" ht="44.5" hidden="1" thickBot="1" x14ac:dyDescent="0.4">
      <c r="B11" s="128" t="s">
        <v>12</v>
      </c>
      <c r="C11" s="129"/>
      <c r="D11" s="92" t="e">
        <f>'Effort Analysis'!#REF!</f>
        <v>#REF!</v>
      </c>
      <c r="E11" s="92" t="e">
        <f>'Effort Analysis'!#REF!</f>
        <v>#REF!</v>
      </c>
      <c r="F11" s="106">
        <f t="shared" ref="F11:L11" si="2">SUM(F8:F10)</f>
        <v>9.5</v>
      </c>
      <c r="G11" s="106">
        <f t="shared" si="2"/>
        <v>1.1639999999999999</v>
      </c>
      <c r="H11" s="106">
        <f t="shared" si="2"/>
        <v>8.3360000000000003</v>
      </c>
      <c r="I11" s="106"/>
      <c r="J11" s="106">
        <f t="shared" si="2"/>
        <v>66.5</v>
      </c>
      <c r="K11" s="106">
        <f t="shared" si="2"/>
        <v>8.1479999999999997</v>
      </c>
      <c r="L11" s="106">
        <f t="shared" si="2"/>
        <v>58.352000000000004</v>
      </c>
      <c r="M11" s="90"/>
      <c r="N11" s="85"/>
    </row>
    <row r="16" spans="2:14" hidden="1" x14ac:dyDescent="0.35"/>
    <row r="17" spans="3:5" hidden="1" x14ac:dyDescent="0.35"/>
    <row r="18" spans="3:5" hidden="1" x14ac:dyDescent="0.35"/>
    <row r="19" spans="3:5" hidden="1" x14ac:dyDescent="0.35"/>
    <row r="20" spans="3:5" hidden="1" x14ac:dyDescent="0.35">
      <c r="D20" s="125" t="s">
        <v>100</v>
      </c>
      <c r="E20" s="126"/>
    </row>
    <row r="21" spans="3:5" ht="31.5" hidden="1" thickBot="1" x14ac:dyDescent="0.4">
      <c r="D21" s="105" t="s">
        <v>98</v>
      </c>
      <c r="E21" s="105" t="s">
        <v>99</v>
      </c>
    </row>
    <row r="22" spans="3:5" ht="31" hidden="1" x14ac:dyDescent="0.35">
      <c r="C22" s="82" t="str">
        <f>'Effort Analysis'!B4</f>
        <v>Guidewire Claim Center - Regression Execution</v>
      </c>
      <c r="D22" s="82">
        <f>J6-F6</f>
        <v>48</v>
      </c>
      <c r="E22" s="82">
        <f>K6-G6</f>
        <v>6.0839999999999996</v>
      </c>
    </row>
    <row r="23" spans="3:5" hidden="1" x14ac:dyDescent="0.35">
      <c r="C23" s="82" t="e">
        <f>'Effort Analysis'!#REF!</f>
        <v>#REF!</v>
      </c>
      <c r="D23" s="82" t="e">
        <f>#REF!-#REF!</f>
        <v>#REF!</v>
      </c>
      <c r="E23" s="82" t="e">
        <f>#REF!-#REF!</f>
        <v>#REF!</v>
      </c>
    </row>
    <row r="24" spans="3:5" ht="16" hidden="1" thickBot="1" x14ac:dyDescent="0.4">
      <c r="D24" s="106" t="e">
        <f>SUM(D22:D23)</f>
        <v>#REF!</v>
      </c>
      <c r="E24" s="106" t="e">
        <f>SUM(E22:E23)</f>
        <v>#REF!</v>
      </c>
    </row>
    <row r="25" spans="3:5" hidden="1" x14ac:dyDescent="0.35"/>
  </sheetData>
  <mergeCells count="14">
    <mergeCell ref="D20:E20"/>
    <mergeCell ref="B11:C11"/>
    <mergeCell ref="B1:N3"/>
    <mergeCell ref="M4:M5"/>
    <mergeCell ref="D4:E4"/>
    <mergeCell ref="B4:B5"/>
    <mergeCell ref="C4:C5"/>
    <mergeCell ref="B9:C10"/>
    <mergeCell ref="D9:E9"/>
    <mergeCell ref="D10:E10"/>
    <mergeCell ref="F4:H4"/>
    <mergeCell ref="N4:N5"/>
    <mergeCell ref="B8:C8"/>
    <mergeCell ref="I4:L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21734-2BA7-4C03-B39F-87409CF4F85D}">
  <dimension ref="A1:U58"/>
  <sheetViews>
    <sheetView showGridLines="0" zoomScale="70" zoomScaleNormal="70" workbookViewId="0">
      <selection activeCell="C14" sqref="C14"/>
    </sheetView>
  </sheetViews>
  <sheetFormatPr defaultColWidth="9.1796875" defaultRowHeight="15.5" x14ac:dyDescent="0.35"/>
  <cols>
    <col min="1" max="1" width="1.1796875" style="1" customWidth="1"/>
    <col min="2" max="2" width="31" style="1" customWidth="1"/>
    <col min="3" max="3" width="21" style="1" customWidth="1"/>
    <col min="4" max="4" width="19.26953125" style="1" customWidth="1"/>
    <col min="5" max="5" width="18.453125" style="1" customWidth="1"/>
    <col min="6" max="6" width="26" style="1" customWidth="1"/>
    <col min="7" max="7" width="23.54296875" style="1" customWidth="1"/>
    <col min="8" max="8" width="11.7265625" style="1" customWidth="1"/>
    <col min="9" max="9" width="13.7265625" style="1" customWidth="1"/>
    <col min="10" max="10" width="16.7265625" style="1" customWidth="1"/>
    <col min="11" max="11" width="20.81640625" style="1" customWidth="1"/>
    <col min="12" max="12" width="13.81640625" style="1" customWidth="1"/>
    <col min="13" max="13" width="23.54296875" style="1" bestFit="1" customWidth="1"/>
    <col min="14" max="14" width="14" style="1" customWidth="1"/>
    <col min="15" max="15" width="13.453125" style="1" customWidth="1"/>
    <col min="16" max="16" width="5.81640625" style="1" bestFit="1" customWidth="1"/>
    <col min="17" max="17" width="7.7265625" style="1" bestFit="1" customWidth="1"/>
    <col min="18" max="18" width="10.7265625" style="1" bestFit="1" customWidth="1"/>
    <col min="19" max="19" width="8.453125" style="1" bestFit="1" customWidth="1"/>
    <col min="20" max="20" width="9.26953125" style="1" bestFit="1" customWidth="1"/>
    <col min="21" max="21" width="7.7265625" style="1" bestFit="1" customWidth="1"/>
    <col min="22" max="22" width="29.1796875" style="1" customWidth="1"/>
    <col min="23" max="23" width="21.453125" style="1" customWidth="1"/>
    <col min="24" max="24" width="56.1796875" style="1" customWidth="1"/>
    <col min="25" max="25" width="49" style="1" customWidth="1"/>
    <col min="26" max="26" width="16.54296875" style="1" customWidth="1"/>
    <col min="27" max="27" width="20.54296875" style="1" customWidth="1"/>
    <col min="28" max="28" width="21.453125" style="1" customWidth="1"/>
    <col min="29" max="29" width="20.7265625" style="1" customWidth="1"/>
    <col min="30" max="16384" width="9.1796875" style="1"/>
  </cols>
  <sheetData>
    <row r="1" spans="2:11" ht="11.25" customHeight="1" thickBot="1" x14ac:dyDescent="0.4"/>
    <row r="2" spans="2:11" ht="30" customHeight="1" thickBot="1" x14ac:dyDescent="0.4">
      <c r="B2" s="152" t="s">
        <v>3</v>
      </c>
      <c r="C2" s="153"/>
      <c r="D2" s="153"/>
      <c r="E2" s="154"/>
      <c r="F2" s="38"/>
    </row>
    <row r="3" spans="2:11" ht="51" customHeight="1" x14ac:dyDescent="0.35">
      <c r="B3" s="75" t="s">
        <v>6</v>
      </c>
      <c r="C3" s="76" t="s">
        <v>7</v>
      </c>
      <c r="D3" s="76" t="s">
        <v>13</v>
      </c>
      <c r="E3" s="77" t="s">
        <v>14</v>
      </c>
      <c r="F3" s="38"/>
    </row>
    <row r="4" spans="2:11" ht="20.25" customHeight="1" thickBot="1" x14ac:dyDescent="0.4">
      <c r="B4" s="78" t="e">
        <f>'Effort Analysis'!#REF!</f>
        <v>#REF!</v>
      </c>
      <c r="C4" s="51" t="e">
        <f>'Effort Analysis'!#REF!</f>
        <v>#REF!</v>
      </c>
      <c r="D4" s="51" t="e">
        <f>'Effort Analysis'!#REF!</f>
        <v>#REF!</v>
      </c>
      <c r="E4" s="52" t="e">
        <f>'Effort Analysis'!#REF!</f>
        <v>#REF!</v>
      </c>
      <c r="F4" s="38"/>
    </row>
    <row r="5" spans="2:11" ht="16" thickBot="1" x14ac:dyDescent="0.4">
      <c r="B5" s="19"/>
      <c r="C5" s="19"/>
      <c r="D5" s="19"/>
      <c r="E5" s="19"/>
      <c r="F5" s="38"/>
      <c r="G5" s="19"/>
      <c r="H5" s="19"/>
      <c r="I5" s="19"/>
    </row>
    <row r="6" spans="2:11" ht="30.75" customHeight="1" thickBot="1" x14ac:dyDescent="0.4">
      <c r="B6" s="31" t="s">
        <v>15</v>
      </c>
      <c r="C6" s="57" t="s">
        <v>16</v>
      </c>
      <c r="D6" s="57" t="s">
        <v>64</v>
      </c>
      <c r="E6" s="32" t="s">
        <v>17</v>
      </c>
      <c r="F6" s="38"/>
    </row>
    <row r="7" spans="2:11" x14ac:dyDescent="0.35">
      <c r="B7" s="56"/>
      <c r="C7" s="58">
        <v>0</v>
      </c>
      <c r="D7" s="59">
        <v>0</v>
      </c>
      <c r="E7" s="60">
        <v>0</v>
      </c>
      <c r="F7" s="38"/>
    </row>
    <row r="8" spans="2:11" ht="16" thickBot="1" x14ac:dyDescent="0.4">
      <c r="B8" s="46" t="s">
        <v>18</v>
      </c>
      <c r="C8" s="61">
        <v>1</v>
      </c>
      <c r="D8" s="62">
        <v>24.25</v>
      </c>
      <c r="E8" s="63">
        <v>1</v>
      </c>
      <c r="F8" s="38"/>
    </row>
    <row r="9" spans="2:11" ht="16" thickBot="1" x14ac:dyDescent="0.4">
      <c r="B9" s="155"/>
      <c r="C9" s="155"/>
      <c r="D9" s="155"/>
      <c r="E9" s="155"/>
      <c r="F9" s="93"/>
    </row>
    <row r="10" spans="2:11" ht="16" thickBot="1" x14ac:dyDescent="0.4">
      <c r="B10" s="49" t="s">
        <v>19</v>
      </c>
      <c r="C10" s="64">
        <v>8</v>
      </c>
      <c r="D10" s="38"/>
      <c r="E10" s="38"/>
      <c r="F10" s="38"/>
    </row>
    <row r="11" spans="2:11" ht="16" thickBot="1" x14ac:dyDescent="0.4">
      <c r="B11" s="93"/>
      <c r="C11" s="93"/>
      <c r="D11" s="38"/>
      <c r="E11" s="38"/>
      <c r="F11" s="38"/>
    </row>
    <row r="12" spans="2:11" ht="22.5" customHeight="1" thickBot="1" x14ac:dyDescent="0.4">
      <c r="B12" s="156" t="s">
        <v>20</v>
      </c>
      <c r="C12" s="157"/>
      <c r="D12" s="38"/>
      <c r="E12" s="38"/>
      <c r="F12" s="38"/>
    </row>
    <row r="13" spans="2:11" x14ac:dyDescent="0.35">
      <c r="B13" s="30" t="s">
        <v>21</v>
      </c>
      <c r="C13" s="2" t="e">
        <f>'Effort Analysis'!#REF!*C10</f>
        <v>#REF!</v>
      </c>
      <c r="D13" s="44"/>
      <c r="E13" s="38"/>
      <c r="F13" s="38"/>
      <c r="G13" s="20"/>
      <c r="I13" s="53"/>
    </row>
    <row r="14" spans="2:11" ht="22.5" customHeight="1" thickBot="1" x14ac:dyDescent="0.4">
      <c r="B14" s="28" t="s">
        <v>22</v>
      </c>
      <c r="C14" s="29" t="e">
        <f>SUM(C13:C13)</f>
        <v>#REF!</v>
      </c>
      <c r="D14" s="38"/>
      <c r="E14" s="38"/>
      <c r="F14" s="38"/>
      <c r="G14" s="20"/>
      <c r="I14" s="53"/>
    </row>
    <row r="15" spans="2:11" ht="15" customHeight="1" thickBot="1" x14ac:dyDescent="0.4">
      <c r="B15" s="21"/>
      <c r="C15" s="21"/>
      <c r="D15" s="38"/>
      <c r="E15" s="38"/>
      <c r="F15" s="38"/>
      <c r="G15" s="20"/>
      <c r="H15" s="39" t="s">
        <v>23</v>
      </c>
      <c r="I15" s="54"/>
      <c r="J15" s="40"/>
    </row>
    <row r="16" spans="2:11" ht="30.75" customHeight="1" thickBot="1" x14ac:dyDescent="0.4">
      <c r="B16" s="156" t="s">
        <v>24</v>
      </c>
      <c r="C16" s="157"/>
      <c r="D16" s="38"/>
      <c r="E16" s="38"/>
      <c r="F16" s="38"/>
      <c r="G16" s="38"/>
      <c r="H16" s="39" t="s">
        <v>25</v>
      </c>
      <c r="I16" s="55"/>
      <c r="J16" s="40"/>
      <c r="K16" s="41"/>
    </row>
    <row r="17" spans="2:21" x14ac:dyDescent="0.35">
      <c r="B17" s="30" t="s">
        <v>26</v>
      </c>
      <c r="C17" s="2" t="e">
        <f>'Effort Analysis'!#REF!*C10</f>
        <v>#REF!</v>
      </c>
      <c r="D17" s="38"/>
      <c r="E17" s="38"/>
      <c r="F17" s="38"/>
      <c r="G17" s="44"/>
      <c r="H17" s="39" t="s">
        <v>27</v>
      </c>
      <c r="I17" s="55"/>
      <c r="J17" s="40"/>
      <c r="K17" s="41"/>
    </row>
    <row r="18" spans="2:21" ht="17.25" customHeight="1" x14ac:dyDescent="0.35">
      <c r="B18" s="27" t="s">
        <v>28</v>
      </c>
      <c r="C18" s="3" t="e">
        <f>'Effort Analysis'!#REF!*C10</f>
        <v>#REF!</v>
      </c>
      <c r="D18" s="38"/>
      <c r="E18" s="38"/>
      <c r="F18" s="38"/>
      <c r="G18" s="44"/>
      <c r="H18" s="39" t="s">
        <v>29</v>
      </c>
      <c r="I18" s="55"/>
      <c r="J18" s="40"/>
      <c r="K18" s="41"/>
    </row>
    <row r="19" spans="2:21" ht="31.5" thickBot="1" x14ac:dyDescent="0.4">
      <c r="B19" s="28" t="s">
        <v>30</v>
      </c>
      <c r="C19" s="29" t="e">
        <f>SUM(C17:C18)</f>
        <v>#REF!</v>
      </c>
      <c r="D19" s="38"/>
      <c r="E19" s="38"/>
      <c r="F19" s="38"/>
      <c r="G19" s="38"/>
      <c r="H19" s="39" t="s">
        <v>23</v>
      </c>
      <c r="I19" s="54"/>
      <c r="J19" s="40"/>
      <c r="K19" s="41"/>
    </row>
    <row r="20" spans="2:21" ht="16" thickBot="1" x14ac:dyDescent="0.4">
      <c r="B20" s="48"/>
      <c r="C20" s="48"/>
      <c r="D20" s="38"/>
      <c r="E20" s="38"/>
      <c r="F20" s="38"/>
      <c r="G20" s="38"/>
      <c r="H20" s="39"/>
      <c r="I20" s="54"/>
      <c r="J20" s="40"/>
      <c r="K20" s="41"/>
    </row>
    <row r="21" spans="2:21" ht="30" customHeight="1" thickBot="1" x14ac:dyDescent="0.4">
      <c r="B21" s="156" t="s">
        <v>31</v>
      </c>
      <c r="C21" s="157"/>
      <c r="D21" s="38"/>
      <c r="E21" s="38"/>
      <c r="F21" s="38"/>
      <c r="G21" s="38"/>
      <c r="H21" s="39"/>
      <c r="I21" s="54"/>
      <c r="J21" s="40"/>
      <c r="K21" s="41"/>
    </row>
    <row r="22" spans="2:21" ht="16" thickBot="1" x14ac:dyDescent="0.4">
      <c r="B22" s="49" t="s">
        <v>88</v>
      </c>
      <c r="C22" s="79">
        <v>0</v>
      </c>
      <c r="D22" s="38"/>
      <c r="E22" s="38"/>
      <c r="F22" s="38"/>
      <c r="G22" s="38"/>
      <c r="H22" s="39"/>
      <c r="I22" s="54"/>
      <c r="J22" s="40"/>
      <c r="K22" s="41"/>
    </row>
    <row r="23" spans="2:21" ht="16" thickBot="1" x14ac:dyDescent="0.4">
      <c r="B23" s="49" t="s">
        <v>32</v>
      </c>
      <c r="C23" s="64">
        <f>SUM(E7:E8)</f>
        <v>1</v>
      </c>
      <c r="D23" s="38"/>
      <c r="E23" s="38"/>
      <c r="F23" s="38"/>
      <c r="G23" s="38"/>
      <c r="H23" s="39"/>
      <c r="I23" s="54"/>
      <c r="J23" s="40"/>
      <c r="K23" s="41"/>
    </row>
    <row r="24" spans="2:21" ht="16" thickBot="1" x14ac:dyDescent="0.4">
      <c r="B24" s="49" t="s">
        <v>87</v>
      </c>
      <c r="C24" s="50">
        <f>C22*1.33*C23</f>
        <v>0</v>
      </c>
      <c r="D24" s="38"/>
      <c r="E24" s="38"/>
      <c r="F24" s="38"/>
      <c r="G24" s="38"/>
      <c r="H24" s="39"/>
      <c r="I24" s="54"/>
      <c r="J24" s="40"/>
      <c r="K24" s="41"/>
    </row>
    <row r="25" spans="2:21" x14ac:dyDescent="0.35">
      <c r="B25" s="22"/>
      <c r="C25" s="22"/>
      <c r="D25" s="38"/>
      <c r="E25" s="38"/>
      <c r="F25" s="38"/>
      <c r="G25" s="41"/>
      <c r="H25" s="42"/>
      <c r="I25" s="43"/>
      <c r="J25" s="41"/>
      <c r="K25" s="41"/>
    </row>
    <row r="26" spans="2:21" ht="16" hidden="1" thickBot="1" x14ac:dyDescent="0.4">
      <c r="B26" s="47" t="s">
        <v>33</v>
      </c>
      <c r="C26" s="22"/>
      <c r="D26" s="38"/>
      <c r="E26" s="38"/>
      <c r="F26" s="38"/>
      <c r="G26" s="41"/>
      <c r="H26" s="42"/>
      <c r="I26" s="43"/>
      <c r="J26" s="41"/>
      <c r="K26" s="41"/>
    </row>
    <row r="27" spans="2:21" ht="47" hidden="1" thickBot="1" x14ac:dyDescent="0.4">
      <c r="B27" s="22"/>
      <c r="C27" s="31" t="s">
        <v>34</v>
      </c>
      <c r="D27" s="65" t="s">
        <v>28</v>
      </c>
      <c r="E27" s="57" t="s">
        <v>35</v>
      </c>
      <c r="F27" s="57" t="s">
        <v>36</v>
      </c>
      <c r="G27" s="13" t="s">
        <v>37</v>
      </c>
      <c r="H27" s="57" t="s">
        <v>38</v>
      </c>
      <c r="I27" s="57" t="s">
        <v>39</v>
      </c>
      <c r="J27" s="57" t="s">
        <v>65</v>
      </c>
      <c r="K27" s="57" t="s">
        <v>66</v>
      </c>
      <c r="L27" s="57" t="s">
        <v>67</v>
      </c>
      <c r="M27" s="57" t="s">
        <v>68</v>
      </c>
      <c r="N27" s="57" t="s">
        <v>40</v>
      </c>
      <c r="O27" s="32" t="s">
        <v>41</v>
      </c>
    </row>
    <row r="28" spans="2:21" ht="16" hidden="1" thickBot="1" x14ac:dyDescent="0.4">
      <c r="B28" s="38"/>
      <c r="C28" s="68" t="s">
        <v>42</v>
      </c>
      <c r="D28" s="69" t="str">
        <f>D39</f>
        <v>Q4- Round1</v>
      </c>
      <c r="E28" s="15" t="e">
        <f t="shared" ref="E28:O28" si="0">E39</f>
        <v>#REF!</v>
      </c>
      <c r="F28" s="70">
        <f t="shared" si="0"/>
        <v>0</v>
      </c>
      <c r="G28" s="15" t="e">
        <f t="shared" si="0"/>
        <v>#REF!</v>
      </c>
      <c r="H28" s="71" t="e">
        <f t="shared" si="0"/>
        <v>#REF!</v>
      </c>
      <c r="I28" s="72" t="e">
        <f t="shared" si="0"/>
        <v>#REF!</v>
      </c>
      <c r="J28" s="95" t="e">
        <f t="shared" si="0"/>
        <v>#REF!</v>
      </c>
      <c r="K28" s="95" t="e">
        <f t="shared" si="0"/>
        <v>#REF!</v>
      </c>
      <c r="L28" s="95">
        <f t="shared" si="0"/>
        <v>0</v>
      </c>
      <c r="M28" s="95" t="e">
        <f t="shared" si="0"/>
        <v>#REF!</v>
      </c>
      <c r="N28" s="98" t="e">
        <f t="shared" si="0"/>
        <v>#REF!</v>
      </c>
      <c r="O28" s="73" t="e">
        <f t="shared" si="0"/>
        <v>#REF!</v>
      </c>
      <c r="S28" s="22"/>
      <c r="T28" s="22"/>
      <c r="U28" s="22"/>
    </row>
    <row r="29" spans="2:21" ht="16" hidden="1" thickBot="1" x14ac:dyDescent="0.4">
      <c r="B29" s="38"/>
      <c r="C29" s="110">
        <v>2023</v>
      </c>
      <c r="D29" s="111" t="str">
        <f>D42</f>
        <v>Q4- Round4</v>
      </c>
      <c r="E29" s="111" t="e">
        <f>E42</f>
        <v>#REF!</v>
      </c>
      <c r="F29" s="112">
        <f>SUM(F38:F42)</f>
        <v>24</v>
      </c>
      <c r="G29" s="113" t="e">
        <f t="shared" ref="G29:O29" si="1">G42</f>
        <v>#REF!</v>
      </c>
      <c r="H29" s="113" t="e">
        <f t="shared" si="1"/>
        <v>#REF!</v>
      </c>
      <c r="I29" s="114" t="e">
        <f t="shared" si="1"/>
        <v>#REF!</v>
      </c>
      <c r="J29" s="115" t="e">
        <f t="shared" si="1"/>
        <v>#REF!</v>
      </c>
      <c r="K29" s="115" t="e">
        <f t="shared" si="1"/>
        <v>#REF!</v>
      </c>
      <c r="L29" s="115">
        <f t="shared" si="1"/>
        <v>0</v>
      </c>
      <c r="M29" s="115" t="e">
        <f t="shared" si="1"/>
        <v>#REF!</v>
      </c>
      <c r="N29" s="116" t="e">
        <f t="shared" si="1"/>
        <v>#REF!</v>
      </c>
      <c r="O29" s="117" t="e">
        <f t="shared" si="1"/>
        <v>#REF!</v>
      </c>
      <c r="S29" s="22"/>
      <c r="T29" s="22"/>
      <c r="U29" s="22"/>
    </row>
    <row r="30" spans="2:21" hidden="1" x14ac:dyDescent="0.35">
      <c r="B30" s="38"/>
      <c r="C30" s="68" t="str">
        <f>C54</f>
        <v>Year - 1</v>
      </c>
      <c r="D30" s="104" t="str">
        <f>D58</f>
        <v>Q4- Round4</v>
      </c>
      <c r="E30" s="15" t="e">
        <f>E58</f>
        <v>#REF!</v>
      </c>
      <c r="F30" s="70">
        <f>SUM(F43:F58)</f>
        <v>96</v>
      </c>
      <c r="G30" s="15" t="e">
        <f t="shared" ref="G30:O30" si="2">G58</f>
        <v>#REF!</v>
      </c>
      <c r="H30" s="71" t="e">
        <f t="shared" si="2"/>
        <v>#REF!</v>
      </c>
      <c r="I30" s="72" t="e">
        <f t="shared" si="2"/>
        <v>#REF!</v>
      </c>
      <c r="J30" s="95" t="e">
        <f t="shared" si="2"/>
        <v>#REF!</v>
      </c>
      <c r="K30" s="95" t="e">
        <f t="shared" si="2"/>
        <v>#REF!</v>
      </c>
      <c r="L30" s="95">
        <f t="shared" si="2"/>
        <v>0</v>
      </c>
      <c r="M30" s="95" t="e">
        <f t="shared" si="2"/>
        <v>#REF!</v>
      </c>
      <c r="N30" s="98" t="e">
        <f t="shared" si="2"/>
        <v>#REF!</v>
      </c>
      <c r="O30" s="73" t="e">
        <f t="shared" si="2"/>
        <v>#REF!</v>
      </c>
      <c r="S30" s="22"/>
      <c r="T30" s="22"/>
      <c r="U30" s="22"/>
    </row>
    <row r="31" spans="2:21" ht="16" hidden="1" thickBot="1" x14ac:dyDescent="0.4">
      <c r="B31" s="38"/>
      <c r="C31" s="22"/>
      <c r="D31" s="38"/>
      <c r="E31" s="38"/>
      <c r="F31" s="38"/>
      <c r="G31" s="41"/>
      <c r="H31" s="42"/>
      <c r="I31" s="43"/>
      <c r="J31" s="41"/>
      <c r="K31" s="41"/>
    </row>
    <row r="32" spans="2:21" ht="46.5" hidden="1" x14ac:dyDescent="0.35">
      <c r="B32" s="38"/>
      <c r="C32" s="121" t="s">
        <v>34</v>
      </c>
      <c r="D32" s="122" t="s">
        <v>91</v>
      </c>
      <c r="E32" s="122" t="s">
        <v>92</v>
      </c>
      <c r="F32" s="122" t="s">
        <v>36</v>
      </c>
      <c r="G32" s="122" t="s">
        <v>93</v>
      </c>
      <c r="H32" s="122" t="s">
        <v>38</v>
      </c>
      <c r="I32" s="122" t="s">
        <v>39</v>
      </c>
      <c r="J32" s="122" t="s">
        <v>94</v>
      </c>
      <c r="K32" s="122" t="s">
        <v>95</v>
      </c>
      <c r="L32" s="122" t="s">
        <v>96</v>
      </c>
      <c r="M32" s="122" t="s">
        <v>97</v>
      </c>
      <c r="N32" s="122" t="s">
        <v>40</v>
      </c>
      <c r="O32" s="123" t="s">
        <v>41</v>
      </c>
    </row>
    <row r="33" spans="1:21" ht="16" hidden="1" thickBot="1" x14ac:dyDescent="0.4">
      <c r="B33" s="38"/>
      <c r="C33" s="34">
        <v>2023</v>
      </c>
      <c r="D33" s="25">
        <v>4</v>
      </c>
      <c r="E33" s="16">
        <v>1088</v>
      </c>
      <c r="F33" s="120">
        <v>64</v>
      </c>
      <c r="G33" s="16">
        <v>528</v>
      </c>
      <c r="H33" s="25">
        <v>560</v>
      </c>
      <c r="I33" s="35">
        <f>H33/E33</f>
        <v>0.51470588235294112</v>
      </c>
      <c r="J33" s="96">
        <v>52768</v>
      </c>
      <c r="K33" s="96">
        <v>25608</v>
      </c>
      <c r="L33" s="96">
        <v>0</v>
      </c>
      <c r="M33" s="96">
        <v>25608</v>
      </c>
      <c r="N33" s="99">
        <v>27160</v>
      </c>
      <c r="O33" s="36">
        <v>1.0606060606060606</v>
      </c>
    </row>
    <row r="34" spans="1:21" ht="16" hidden="1" thickBot="1" x14ac:dyDescent="0.4">
      <c r="B34" s="38"/>
      <c r="C34" s="66" t="s">
        <v>90</v>
      </c>
      <c r="D34" s="26">
        <v>16</v>
      </c>
      <c r="E34" s="17" t="e">
        <f>E30-E29</f>
        <v>#REF!</v>
      </c>
      <c r="F34" s="124">
        <f>F30-F29</f>
        <v>72</v>
      </c>
      <c r="G34" s="17" t="e">
        <f>G30-G29</f>
        <v>#REF!</v>
      </c>
      <c r="H34" s="26" t="e">
        <f>H30-H29</f>
        <v>#REF!</v>
      </c>
      <c r="I34" s="35" t="e">
        <f>H34/E34</f>
        <v>#REF!</v>
      </c>
      <c r="J34" s="97" t="e">
        <f t="shared" ref="J34:O34" si="3">J30-J29</f>
        <v>#REF!</v>
      </c>
      <c r="K34" s="97" t="e">
        <f t="shared" si="3"/>
        <v>#REF!</v>
      </c>
      <c r="L34" s="97">
        <f t="shared" si="3"/>
        <v>0</v>
      </c>
      <c r="M34" s="97" t="e">
        <f t="shared" si="3"/>
        <v>#REF!</v>
      </c>
      <c r="N34" s="100" t="e">
        <f t="shared" si="3"/>
        <v>#REF!</v>
      </c>
      <c r="O34" s="37" t="e">
        <f t="shared" si="3"/>
        <v>#REF!</v>
      </c>
    </row>
    <row r="35" spans="1:21" x14ac:dyDescent="0.35">
      <c r="B35" s="22"/>
      <c r="C35" s="22"/>
      <c r="D35" s="38"/>
      <c r="E35" s="38"/>
      <c r="F35" s="38"/>
      <c r="G35" s="41"/>
      <c r="H35" s="42"/>
      <c r="I35" s="43"/>
      <c r="J35" s="41"/>
      <c r="K35" s="41"/>
    </row>
    <row r="36" spans="1:21" ht="16" thickBot="1" x14ac:dyDescent="0.4">
      <c r="B36" s="22"/>
      <c r="C36" s="22"/>
      <c r="D36" s="38"/>
      <c r="E36" s="38"/>
      <c r="F36" s="38"/>
      <c r="G36" s="41"/>
      <c r="H36" s="42"/>
      <c r="I36" s="43"/>
      <c r="J36" s="41"/>
      <c r="K36" s="41"/>
    </row>
    <row r="37" spans="1:21" ht="16" thickBot="1" x14ac:dyDescent="0.4">
      <c r="A37" s="18"/>
      <c r="B37" s="47" t="s">
        <v>43</v>
      </c>
      <c r="C37" s="22"/>
      <c r="D37" s="38"/>
      <c r="E37" s="38"/>
      <c r="F37" s="38"/>
      <c r="H37" s="23"/>
      <c r="I37" s="24"/>
    </row>
    <row r="38" spans="1:21" ht="61.5" customHeight="1" thickBot="1" x14ac:dyDescent="0.4">
      <c r="B38" s="31" t="s">
        <v>44</v>
      </c>
      <c r="C38" s="65" t="s">
        <v>34</v>
      </c>
      <c r="D38" s="109" t="s">
        <v>28</v>
      </c>
      <c r="E38" s="12" t="s">
        <v>35</v>
      </c>
      <c r="F38" s="13" t="s">
        <v>36</v>
      </c>
      <c r="G38" s="13" t="s">
        <v>37</v>
      </c>
      <c r="H38" s="13" t="s">
        <v>38</v>
      </c>
      <c r="I38" s="13" t="s">
        <v>39</v>
      </c>
      <c r="J38" s="13" t="s">
        <v>65</v>
      </c>
      <c r="K38" s="13" t="s">
        <v>66</v>
      </c>
      <c r="L38" s="13" t="s">
        <v>67</v>
      </c>
      <c r="M38" s="13" t="s">
        <v>68</v>
      </c>
      <c r="N38" s="13" t="s">
        <v>40</v>
      </c>
      <c r="O38" s="14" t="s">
        <v>41</v>
      </c>
    </row>
    <row r="39" spans="1:21" x14ac:dyDescent="0.35">
      <c r="B39" s="118">
        <v>1</v>
      </c>
      <c r="C39" s="119">
        <v>2023</v>
      </c>
      <c r="D39" s="102" t="s">
        <v>82</v>
      </c>
      <c r="E39" s="15" t="e">
        <f>C14</f>
        <v>#REF!</v>
      </c>
      <c r="F39" s="15">
        <v>0</v>
      </c>
      <c r="G39" s="15" t="e">
        <f>C19+F39</f>
        <v>#REF!</v>
      </c>
      <c r="H39" s="71" t="e">
        <f t="shared" ref="H39:H58" si="4">E39-G39</f>
        <v>#REF!</v>
      </c>
      <c r="I39" s="72" t="e">
        <f>H39/E39</f>
        <v>#REF!</v>
      </c>
      <c r="J39" s="95" t="e">
        <f t="shared" ref="J39:J58" si="5">E39*C$7*D$7*E$7+E39*C$8*D$8*E$8</f>
        <v>#REF!</v>
      </c>
      <c r="K39" s="95" t="e">
        <f>G39*C$7*D$7*E$7+G39*C$8*D$8*E$8</f>
        <v>#REF!</v>
      </c>
      <c r="L39" s="95">
        <f>$C$24*1</f>
        <v>0</v>
      </c>
      <c r="M39" s="95" t="e">
        <f t="shared" ref="M39" si="6">L39+K39</f>
        <v>#REF!</v>
      </c>
      <c r="N39" s="98" t="e">
        <f t="shared" ref="N39:N58" si="7">J39-(K39+L39)</f>
        <v>#REF!</v>
      </c>
      <c r="O39" s="73" t="e">
        <f>N39/(K39+L39)</f>
        <v>#REF!</v>
      </c>
      <c r="S39" s="22"/>
      <c r="T39" s="22"/>
      <c r="U39" s="22"/>
    </row>
    <row r="40" spans="1:21" x14ac:dyDescent="0.35">
      <c r="B40" s="34">
        <v>2</v>
      </c>
      <c r="C40" s="67">
        <v>2023</v>
      </c>
      <c r="D40" s="103" t="s">
        <v>85</v>
      </c>
      <c r="E40" s="16" t="e">
        <f t="shared" ref="E40:E58" si="8">E39+$C$14</f>
        <v>#REF!</v>
      </c>
      <c r="F40" s="16">
        <v>0</v>
      </c>
      <c r="G40" s="16" t="e">
        <f>G39+$C$18+F40</f>
        <v>#REF!</v>
      </c>
      <c r="H40" s="25" t="e">
        <f t="shared" si="4"/>
        <v>#REF!</v>
      </c>
      <c r="I40" s="33" t="e">
        <f t="shared" ref="I40:I58" si="9">H40/E40</f>
        <v>#REF!</v>
      </c>
      <c r="J40" s="101" t="e">
        <f t="shared" si="5"/>
        <v>#REF!</v>
      </c>
      <c r="K40" s="96" t="e">
        <f t="shared" ref="K40:K58" si="10">G40*C$7*D$7*E$7+G40*C$8*D$8*E$8</f>
        <v>#REF!</v>
      </c>
      <c r="L40" s="96">
        <f t="shared" ref="L40:L58" si="11">$C$24*1</f>
        <v>0</v>
      </c>
      <c r="M40" s="96" t="e">
        <f>L40+K40</f>
        <v>#REF!</v>
      </c>
      <c r="N40" s="99" t="e">
        <f t="shared" si="7"/>
        <v>#REF!</v>
      </c>
      <c r="O40" s="36" t="e">
        <f t="shared" ref="O40:O47" si="12">N40/(K40+L40)</f>
        <v>#REF!</v>
      </c>
      <c r="S40" s="22"/>
      <c r="T40" s="22"/>
      <c r="U40" s="22"/>
    </row>
    <row r="41" spans="1:21" x14ac:dyDescent="0.35">
      <c r="B41" s="34">
        <v>3</v>
      </c>
      <c r="C41" s="67">
        <v>2023</v>
      </c>
      <c r="D41" s="16" t="s">
        <v>86</v>
      </c>
      <c r="E41" s="16" t="e">
        <f t="shared" si="8"/>
        <v>#REF!</v>
      </c>
      <c r="F41" s="16">
        <v>0</v>
      </c>
      <c r="G41" s="16" t="e">
        <f>G40+$C$18+F41</f>
        <v>#REF!</v>
      </c>
      <c r="H41" s="25" t="e">
        <f t="shared" si="4"/>
        <v>#REF!</v>
      </c>
      <c r="I41" s="33" t="e">
        <f t="shared" si="9"/>
        <v>#REF!</v>
      </c>
      <c r="J41" s="96" t="e">
        <f t="shared" si="5"/>
        <v>#REF!</v>
      </c>
      <c r="K41" s="96" t="e">
        <f t="shared" si="10"/>
        <v>#REF!</v>
      </c>
      <c r="L41" s="96">
        <f t="shared" si="11"/>
        <v>0</v>
      </c>
      <c r="M41" s="96" t="e">
        <f t="shared" ref="M41:M58" si="13">L41+K41</f>
        <v>#REF!</v>
      </c>
      <c r="N41" s="99" t="e">
        <f t="shared" si="7"/>
        <v>#REF!</v>
      </c>
      <c r="O41" s="36" t="e">
        <f t="shared" si="12"/>
        <v>#REF!</v>
      </c>
      <c r="S41" s="22"/>
      <c r="T41" s="22"/>
      <c r="U41" s="22"/>
    </row>
    <row r="42" spans="1:21" x14ac:dyDescent="0.35">
      <c r="B42" s="34">
        <v>4</v>
      </c>
      <c r="C42" s="67">
        <v>2023</v>
      </c>
      <c r="D42" s="102" t="s">
        <v>78</v>
      </c>
      <c r="E42" s="16" t="e">
        <f t="shared" si="8"/>
        <v>#REF!</v>
      </c>
      <c r="F42" s="16">
        <v>24</v>
      </c>
      <c r="G42" s="16" t="e">
        <f>G41+$C$18+F42</f>
        <v>#REF!</v>
      </c>
      <c r="H42" s="25" t="e">
        <f t="shared" si="4"/>
        <v>#REF!</v>
      </c>
      <c r="I42" s="33" t="e">
        <f t="shared" si="9"/>
        <v>#REF!</v>
      </c>
      <c r="J42" s="96" t="e">
        <f t="shared" si="5"/>
        <v>#REF!</v>
      </c>
      <c r="K42" s="96" t="e">
        <f t="shared" si="10"/>
        <v>#REF!</v>
      </c>
      <c r="L42" s="96">
        <f t="shared" si="11"/>
        <v>0</v>
      </c>
      <c r="M42" s="96" t="e">
        <f t="shared" si="13"/>
        <v>#REF!</v>
      </c>
      <c r="N42" s="99" t="e">
        <f t="shared" si="7"/>
        <v>#REF!</v>
      </c>
      <c r="O42" s="36" t="e">
        <f t="shared" si="12"/>
        <v>#REF!</v>
      </c>
      <c r="P42" s="22"/>
      <c r="Q42" s="22"/>
      <c r="R42" s="22"/>
      <c r="S42" s="22"/>
      <c r="T42" s="22"/>
      <c r="U42" s="22"/>
    </row>
    <row r="43" spans="1:21" x14ac:dyDescent="0.35">
      <c r="B43" s="34">
        <v>5</v>
      </c>
      <c r="C43" s="67" t="s">
        <v>70</v>
      </c>
      <c r="D43" s="102" t="s">
        <v>71</v>
      </c>
      <c r="E43" s="16" t="e">
        <f t="shared" si="8"/>
        <v>#REF!</v>
      </c>
      <c r="F43" s="16">
        <v>0</v>
      </c>
      <c r="G43" s="16" t="e">
        <f>G42+$C$18+F43</f>
        <v>#REF!</v>
      </c>
      <c r="H43" s="25" t="e">
        <f t="shared" si="4"/>
        <v>#REF!</v>
      </c>
      <c r="I43" s="33" t="e">
        <f t="shared" si="9"/>
        <v>#REF!</v>
      </c>
      <c r="J43" s="96" t="e">
        <f t="shared" si="5"/>
        <v>#REF!</v>
      </c>
      <c r="K43" s="96" t="e">
        <f t="shared" si="10"/>
        <v>#REF!</v>
      </c>
      <c r="L43" s="96">
        <f t="shared" si="11"/>
        <v>0</v>
      </c>
      <c r="M43" s="96" t="e">
        <f t="shared" si="13"/>
        <v>#REF!</v>
      </c>
      <c r="N43" s="99" t="e">
        <f t="shared" si="7"/>
        <v>#REF!</v>
      </c>
      <c r="O43" s="36" t="e">
        <f t="shared" si="12"/>
        <v>#REF!</v>
      </c>
      <c r="P43" s="22"/>
      <c r="Q43" s="22"/>
      <c r="R43" s="22"/>
      <c r="S43" s="22"/>
      <c r="T43" s="22"/>
      <c r="U43" s="22"/>
    </row>
    <row r="44" spans="1:21" x14ac:dyDescent="0.35">
      <c r="B44" s="34">
        <v>6</v>
      </c>
      <c r="C44" s="67" t="s">
        <v>70</v>
      </c>
      <c r="D44" s="103" t="s">
        <v>72</v>
      </c>
      <c r="E44" s="16" t="e">
        <f t="shared" si="8"/>
        <v>#REF!</v>
      </c>
      <c r="F44" s="16">
        <v>0</v>
      </c>
      <c r="G44" s="16" t="e">
        <f>G43+$C$18+F44</f>
        <v>#REF!</v>
      </c>
      <c r="H44" s="25" t="e">
        <f t="shared" si="4"/>
        <v>#REF!</v>
      </c>
      <c r="I44" s="33" t="e">
        <f t="shared" si="9"/>
        <v>#REF!</v>
      </c>
      <c r="J44" s="96" t="e">
        <f t="shared" si="5"/>
        <v>#REF!</v>
      </c>
      <c r="K44" s="96" t="e">
        <f t="shared" si="10"/>
        <v>#REF!</v>
      </c>
      <c r="L44" s="96">
        <f t="shared" si="11"/>
        <v>0</v>
      </c>
      <c r="M44" s="96" t="e">
        <f t="shared" si="13"/>
        <v>#REF!</v>
      </c>
      <c r="N44" s="99" t="e">
        <f t="shared" si="7"/>
        <v>#REF!</v>
      </c>
      <c r="O44" s="36" t="e">
        <f t="shared" si="12"/>
        <v>#REF!</v>
      </c>
    </row>
    <row r="45" spans="1:21" x14ac:dyDescent="0.35">
      <c r="B45" s="34">
        <v>7</v>
      </c>
      <c r="C45" s="67" t="s">
        <v>70</v>
      </c>
      <c r="D45" s="16" t="s">
        <v>73</v>
      </c>
      <c r="E45" s="16" t="e">
        <f t="shared" si="8"/>
        <v>#REF!</v>
      </c>
      <c r="F45" s="16">
        <v>0</v>
      </c>
      <c r="G45" s="16" t="e">
        <f t="shared" ref="G45:G58" si="14">G44+$C$18+F45</f>
        <v>#REF!</v>
      </c>
      <c r="H45" s="25" t="e">
        <f t="shared" si="4"/>
        <v>#REF!</v>
      </c>
      <c r="I45" s="33" t="e">
        <f t="shared" si="9"/>
        <v>#REF!</v>
      </c>
      <c r="J45" s="96" t="e">
        <f t="shared" si="5"/>
        <v>#REF!</v>
      </c>
      <c r="K45" s="96" t="e">
        <f t="shared" si="10"/>
        <v>#REF!</v>
      </c>
      <c r="L45" s="96">
        <f t="shared" si="11"/>
        <v>0</v>
      </c>
      <c r="M45" s="96" t="e">
        <f t="shared" si="13"/>
        <v>#REF!</v>
      </c>
      <c r="N45" s="99" t="e">
        <f t="shared" si="7"/>
        <v>#REF!</v>
      </c>
      <c r="O45" s="36" t="e">
        <f t="shared" si="12"/>
        <v>#REF!</v>
      </c>
    </row>
    <row r="46" spans="1:21" x14ac:dyDescent="0.35">
      <c r="B46" s="34">
        <v>8</v>
      </c>
      <c r="C46" s="67" t="s">
        <v>70</v>
      </c>
      <c r="D46" s="102" t="s">
        <v>74</v>
      </c>
      <c r="E46" s="16" t="e">
        <f t="shared" si="8"/>
        <v>#REF!</v>
      </c>
      <c r="F46" s="16">
        <v>24</v>
      </c>
      <c r="G46" s="16" t="e">
        <f t="shared" si="14"/>
        <v>#REF!</v>
      </c>
      <c r="H46" s="25" t="e">
        <f t="shared" si="4"/>
        <v>#REF!</v>
      </c>
      <c r="I46" s="33" t="e">
        <f t="shared" si="9"/>
        <v>#REF!</v>
      </c>
      <c r="J46" s="96" t="e">
        <f t="shared" si="5"/>
        <v>#REF!</v>
      </c>
      <c r="K46" s="96" t="e">
        <f t="shared" si="10"/>
        <v>#REF!</v>
      </c>
      <c r="L46" s="96">
        <f t="shared" si="11"/>
        <v>0</v>
      </c>
      <c r="M46" s="96" t="e">
        <f t="shared" si="13"/>
        <v>#REF!</v>
      </c>
      <c r="N46" s="99" t="e">
        <f t="shared" si="7"/>
        <v>#REF!</v>
      </c>
      <c r="O46" s="36" t="e">
        <f t="shared" si="12"/>
        <v>#REF!</v>
      </c>
    </row>
    <row r="47" spans="1:21" x14ac:dyDescent="0.35">
      <c r="B47" s="34">
        <v>9</v>
      </c>
      <c r="C47" s="67" t="s">
        <v>70</v>
      </c>
      <c r="D47" s="102" t="s">
        <v>75</v>
      </c>
      <c r="E47" s="16" t="e">
        <f t="shared" si="8"/>
        <v>#REF!</v>
      </c>
      <c r="F47" s="16">
        <v>0</v>
      </c>
      <c r="G47" s="16" t="e">
        <f t="shared" si="14"/>
        <v>#REF!</v>
      </c>
      <c r="H47" s="25" t="e">
        <f t="shared" si="4"/>
        <v>#REF!</v>
      </c>
      <c r="I47" s="33" t="e">
        <f t="shared" si="9"/>
        <v>#REF!</v>
      </c>
      <c r="J47" s="96" t="e">
        <f t="shared" si="5"/>
        <v>#REF!</v>
      </c>
      <c r="K47" s="96" t="e">
        <f t="shared" si="10"/>
        <v>#REF!</v>
      </c>
      <c r="L47" s="96">
        <f t="shared" si="11"/>
        <v>0</v>
      </c>
      <c r="M47" s="96" t="e">
        <f t="shared" si="13"/>
        <v>#REF!</v>
      </c>
      <c r="N47" s="99" t="e">
        <f t="shared" si="7"/>
        <v>#REF!</v>
      </c>
      <c r="O47" s="36" t="e">
        <f t="shared" si="12"/>
        <v>#REF!</v>
      </c>
    </row>
    <row r="48" spans="1:21" x14ac:dyDescent="0.35">
      <c r="B48" s="34">
        <v>10</v>
      </c>
      <c r="C48" s="67" t="s">
        <v>70</v>
      </c>
      <c r="D48" s="103" t="s">
        <v>76</v>
      </c>
      <c r="E48" s="16" t="e">
        <f t="shared" si="8"/>
        <v>#REF!</v>
      </c>
      <c r="F48" s="16">
        <v>0</v>
      </c>
      <c r="G48" s="16" t="e">
        <f t="shared" si="14"/>
        <v>#REF!</v>
      </c>
      <c r="H48" s="25" t="e">
        <f t="shared" si="4"/>
        <v>#REF!</v>
      </c>
      <c r="I48" s="33" t="e">
        <f t="shared" si="9"/>
        <v>#REF!</v>
      </c>
      <c r="J48" s="96" t="e">
        <f t="shared" si="5"/>
        <v>#REF!</v>
      </c>
      <c r="K48" s="96" t="e">
        <f t="shared" si="10"/>
        <v>#REF!</v>
      </c>
      <c r="L48" s="96">
        <f t="shared" si="11"/>
        <v>0</v>
      </c>
      <c r="M48" s="96" t="e">
        <f t="shared" si="13"/>
        <v>#REF!</v>
      </c>
      <c r="N48" s="99" t="e">
        <f t="shared" si="7"/>
        <v>#REF!</v>
      </c>
      <c r="O48" s="36" t="e">
        <f>N48/(K48+L48)</f>
        <v>#REF!</v>
      </c>
    </row>
    <row r="49" spans="2:15" x14ac:dyDescent="0.35">
      <c r="B49" s="34">
        <v>11</v>
      </c>
      <c r="C49" s="67" t="s">
        <v>70</v>
      </c>
      <c r="D49" s="16" t="s">
        <v>83</v>
      </c>
      <c r="E49" s="16" t="e">
        <f t="shared" si="8"/>
        <v>#REF!</v>
      </c>
      <c r="F49" s="16">
        <v>0</v>
      </c>
      <c r="G49" s="16" t="e">
        <f t="shared" si="14"/>
        <v>#REF!</v>
      </c>
      <c r="H49" s="25" t="e">
        <f t="shared" si="4"/>
        <v>#REF!</v>
      </c>
      <c r="I49" s="33" t="e">
        <f t="shared" si="9"/>
        <v>#REF!</v>
      </c>
      <c r="J49" s="96" t="e">
        <f t="shared" si="5"/>
        <v>#REF!</v>
      </c>
      <c r="K49" s="96" t="e">
        <f t="shared" si="10"/>
        <v>#REF!</v>
      </c>
      <c r="L49" s="96">
        <f t="shared" si="11"/>
        <v>0</v>
      </c>
      <c r="M49" s="96" t="e">
        <f t="shared" si="13"/>
        <v>#REF!</v>
      </c>
      <c r="N49" s="99" t="e">
        <f t="shared" si="7"/>
        <v>#REF!</v>
      </c>
      <c r="O49" s="36" t="e">
        <f t="shared" ref="O49:O58" si="15">N49/(K49+L49)</f>
        <v>#REF!</v>
      </c>
    </row>
    <row r="50" spans="2:15" x14ac:dyDescent="0.35">
      <c r="B50" s="34">
        <v>12</v>
      </c>
      <c r="C50" s="67" t="s">
        <v>70</v>
      </c>
      <c r="D50" s="102" t="s">
        <v>84</v>
      </c>
      <c r="E50" s="16" t="e">
        <f t="shared" si="8"/>
        <v>#REF!</v>
      </c>
      <c r="F50" s="16">
        <v>24</v>
      </c>
      <c r="G50" s="16" t="e">
        <f t="shared" si="14"/>
        <v>#REF!</v>
      </c>
      <c r="H50" s="25" t="e">
        <f t="shared" si="4"/>
        <v>#REF!</v>
      </c>
      <c r="I50" s="33" t="e">
        <f t="shared" si="9"/>
        <v>#REF!</v>
      </c>
      <c r="J50" s="96" t="e">
        <f t="shared" si="5"/>
        <v>#REF!</v>
      </c>
      <c r="K50" s="96" t="e">
        <f t="shared" si="10"/>
        <v>#REF!</v>
      </c>
      <c r="L50" s="96">
        <f t="shared" si="11"/>
        <v>0</v>
      </c>
      <c r="M50" s="96" t="e">
        <f t="shared" si="13"/>
        <v>#REF!</v>
      </c>
      <c r="N50" s="99" t="e">
        <f t="shared" si="7"/>
        <v>#REF!</v>
      </c>
      <c r="O50" s="36" t="e">
        <f t="shared" si="15"/>
        <v>#REF!</v>
      </c>
    </row>
    <row r="51" spans="2:15" x14ac:dyDescent="0.35">
      <c r="B51" s="34">
        <v>13</v>
      </c>
      <c r="C51" s="67" t="s">
        <v>70</v>
      </c>
      <c r="D51" s="102" t="s">
        <v>79</v>
      </c>
      <c r="E51" s="16" t="e">
        <f t="shared" si="8"/>
        <v>#REF!</v>
      </c>
      <c r="F51" s="16">
        <v>0</v>
      </c>
      <c r="G51" s="16" t="e">
        <f t="shared" si="14"/>
        <v>#REF!</v>
      </c>
      <c r="H51" s="25" t="e">
        <f t="shared" si="4"/>
        <v>#REF!</v>
      </c>
      <c r="I51" s="33" t="e">
        <f t="shared" si="9"/>
        <v>#REF!</v>
      </c>
      <c r="J51" s="96" t="e">
        <f t="shared" si="5"/>
        <v>#REF!</v>
      </c>
      <c r="K51" s="96" t="e">
        <f t="shared" si="10"/>
        <v>#REF!</v>
      </c>
      <c r="L51" s="96">
        <f t="shared" si="11"/>
        <v>0</v>
      </c>
      <c r="M51" s="96" t="e">
        <f t="shared" si="13"/>
        <v>#REF!</v>
      </c>
      <c r="N51" s="99" t="e">
        <f t="shared" si="7"/>
        <v>#REF!</v>
      </c>
      <c r="O51" s="36" t="e">
        <f t="shared" si="15"/>
        <v>#REF!</v>
      </c>
    </row>
    <row r="52" spans="2:15" x14ac:dyDescent="0.35">
      <c r="B52" s="34">
        <v>14</v>
      </c>
      <c r="C52" s="67" t="s">
        <v>70</v>
      </c>
      <c r="D52" s="103" t="s">
        <v>80</v>
      </c>
      <c r="E52" s="16" t="e">
        <f t="shared" si="8"/>
        <v>#REF!</v>
      </c>
      <c r="F52" s="16">
        <v>0</v>
      </c>
      <c r="G52" s="16" t="e">
        <f t="shared" si="14"/>
        <v>#REF!</v>
      </c>
      <c r="H52" s="25" t="e">
        <f t="shared" si="4"/>
        <v>#REF!</v>
      </c>
      <c r="I52" s="33" t="e">
        <f t="shared" si="9"/>
        <v>#REF!</v>
      </c>
      <c r="J52" s="96" t="e">
        <f t="shared" si="5"/>
        <v>#REF!</v>
      </c>
      <c r="K52" s="96" t="e">
        <f t="shared" si="10"/>
        <v>#REF!</v>
      </c>
      <c r="L52" s="96">
        <f t="shared" si="11"/>
        <v>0</v>
      </c>
      <c r="M52" s="96" t="e">
        <f t="shared" si="13"/>
        <v>#REF!</v>
      </c>
      <c r="N52" s="99" t="e">
        <f t="shared" si="7"/>
        <v>#REF!</v>
      </c>
      <c r="O52" s="36" t="e">
        <f t="shared" si="15"/>
        <v>#REF!</v>
      </c>
    </row>
    <row r="53" spans="2:15" x14ac:dyDescent="0.35">
      <c r="B53" s="34">
        <v>15</v>
      </c>
      <c r="C53" s="67" t="s">
        <v>70</v>
      </c>
      <c r="D53" s="16" t="s">
        <v>77</v>
      </c>
      <c r="E53" s="16" t="e">
        <f t="shared" si="8"/>
        <v>#REF!</v>
      </c>
      <c r="F53" s="16">
        <v>0</v>
      </c>
      <c r="G53" s="16" t="e">
        <f t="shared" si="14"/>
        <v>#REF!</v>
      </c>
      <c r="H53" s="25" t="e">
        <f t="shared" si="4"/>
        <v>#REF!</v>
      </c>
      <c r="I53" s="33" t="e">
        <f t="shared" si="9"/>
        <v>#REF!</v>
      </c>
      <c r="J53" s="96" t="e">
        <f t="shared" si="5"/>
        <v>#REF!</v>
      </c>
      <c r="K53" s="96" t="e">
        <f t="shared" si="10"/>
        <v>#REF!</v>
      </c>
      <c r="L53" s="96">
        <f t="shared" si="11"/>
        <v>0</v>
      </c>
      <c r="M53" s="96" t="e">
        <f t="shared" si="13"/>
        <v>#REF!</v>
      </c>
      <c r="N53" s="99" t="e">
        <f t="shared" si="7"/>
        <v>#REF!</v>
      </c>
      <c r="O53" s="36" t="e">
        <f t="shared" si="15"/>
        <v>#REF!</v>
      </c>
    </row>
    <row r="54" spans="2:15" x14ac:dyDescent="0.35">
      <c r="B54" s="34">
        <v>16</v>
      </c>
      <c r="C54" s="67" t="s">
        <v>70</v>
      </c>
      <c r="D54" s="102" t="s">
        <v>81</v>
      </c>
      <c r="E54" s="16" t="e">
        <f t="shared" si="8"/>
        <v>#REF!</v>
      </c>
      <c r="F54" s="16">
        <v>24</v>
      </c>
      <c r="G54" s="16" t="e">
        <f t="shared" si="14"/>
        <v>#REF!</v>
      </c>
      <c r="H54" s="25" t="e">
        <f t="shared" si="4"/>
        <v>#REF!</v>
      </c>
      <c r="I54" s="33" t="e">
        <f t="shared" si="9"/>
        <v>#REF!</v>
      </c>
      <c r="J54" s="96" t="e">
        <f t="shared" si="5"/>
        <v>#REF!</v>
      </c>
      <c r="K54" s="96" t="e">
        <f t="shared" si="10"/>
        <v>#REF!</v>
      </c>
      <c r="L54" s="96">
        <f t="shared" si="11"/>
        <v>0</v>
      </c>
      <c r="M54" s="96" t="e">
        <f t="shared" si="13"/>
        <v>#REF!</v>
      </c>
      <c r="N54" s="99" t="e">
        <f t="shared" si="7"/>
        <v>#REF!</v>
      </c>
      <c r="O54" s="36" t="e">
        <f t="shared" si="15"/>
        <v>#REF!</v>
      </c>
    </row>
    <row r="55" spans="2:15" x14ac:dyDescent="0.35">
      <c r="B55" s="34">
        <v>17</v>
      </c>
      <c r="C55" s="67" t="s">
        <v>70</v>
      </c>
      <c r="D55" s="102" t="s">
        <v>82</v>
      </c>
      <c r="E55" s="16" t="e">
        <f t="shared" si="8"/>
        <v>#REF!</v>
      </c>
      <c r="F55" s="16">
        <v>0</v>
      </c>
      <c r="G55" s="16" t="e">
        <f t="shared" si="14"/>
        <v>#REF!</v>
      </c>
      <c r="H55" s="25" t="e">
        <f t="shared" si="4"/>
        <v>#REF!</v>
      </c>
      <c r="I55" s="33" t="e">
        <f t="shared" si="9"/>
        <v>#REF!</v>
      </c>
      <c r="J55" s="96" t="e">
        <f t="shared" si="5"/>
        <v>#REF!</v>
      </c>
      <c r="K55" s="96" t="e">
        <f t="shared" si="10"/>
        <v>#REF!</v>
      </c>
      <c r="L55" s="96">
        <f t="shared" si="11"/>
        <v>0</v>
      </c>
      <c r="M55" s="96" t="e">
        <f t="shared" si="13"/>
        <v>#REF!</v>
      </c>
      <c r="N55" s="99" t="e">
        <f t="shared" si="7"/>
        <v>#REF!</v>
      </c>
      <c r="O55" s="36" t="e">
        <f t="shared" si="15"/>
        <v>#REF!</v>
      </c>
    </row>
    <row r="56" spans="2:15" x14ac:dyDescent="0.35">
      <c r="B56" s="34">
        <v>18</v>
      </c>
      <c r="C56" s="67" t="s">
        <v>70</v>
      </c>
      <c r="D56" s="103" t="s">
        <v>85</v>
      </c>
      <c r="E56" s="16" t="e">
        <f t="shared" si="8"/>
        <v>#REF!</v>
      </c>
      <c r="F56" s="16">
        <v>0</v>
      </c>
      <c r="G56" s="16" t="e">
        <f t="shared" si="14"/>
        <v>#REF!</v>
      </c>
      <c r="H56" s="25" t="e">
        <f t="shared" si="4"/>
        <v>#REF!</v>
      </c>
      <c r="I56" s="33" t="e">
        <f t="shared" si="9"/>
        <v>#REF!</v>
      </c>
      <c r="J56" s="96" t="e">
        <f t="shared" si="5"/>
        <v>#REF!</v>
      </c>
      <c r="K56" s="96" t="e">
        <f t="shared" si="10"/>
        <v>#REF!</v>
      </c>
      <c r="L56" s="96">
        <f t="shared" si="11"/>
        <v>0</v>
      </c>
      <c r="M56" s="96" t="e">
        <f t="shared" si="13"/>
        <v>#REF!</v>
      </c>
      <c r="N56" s="99" t="e">
        <f t="shared" si="7"/>
        <v>#REF!</v>
      </c>
      <c r="O56" s="36" t="e">
        <f t="shared" si="15"/>
        <v>#REF!</v>
      </c>
    </row>
    <row r="57" spans="2:15" x14ac:dyDescent="0.35">
      <c r="B57" s="34">
        <v>19</v>
      </c>
      <c r="C57" s="67" t="s">
        <v>70</v>
      </c>
      <c r="D57" s="16" t="s">
        <v>86</v>
      </c>
      <c r="E57" s="16" t="e">
        <f t="shared" si="8"/>
        <v>#REF!</v>
      </c>
      <c r="F57" s="16">
        <v>0</v>
      </c>
      <c r="G57" s="16" t="e">
        <f t="shared" si="14"/>
        <v>#REF!</v>
      </c>
      <c r="H57" s="25" t="e">
        <f t="shared" si="4"/>
        <v>#REF!</v>
      </c>
      <c r="I57" s="33" t="e">
        <f t="shared" si="9"/>
        <v>#REF!</v>
      </c>
      <c r="J57" s="96" t="e">
        <f t="shared" si="5"/>
        <v>#REF!</v>
      </c>
      <c r="K57" s="96" t="e">
        <f t="shared" si="10"/>
        <v>#REF!</v>
      </c>
      <c r="L57" s="96">
        <f t="shared" si="11"/>
        <v>0</v>
      </c>
      <c r="M57" s="96" t="e">
        <f t="shared" si="13"/>
        <v>#REF!</v>
      </c>
      <c r="N57" s="99" t="e">
        <f t="shared" si="7"/>
        <v>#REF!</v>
      </c>
      <c r="O57" s="36" t="e">
        <f t="shared" si="15"/>
        <v>#REF!</v>
      </c>
    </row>
    <row r="58" spans="2:15" x14ac:dyDescent="0.35">
      <c r="B58" s="34">
        <v>20</v>
      </c>
      <c r="C58" s="67" t="s">
        <v>70</v>
      </c>
      <c r="D58" s="16" t="s">
        <v>78</v>
      </c>
      <c r="E58" s="16" t="e">
        <f t="shared" si="8"/>
        <v>#REF!</v>
      </c>
      <c r="F58" s="16">
        <v>24</v>
      </c>
      <c r="G58" s="16" t="e">
        <f t="shared" si="14"/>
        <v>#REF!</v>
      </c>
      <c r="H58" s="25" t="e">
        <f t="shared" si="4"/>
        <v>#REF!</v>
      </c>
      <c r="I58" s="33" t="e">
        <f t="shared" si="9"/>
        <v>#REF!</v>
      </c>
      <c r="J58" s="96" t="e">
        <f t="shared" si="5"/>
        <v>#REF!</v>
      </c>
      <c r="K58" s="96" t="e">
        <f t="shared" si="10"/>
        <v>#REF!</v>
      </c>
      <c r="L58" s="96">
        <f t="shared" si="11"/>
        <v>0</v>
      </c>
      <c r="M58" s="96" t="e">
        <f t="shared" si="13"/>
        <v>#REF!</v>
      </c>
      <c r="N58" s="99" t="e">
        <f t="shared" si="7"/>
        <v>#REF!</v>
      </c>
      <c r="O58" s="36" t="e">
        <f t="shared" si="15"/>
        <v>#REF!</v>
      </c>
    </row>
  </sheetData>
  <mergeCells count="5">
    <mergeCell ref="B2:E2"/>
    <mergeCell ref="B9:E9"/>
    <mergeCell ref="B12:C12"/>
    <mergeCell ref="B16:C16"/>
    <mergeCell ref="B21:C21"/>
  </mergeCells>
  <pageMargins left="0.7" right="0.7" top="0.75" bottom="0.75" header="0.3" footer="0.3"/>
  <pageSetup paperSize="9" orientation="portrait" r:id="rId1"/>
  <ignoredErrors>
    <ignoredError sqref="I34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7"/>
  <sheetViews>
    <sheetView showGridLines="0" topLeftCell="B32" zoomScale="90" zoomScaleNormal="70" workbookViewId="0">
      <selection activeCell="C63" sqref="C63"/>
    </sheetView>
  </sheetViews>
  <sheetFormatPr defaultColWidth="9.1796875" defaultRowHeight="15.5" x14ac:dyDescent="0.35"/>
  <cols>
    <col min="1" max="1" width="1.1796875" style="1" customWidth="1"/>
    <col min="2" max="2" width="31" style="1" customWidth="1"/>
    <col min="3" max="3" width="21" style="1" customWidth="1"/>
    <col min="4" max="4" width="27.6328125" style="1" bestFit="1" customWidth="1"/>
    <col min="5" max="5" width="18.453125" style="1" customWidth="1"/>
    <col min="6" max="6" width="26" style="1" customWidth="1"/>
    <col min="7" max="7" width="23.54296875" style="1" customWidth="1"/>
    <col min="8" max="8" width="11.7265625" style="1" customWidth="1"/>
    <col min="9" max="9" width="13.7265625" style="1" customWidth="1"/>
    <col min="10" max="10" width="16.7265625" style="1" customWidth="1"/>
    <col min="11" max="11" width="20.81640625" style="1" customWidth="1"/>
    <col min="12" max="12" width="13.81640625" style="1" customWidth="1"/>
    <col min="13" max="13" width="23.54296875" style="1" bestFit="1" customWidth="1"/>
    <col min="14" max="14" width="14" style="1" customWidth="1"/>
    <col min="15" max="15" width="13.453125" style="1" customWidth="1"/>
    <col min="16" max="16" width="5.81640625" style="1" bestFit="1" customWidth="1"/>
    <col min="17" max="17" width="7.7265625" style="1" bestFit="1" customWidth="1"/>
    <col min="18" max="18" width="10.7265625" style="1" bestFit="1" customWidth="1"/>
    <col min="19" max="19" width="8.453125" style="1" bestFit="1" customWidth="1"/>
    <col min="20" max="20" width="9.26953125" style="1" bestFit="1" customWidth="1"/>
    <col min="21" max="21" width="7.7265625" style="1" bestFit="1" customWidth="1"/>
    <col min="22" max="22" width="29.1796875" style="1" customWidth="1"/>
    <col min="23" max="23" width="21.453125" style="1" customWidth="1"/>
    <col min="24" max="24" width="56.1796875" style="1" customWidth="1"/>
    <col min="25" max="25" width="49" style="1" customWidth="1"/>
    <col min="26" max="26" width="16.54296875" style="1" customWidth="1"/>
    <col min="27" max="27" width="20.54296875" style="1" customWidth="1"/>
    <col min="28" max="28" width="21.453125" style="1" customWidth="1"/>
    <col min="29" max="29" width="20.7265625" style="1" customWidth="1"/>
    <col min="30" max="16384" width="9.1796875" style="1"/>
  </cols>
  <sheetData>
    <row r="1" spans="2:10" ht="11.25" customHeight="1" thickBot="1" x14ac:dyDescent="0.4"/>
    <row r="2" spans="2:10" ht="30" customHeight="1" thickBot="1" x14ac:dyDescent="0.4">
      <c r="B2" s="152" t="s">
        <v>3</v>
      </c>
      <c r="C2" s="153"/>
      <c r="D2" s="153"/>
      <c r="E2" s="154"/>
      <c r="F2" s="38"/>
    </row>
    <row r="3" spans="2:10" ht="51" customHeight="1" x14ac:dyDescent="0.35">
      <c r="B3" s="75" t="s">
        <v>6</v>
      </c>
      <c r="C3" s="76" t="s">
        <v>7</v>
      </c>
      <c r="D3" s="76" t="s">
        <v>13</v>
      </c>
      <c r="E3" s="77" t="s">
        <v>14</v>
      </c>
      <c r="F3" s="38"/>
    </row>
    <row r="4" spans="2:10" ht="20.25" customHeight="1" thickBot="1" x14ac:dyDescent="0.4">
      <c r="B4" s="78">
        <f>'Effort Analysis'!C4</f>
        <v>80</v>
      </c>
      <c r="C4" s="51">
        <f>'Effort Analysis'!D4</f>
        <v>72</v>
      </c>
      <c r="D4" s="51">
        <f>'Effort Analysis'!E4</f>
        <v>24</v>
      </c>
      <c r="E4" s="52">
        <f>'Effort Analysis'!F4</f>
        <v>48</v>
      </c>
      <c r="F4" s="38"/>
    </row>
    <row r="5" spans="2:10" ht="16" thickBot="1" x14ac:dyDescent="0.4">
      <c r="B5" s="19"/>
      <c r="C5" s="19"/>
      <c r="D5" s="19"/>
      <c r="E5" s="19"/>
      <c r="F5" s="38"/>
      <c r="G5" s="19"/>
      <c r="H5" s="19"/>
      <c r="I5" s="19"/>
    </row>
    <row r="6" spans="2:10" ht="30.75" customHeight="1" thickBot="1" x14ac:dyDescent="0.4">
      <c r="B6" s="31" t="s">
        <v>15</v>
      </c>
      <c r="C6" s="57" t="s">
        <v>16</v>
      </c>
      <c r="D6" s="57" t="s">
        <v>119</v>
      </c>
      <c r="E6" s="32" t="s">
        <v>17</v>
      </c>
      <c r="F6" s="38"/>
    </row>
    <row r="7" spans="2:10" x14ac:dyDescent="0.35">
      <c r="B7" s="56" t="s">
        <v>102</v>
      </c>
      <c r="C7" s="58">
        <v>0</v>
      </c>
      <c r="D7" s="59">
        <v>0</v>
      </c>
      <c r="E7" s="60">
        <v>0</v>
      </c>
      <c r="F7" s="38"/>
    </row>
    <row r="8" spans="2:10" ht="16" thickBot="1" x14ac:dyDescent="0.4">
      <c r="B8" s="46" t="s">
        <v>18</v>
      </c>
      <c r="C8" s="61">
        <v>1</v>
      </c>
      <c r="D8" s="62">
        <f>175/C10</f>
        <v>21.875</v>
      </c>
      <c r="E8" s="63">
        <v>1</v>
      </c>
      <c r="F8" s="38"/>
    </row>
    <row r="9" spans="2:10" ht="16" thickBot="1" x14ac:dyDescent="0.4">
      <c r="B9" s="155"/>
      <c r="C9" s="155"/>
      <c r="D9" s="155"/>
      <c r="E9" s="155"/>
      <c r="F9" s="93"/>
    </row>
    <row r="10" spans="2:10" ht="16" thickBot="1" x14ac:dyDescent="0.4">
      <c r="B10" s="49" t="s">
        <v>19</v>
      </c>
      <c r="C10" s="64">
        <v>8</v>
      </c>
      <c r="D10" s="38"/>
      <c r="E10" s="38"/>
      <c r="F10" s="38"/>
    </row>
    <row r="11" spans="2:10" ht="16" thickBot="1" x14ac:dyDescent="0.4">
      <c r="B11" s="93"/>
      <c r="C11" s="93"/>
      <c r="D11" s="38"/>
      <c r="E11" s="38"/>
      <c r="F11" s="38"/>
    </row>
    <row r="12" spans="2:10" ht="22.5" customHeight="1" thickBot="1" x14ac:dyDescent="0.4">
      <c r="B12" s="156" t="s">
        <v>20</v>
      </c>
      <c r="C12" s="157"/>
      <c r="D12" s="38"/>
      <c r="E12" s="38"/>
      <c r="F12" s="38"/>
    </row>
    <row r="13" spans="2:10" x14ac:dyDescent="0.35">
      <c r="B13" s="30" t="s">
        <v>112</v>
      </c>
      <c r="C13" s="2">
        <f>'Effort Analysis'!G4*C10</f>
        <v>64</v>
      </c>
      <c r="D13" s="44"/>
      <c r="E13" s="38"/>
      <c r="F13" s="38"/>
      <c r="G13" s="20"/>
      <c r="I13" s="53"/>
    </row>
    <row r="14" spans="2:10" x14ac:dyDescent="0.35">
      <c r="B14" s="168" t="s">
        <v>113</v>
      </c>
      <c r="C14" s="2">
        <f>'Effort Analysis'!G5*C10</f>
        <v>12</v>
      </c>
      <c r="D14" s="44"/>
      <c r="E14" s="38"/>
      <c r="F14" s="38"/>
      <c r="G14" s="20"/>
      <c r="I14" s="53"/>
    </row>
    <row r="15" spans="2:10" ht="22.5" customHeight="1" thickBot="1" x14ac:dyDescent="0.4">
      <c r="B15" s="28" t="s">
        <v>22</v>
      </c>
      <c r="C15" s="29">
        <f>SUM(C13:C14)</f>
        <v>76</v>
      </c>
      <c r="D15" s="38"/>
      <c r="E15" s="38"/>
      <c r="F15" s="38"/>
      <c r="G15" s="20"/>
      <c r="I15" s="53"/>
    </row>
    <row r="16" spans="2:10" ht="15" customHeight="1" thickBot="1" x14ac:dyDescent="0.4">
      <c r="B16" s="21"/>
      <c r="C16" s="21"/>
      <c r="D16" s="38"/>
      <c r="E16" s="38"/>
      <c r="F16" s="38"/>
      <c r="G16" s="20"/>
      <c r="H16" s="39" t="s">
        <v>23</v>
      </c>
      <c r="I16" s="54"/>
      <c r="J16" s="40"/>
    </row>
    <row r="17" spans="2:11" ht="30.75" customHeight="1" thickBot="1" x14ac:dyDescent="0.4">
      <c r="B17" s="156" t="s">
        <v>24</v>
      </c>
      <c r="C17" s="157"/>
      <c r="D17" s="38"/>
      <c r="E17" s="38"/>
      <c r="F17" s="38"/>
      <c r="G17" s="38"/>
      <c r="H17" s="39" t="s">
        <v>25</v>
      </c>
      <c r="I17" s="55"/>
      <c r="J17" s="40"/>
      <c r="K17" s="41"/>
    </row>
    <row r="18" spans="2:11" x14ac:dyDescent="0.35">
      <c r="B18" s="30" t="s">
        <v>123</v>
      </c>
      <c r="C18" s="2">
        <f>'Effort Analysis'!K4*C10</f>
        <v>316.79999999999995</v>
      </c>
      <c r="D18" s="38"/>
      <c r="E18" s="38"/>
      <c r="F18" s="38"/>
      <c r="G18" s="44"/>
      <c r="H18" s="39" t="s">
        <v>27</v>
      </c>
      <c r="I18" s="55"/>
      <c r="J18" s="40"/>
      <c r="K18" s="41"/>
    </row>
    <row r="19" spans="2:11" ht="17.25" customHeight="1" x14ac:dyDescent="0.35">
      <c r="B19" s="27" t="s">
        <v>124</v>
      </c>
      <c r="C19" s="2">
        <f>'Effort Analysis'!O4*C10</f>
        <v>8.1120000000000001</v>
      </c>
      <c r="D19" s="38"/>
      <c r="E19" s="38"/>
      <c r="F19" s="38"/>
      <c r="G19" s="44"/>
      <c r="H19" s="39" t="s">
        <v>29</v>
      </c>
      <c r="I19" s="55"/>
      <c r="J19" s="40"/>
      <c r="K19" s="41"/>
    </row>
    <row r="20" spans="2:11" ht="31.5" thickBot="1" x14ac:dyDescent="0.4">
      <c r="B20" s="28" t="s">
        <v>30</v>
      </c>
      <c r="C20" s="29">
        <f>SUM(C18:C19)</f>
        <v>324.91199999999998</v>
      </c>
      <c r="D20" s="38"/>
      <c r="E20" s="38"/>
      <c r="F20" s="38"/>
      <c r="G20" s="38"/>
      <c r="H20" s="39" t="s">
        <v>23</v>
      </c>
      <c r="I20" s="54"/>
      <c r="J20" s="40"/>
      <c r="K20" s="41"/>
    </row>
    <row r="21" spans="2:11" x14ac:dyDescent="0.35">
      <c r="B21" s="181"/>
      <c r="C21" s="182"/>
      <c r="D21" s="38"/>
      <c r="E21" s="38"/>
      <c r="F21" s="38"/>
      <c r="G21" s="38"/>
      <c r="H21" s="39"/>
      <c r="I21" s="54"/>
      <c r="J21" s="40"/>
      <c r="K21" s="41"/>
    </row>
    <row r="22" spans="2:11" x14ac:dyDescent="0.35">
      <c r="B22" s="181"/>
      <c r="C22" s="182"/>
      <c r="D22" s="38"/>
      <c r="E22" s="38"/>
      <c r="F22" s="38"/>
      <c r="G22" s="38"/>
      <c r="H22" s="39"/>
      <c r="I22" s="54"/>
      <c r="J22" s="40"/>
      <c r="K22" s="41"/>
    </row>
    <row r="23" spans="2:11" ht="16" hidden="1" thickBot="1" x14ac:dyDescent="0.4">
      <c r="B23" s="156" t="s">
        <v>125</v>
      </c>
      <c r="C23" s="157"/>
      <c r="D23" s="38"/>
      <c r="E23" s="38"/>
      <c r="F23" s="38"/>
      <c r="G23" s="38"/>
      <c r="H23" s="39"/>
      <c r="I23" s="54"/>
      <c r="J23" s="40"/>
      <c r="K23" s="41"/>
    </row>
    <row r="24" spans="2:11" hidden="1" x14ac:dyDescent="0.35">
      <c r="B24" s="30" t="s">
        <v>26</v>
      </c>
      <c r="C24" s="2">
        <v>200</v>
      </c>
      <c r="D24" s="38"/>
      <c r="E24" s="38"/>
      <c r="F24" s="38"/>
      <c r="G24" s="38"/>
      <c r="H24" s="39"/>
      <c r="I24" s="54"/>
      <c r="J24" s="40"/>
      <c r="K24" s="41"/>
    </row>
    <row r="25" spans="2:11" hidden="1" x14ac:dyDescent="0.35">
      <c r="B25" s="27" t="s">
        <v>124</v>
      </c>
      <c r="C25" s="2">
        <v>4</v>
      </c>
      <c r="D25" s="38"/>
      <c r="E25" s="38"/>
      <c r="F25" s="38"/>
      <c r="G25" s="38"/>
      <c r="H25" s="39"/>
      <c r="I25" s="54"/>
      <c r="J25" s="40"/>
      <c r="K25" s="41"/>
    </row>
    <row r="26" spans="2:11" ht="16" hidden="1" thickBot="1" x14ac:dyDescent="0.4">
      <c r="B26" s="28" t="s">
        <v>30</v>
      </c>
      <c r="C26" s="29">
        <f>SUM(C24:C25)</f>
        <v>204</v>
      </c>
      <c r="D26" s="38"/>
      <c r="E26" s="38"/>
      <c r="F26" s="38"/>
      <c r="G26" s="38"/>
      <c r="H26" s="39"/>
      <c r="I26" s="54"/>
      <c r="J26" s="40"/>
      <c r="K26" s="41"/>
    </row>
    <row r="27" spans="2:11" x14ac:dyDescent="0.35">
      <c r="B27" s="181"/>
      <c r="C27" s="182"/>
      <c r="D27" s="38"/>
      <c r="E27" s="38"/>
      <c r="F27" s="38"/>
      <c r="G27" s="38"/>
      <c r="H27" s="39"/>
      <c r="I27" s="54"/>
      <c r="J27" s="40"/>
      <c r="K27" s="41"/>
    </row>
    <row r="28" spans="2:11" ht="16" thickBot="1" x14ac:dyDescent="0.4">
      <c r="B28" s="48"/>
      <c r="C28" s="48"/>
      <c r="D28" s="38"/>
      <c r="E28" s="38"/>
      <c r="F28" s="38"/>
      <c r="G28" s="38"/>
      <c r="H28" s="39"/>
      <c r="I28" s="54"/>
      <c r="J28" s="40"/>
      <c r="K28" s="41"/>
    </row>
    <row r="29" spans="2:11" ht="30" customHeight="1" thickBot="1" x14ac:dyDescent="0.4">
      <c r="B29" s="156" t="s">
        <v>31</v>
      </c>
      <c r="C29" s="157"/>
      <c r="D29" s="38"/>
      <c r="E29" s="38"/>
      <c r="F29" s="38"/>
      <c r="G29" s="38"/>
      <c r="H29" s="39"/>
      <c r="I29" s="54"/>
      <c r="J29" s="40"/>
      <c r="K29" s="41"/>
    </row>
    <row r="30" spans="2:11" ht="16" thickBot="1" x14ac:dyDescent="0.4">
      <c r="B30" s="49" t="s">
        <v>118</v>
      </c>
      <c r="C30" s="79">
        <v>13000</v>
      </c>
      <c r="D30" s="38"/>
      <c r="E30" s="38"/>
      <c r="F30" s="38"/>
      <c r="G30" s="38"/>
      <c r="H30" s="39"/>
      <c r="I30" s="54"/>
      <c r="J30" s="40"/>
      <c r="K30" s="41"/>
    </row>
    <row r="31" spans="2:11" ht="16" thickBot="1" x14ac:dyDescent="0.4">
      <c r="B31" s="49" t="s">
        <v>32</v>
      </c>
      <c r="C31" s="64">
        <f>SUM(E7:E8)</f>
        <v>1</v>
      </c>
      <c r="D31" s="38"/>
      <c r="E31" s="38"/>
      <c r="F31" s="38"/>
      <c r="G31" s="38"/>
      <c r="H31" s="39"/>
      <c r="I31" s="54"/>
      <c r="J31" s="40"/>
      <c r="K31" s="41"/>
    </row>
    <row r="32" spans="2:11" ht="16" thickBot="1" x14ac:dyDescent="0.4">
      <c r="B32" s="49" t="s">
        <v>120</v>
      </c>
      <c r="C32" s="50">
        <f>C30*1*C31</f>
        <v>13000</v>
      </c>
      <c r="D32" s="38"/>
      <c r="E32" s="38"/>
      <c r="F32" s="38"/>
      <c r="G32" s="38"/>
      <c r="H32" s="39"/>
      <c r="I32" s="54"/>
      <c r="J32" s="40"/>
      <c r="K32" s="41"/>
    </row>
    <row r="33" spans="1:21" x14ac:dyDescent="0.35">
      <c r="B33" s="22"/>
      <c r="C33" s="22"/>
      <c r="D33" s="38"/>
      <c r="E33" s="38"/>
      <c r="F33" s="38"/>
      <c r="G33" s="41"/>
      <c r="H33" s="42"/>
      <c r="I33" s="43"/>
      <c r="J33" s="41"/>
      <c r="K33" s="41"/>
    </row>
    <row r="35" spans="1:21" x14ac:dyDescent="0.35">
      <c r="B35" s="38"/>
      <c r="C35" s="22"/>
      <c r="D35" s="38"/>
      <c r="E35" s="38"/>
      <c r="F35" s="38"/>
      <c r="G35" s="41"/>
      <c r="H35" s="42"/>
      <c r="I35" s="43"/>
      <c r="J35" s="41"/>
      <c r="K35" s="41"/>
    </row>
    <row r="36" spans="1:21" x14ac:dyDescent="0.35">
      <c r="B36" s="22"/>
      <c r="C36" s="22"/>
      <c r="D36" s="38"/>
      <c r="E36" s="38"/>
      <c r="F36" s="38"/>
      <c r="G36" s="41"/>
      <c r="H36" s="42"/>
      <c r="I36" s="43"/>
      <c r="J36" s="41"/>
      <c r="K36" s="41"/>
    </row>
    <row r="37" spans="1:21" ht="16" thickBot="1" x14ac:dyDescent="0.4">
      <c r="B37" s="22"/>
      <c r="C37" s="22"/>
      <c r="D37" s="38"/>
      <c r="E37" s="38"/>
      <c r="F37" s="38"/>
      <c r="G37" s="41"/>
      <c r="H37" s="42"/>
      <c r="I37" s="43"/>
      <c r="J37" s="41"/>
      <c r="K37" s="41"/>
    </row>
    <row r="38" spans="1:21" ht="16" thickBot="1" x14ac:dyDescent="0.4">
      <c r="A38" s="18"/>
      <c r="B38" s="47" t="s">
        <v>43</v>
      </c>
      <c r="C38" s="22"/>
      <c r="D38" s="38"/>
      <c r="E38" s="38"/>
      <c r="F38" s="38"/>
      <c r="H38" s="23"/>
      <c r="I38" s="24"/>
    </row>
    <row r="39" spans="1:21" ht="61.5" customHeight="1" thickBot="1" x14ac:dyDescent="0.4">
      <c r="B39" s="11" t="s">
        <v>44</v>
      </c>
      <c r="C39" s="161" t="s">
        <v>34</v>
      </c>
      <c r="D39" s="161" t="s">
        <v>28</v>
      </c>
      <c r="E39" s="161" t="s">
        <v>35</v>
      </c>
      <c r="F39" s="161" t="s">
        <v>36</v>
      </c>
      <c r="G39" s="161" t="s">
        <v>37</v>
      </c>
      <c r="H39" s="161" t="s">
        <v>38</v>
      </c>
      <c r="I39" s="161" t="s">
        <v>39</v>
      </c>
      <c r="J39" s="161" t="s">
        <v>114</v>
      </c>
      <c r="K39" s="161" t="s">
        <v>115</v>
      </c>
      <c r="L39" s="161" t="s">
        <v>116</v>
      </c>
      <c r="M39" s="161" t="s">
        <v>117</v>
      </c>
      <c r="N39" s="161" t="s">
        <v>40</v>
      </c>
      <c r="O39" s="161" t="s">
        <v>41</v>
      </c>
    </row>
    <row r="40" spans="1:21" x14ac:dyDescent="0.35">
      <c r="B40" s="68">
        <v>1</v>
      </c>
      <c r="C40" s="67">
        <v>2025</v>
      </c>
      <c r="D40" s="16" t="s">
        <v>103</v>
      </c>
      <c r="E40" s="16">
        <f>C13</f>
        <v>64</v>
      </c>
      <c r="F40" s="16">
        <v>0</v>
      </c>
      <c r="G40" s="16">
        <f>C19+F40</f>
        <v>8.1120000000000001</v>
      </c>
      <c r="H40" s="25">
        <f t="shared" ref="H40:H47" si="0">E40-G40</f>
        <v>55.887999999999998</v>
      </c>
      <c r="I40" s="33">
        <f>H40/E40</f>
        <v>0.87324999999999997</v>
      </c>
      <c r="J40" s="96">
        <f>E40*C$7*D$7*E$7+E40*C$8*D$8*E$8</f>
        <v>1400</v>
      </c>
      <c r="K40" s="96">
        <f>G40*C$7*D$7*E$7+G40*C$8*D$8*E$8</f>
        <v>177.45</v>
      </c>
      <c r="L40" s="96">
        <f>$C$32*1</f>
        <v>13000</v>
      </c>
      <c r="M40" s="96">
        <f t="shared" ref="M40" si="1">L40+K40</f>
        <v>13177.45</v>
      </c>
      <c r="N40" s="99">
        <f t="shared" ref="N40:N47" si="2">J40-(K40+L40)</f>
        <v>-11777.45</v>
      </c>
      <c r="O40" s="162">
        <f>N40/(K40+L40)</f>
        <v>-0.89375789701345865</v>
      </c>
      <c r="S40" s="22"/>
      <c r="T40" s="22"/>
      <c r="U40" s="22"/>
    </row>
    <row r="41" spans="1:21" x14ac:dyDescent="0.35">
      <c r="B41" s="34">
        <v>2</v>
      </c>
      <c r="C41" s="67">
        <v>2025</v>
      </c>
      <c r="D41" s="16" t="s">
        <v>104</v>
      </c>
      <c r="E41" s="16">
        <f>E40+$C$13</f>
        <v>128</v>
      </c>
      <c r="F41" s="16">
        <v>8</v>
      </c>
      <c r="G41" s="16">
        <f>G40+$C$19+F41</f>
        <v>24.224</v>
      </c>
      <c r="H41" s="25">
        <f t="shared" si="0"/>
        <v>103.776</v>
      </c>
      <c r="I41" s="33">
        <f t="shared" ref="I41:I47" si="3">H41/E41</f>
        <v>0.81074999999999997</v>
      </c>
      <c r="J41" s="96">
        <f t="shared" ref="J41:J47" si="4">E41*C$7*D$7*E$7+E41*C$8*D$8*E$8</f>
        <v>2800</v>
      </c>
      <c r="K41" s="96">
        <f t="shared" ref="K41:K47" si="5">G41*C$7*D$7*E$7+G41*C$8*D$8*E$8</f>
        <v>529.9</v>
      </c>
      <c r="L41" s="96">
        <f t="shared" ref="L41:L47" si="6">$C$32*1</f>
        <v>13000</v>
      </c>
      <c r="M41" s="96">
        <f>L41+K41</f>
        <v>13529.9</v>
      </c>
      <c r="N41" s="99">
        <f t="shared" si="2"/>
        <v>-10729.9</v>
      </c>
      <c r="O41" s="162">
        <f t="shared" ref="O41:O47" si="7">N41/(K41+L41)</f>
        <v>-0.79305094642236829</v>
      </c>
      <c r="S41" s="22"/>
      <c r="T41" s="22"/>
      <c r="U41" s="22"/>
    </row>
    <row r="42" spans="1:21" x14ac:dyDescent="0.35">
      <c r="B42" s="34">
        <v>3</v>
      </c>
      <c r="C42" s="67">
        <v>2025</v>
      </c>
      <c r="D42" s="16" t="s">
        <v>105</v>
      </c>
      <c r="E42" s="16">
        <f>E41+$C$13</f>
        <v>192</v>
      </c>
      <c r="F42" s="16">
        <v>0</v>
      </c>
      <c r="G42" s="16">
        <f>G41+$C$19+F42</f>
        <v>32.335999999999999</v>
      </c>
      <c r="H42" s="25">
        <f t="shared" si="0"/>
        <v>159.66399999999999</v>
      </c>
      <c r="I42" s="33">
        <f t="shared" si="3"/>
        <v>0.83158333333333323</v>
      </c>
      <c r="J42" s="96">
        <f t="shared" si="4"/>
        <v>4200</v>
      </c>
      <c r="K42" s="96">
        <f t="shared" si="5"/>
        <v>707.35</v>
      </c>
      <c r="L42" s="96">
        <f t="shared" si="6"/>
        <v>13000</v>
      </c>
      <c r="M42" s="96">
        <f t="shared" ref="M42:M47" si="8">L42+K42</f>
        <v>13707.35</v>
      </c>
      <c r="N42" s="99">
        <f t="shared" si="2"/>
        <v>-9507.35</v>
      </c>
      <c r="O42" s="162">
        <f t="shared" si="7"/>
        <v>-0.69359504207596656</v>
      </c>
      <c r="S42" s="22"/>
      <c r="T42" s="22"/>
      <c r="U42" s="22"/>
    </row>
    <row r="43" spans="1:21" x14ac:dyDescent="0.35">
      <c r="B43" s="34">
        <v>4</v>
      </c>
      <c r="C43" s="67">
        <v>2025</v>
      </c>
      <c r="D43" s="16" t="s">
        <v>106</v>
      </c>
      <c r="E43" s="16">
        <f>E42+$C$13</f>
        <v>256</v>
      </c>
      <c r="F43" s="16">
        <v>8</v>
      </c>
      <c r="G43" s="16">
        <f>G42+$C$19+F43</f>
        <v>48.448</v>
      </c>
      <c r="H43" s="25">
        <f t="shared" si="0"/>
        <v>207.55199999999999</v>
      </c>
      <c r="I43" s="33">
        <f t="shared" si="3"/>
        <v>0.81074999999999997</v>
      </c>
      <c r="J43" s="96">
        <f t="shared" si="4"/>
        <v>5600</v>
      </c>
      <c r="K43" s="96">
        <f t="shared" si="5"/>
        <v>1059.8</v>
      </c>
      <c r="L43" s="96">
        <f t="shared" si="6"/>
        <v>13000</v>
      </c>
      <c r="M43" s="96">
        <f t="shared" si="8"/>
        <v>14059.8</v>
      </c>
      <c r="N43" s="99">
        <f t="shared" si="2"/>
        <v>-8459.7999999999993</v>
      </c>
      <c r="O43" s="162">
        <f t="shared" si="7"/>
        <v>-0.601701304428228</v>
      </c>
      <c r="P43" s="22"/>
      <c r="Q43" s="22"/>
      <c r="R43" s="22"/>
      <c r="S43" s="22"/>
      <c r="T43" s="22"/>
      <c r="U43" s="22"/>
    </row>
    <row r="44" spans="1:21" x14ac:dyDescent="0.35">
      <c r="B44" s="34">
        <v>5</v>
      </c>
      <c r="C44" s="67">
        <v>2025</v>
      </c>
      <c r="D44" s="16" t="s">
        <v>107</v>
      </c>
      <c r="E44" s="16">
        <f>E43+$C$13</f>
        <v>320</v>
      </c>
      <c r="F44" s="16">
        <v>0</v>
      </c>
      <c r="G44" s="16">
        <f>G43+$C$19+F44</f>
        <v>56.56</v>
      </c>
      <c r="H44" s="25">
        <f t="shared" si="0"/>
        <v>263.44</v>
      </c>
      <c r="I44" s="33">
        <f t="shared" si="3"/>
        <v>0.82325000000000004</v>
      </c>
      <c r="J44" s="96">
        <f t="shared" si="4"/>
        <v>7000</v>
      </c>
      <c r="K44" s="96">
        <f t="shared" si="5"/>
        <v>1237.25</v>
      </c>
      <c r="L44" s="96">
        <f t="shared" si="6"/>
        <v>13000</v>
      </c>
      <c r="M44" s="96">
        <f t="shared" si="8"/>
        <v>14237.25</v>
      </c>
      <c r="N44" s="99">
        <f t="shared" si="2"/>
        <v>-7237.25</v>
      </c>
      <c r="O44" s="162">
        <f t="shared" si="7"/>
        <v>-0.50833201636552006</v>
      </c>
      <c r="P44" s="22"/>
      <c r="Q44" s="22"/>
      <c r="R44" s="22"/>
      <c r="S44" s="22"/>
      <c r="T44" s="22"/>
      <c r="U44" s="22"/>
    </row>
    <row r="45" spans="1:21" x14ac:dyDescent="0.35">
      <c r="B45" s="34">
        <v>6</v>
      </c>
      <c r="C45" s="67">
        <v>2025</v>
      </c>
      <c r="D45" s="16" t="s">
        <v>108</v>
      </c>
      <c r="E45" s="16">
        <f>E44+$C$13</f>
        <v>384</v>
      </c>
      <c r="F45" s="16">
        <v>8</v>
      </c>
      <c r="G45" s="16">
        <f>G44+$C$19+F45</f>
        <v>72.671999999999997</v>
      </c>
      <c r="H45" s="25">
        <f t="shared" si="0"/>
        <v>311.32799999999997</v>
      </c>
      <c r="I45" s="33">
        <f t="shared" si="3"/>
        <v>0.81074999999999997</v>
      </c>
      <c r="J45" s="96">
        <f t="shared" si="4"/>
        <v>8400</v>
      </c>
      <c r="K45" s="96">
        <f t="shared" si="5"/>
        <v>1589.7</v>
      </c>
      <c r="L45" s="96">
        <f t="shared" si="6"/>
        <v>13000</v>
      </c>
      <c r="M45" s="96">
        <f t="shared" si="8"/>
        <v>14589.7</v>
      </c>
      <c r="N45" s="99">
        <f t="shared" si="2"/>
        <v>-6189.7000000000007</v>
      </c>
      <c r="O45" s="162">
        <f t="shared" si="7"/>
        <v>-0.42425135540826753</v>
      </c>
    </row>
    <row r="46" spans="1:21" x14ac:dyDescent="0.35">
      <c r="B46" s="34">
        <v>7</v>
      </c>
      <c r="C46" s="67">
        <v>2025</v>
      </c>
      <c r="D46" s="16" t="s">
        <v>109</v>
      </c>
      <c r="E46" s="16">
        <f>E45+$C$13</f>
        <v>448</v>
      </c>
      <c r="F46" s="16">
        <v>0</v>
      </c>
      <c r="G46" s="16">
        <f t="shared" ref="G46:G47" si="9">G45+$C$19+F46</f>
        <v>80.783999999999992</v>
      </c>
      <c r="H46" s="25">
        <f t="shared" si="0"/>
        <v>367.21600000000001</v>
      </c>
      <c r="I46" s="33">
        <f t="shared" si="3"/>
        <v>0.81967857142857148</v>
      </c>
      <c r="J46" s="96">
        <f t="shared" si="4"/>
        <v>9800</v>
      </c>
      <c r="K46" s="96">
        <f t="shared" si="5"/>
        <v>1767.1499999999999</v>
      </c>
      <c r="L46" s="96">
        <f t="shared" si="6"/>
        <v>13000</v>
      </c>
      <c r="M46" s="96">
        <f t="shared" si="8"/>
        <v>14767.15</v>
      </c>
      <c r="N46" s="99">
        <f t="shared" si="2"/>
        <v>-4967.1499999999996</v>
      </c>
      <c r="O46" s="162">
        <f t="shared" si="7"/>
        <v>-0.33636483681685359</v>
      </c>
    </row>
    <row r="47" spans="1:21" x14ac:dyDescent="0.35">
      <c r="B47" s="34">
        <v>8</v>
      </c>
      <c r="C47" s="67">
        <v>2025</v>
      </c>
      <c r="D47" s="16" t="s">
        <v>110</v>
      </c>
      <c r="E47" s="16">
        <f>E46+$C$13</f>
        <v>512</v>
      </c>
      <c r="F47" s="16">
        <v>8</v>
      </c>
      <c r="G47" s="16">
        <f t="shared" si="9"/>
        <v>96.895999999999987</v>
      </c>
      <c r="H47" s="25">
        <f t="shared" si="0"/>
        <v>415.10400000000004</v>
      </c>
      <c r="I47" s="33">
        <f t="shared" si="3"/>
        <v>0.81075000000000008</v>
      </c>
      <c r="J47" s="96">
        <f t="shared" si="4"/>
        <v>11200</v>
      </c>
      <c r="K47" s="96">
        <f t="shared" si="5"/>
        <v>2119.6</v>
      </c>
      <c r="L47" s="96">
        <f t="shared" si="6"/>
        <v>13000</v>
      </c>
      <c r="M47" s="96">
        <f t="shared" si="8"/>
        <v>15119.6</v>
      </c>
      <c r="N47" s="99">
        <f t="shared" si="2"/>
        <v>-3919.6000000000004</v>
      </c>
      <c r="O47" s="162">
        <f t="shared" si="7"/>
        <v>-0.2592396624249319</v>
      </c>
    </row>
  </sheetData>
  <mergeCells count="6">
    <mergeCell ref="B2:E2"/>
    <mergeCell ref="B9:E9"/>
    <mergeCell ref="B12:C12"/>
    <mergeCell ref="B17:C17"/>
    <mergeCell ref="B29:C29"/>
    <mergeCell ref="B23:C23"/>
  </mergeCells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BCB9-1B07-495A-A2CF-F787C9ED88C5}">
  <dimension ref="A1:U43"/>
  <sheetViews>
    <sheetView showGridLines="0" topLeftCell="A23" zoomScale="70" zoomScaleNormal="70" workbookViewId="0">
      <selection activeCell="F51" sqref="F51"/>
    </sheetView>
  </sheetViews>
  <sheetFormatPr defaultColWidth="9.1796875" defaultRowHeight="15.5" x14ac:dyDescent="0.35"/>
  <cols>
    <col min="1" max="1" width="1.1796875" style="1" customWidth="1"/>
    <col min="2" max="2" width="31" style="1" customWidth="1"/>
    <col min="3" max="3" width="21" style="1" customWidth="1"/>
    <col min="4" max="4" width="19.26953125" style="1" customWidth="1"/>
    <col min="5" max="5" width="18.453125" style="1" customWidth="1"/>
    <col min="6" max="6" width="26" style="1" customWidth="1"/>
    <col min="7" max="7" width="23.54296875" style="1" customWidth="1"/>
    <col min="8" max="8" width="11.7265625" style="1" customWidth="1"/>
    <col min="9" max="9" width="13.7265625" style="1" customWidth="1"/>
    <col min="10" max="10" width="10.90625" style="1" bestFit="1" customWidth="1"/>
    <col min="11" max="11" width="20.81640625" style="1" customWidth="1"/>
    <col min="12" max="12" width="13.81640625" style="1" customWidth="1"/>
    <col min="13" max="13" width="23.54296875" style="1" bestFit="1" customWidth="1"/>
    <col min="14" max="14" width="14" style="1" customWidth="1"/>
    <col min="15" max="15" width="13.453125" style="1" customWidth="1"/>
    <col min="16" max="16" width="5.81640625" style="1" bestFit="1" customWidth="1"/>
    <col min="17" max="17" width="7.7265625" style="1" bestFit="1" customWidth="1"/>
    <col min="18" max="18" width="10.7265625" style="1" bestFit="1" customWidth="1"/>
    <col min="19" max="19" width="8.453125" style="1" bestFit="1" customWidth="1"/>
    <col min="20" max="20" width="9.26953125" style="1" bestFit="1" customWidth="1"/>
    <col min="21" max="21" width="7.7265625" style="1" bestFit="1" customWidth="1"/>
    <col min="22" max="22" width="29.1796875" style="1" customWidth="1"/>
    <col min="23" max="23" width="21.453125" style="1" customWidth="1"/>
    <col min="24" max="24" width="56.1796875" style="1" customWidth="1"/>
    <col min="25" max="25" width="49" style="1" customWidth="1"/>
    <col min="26" max="26" width="16.54296875" style="1" customWidth="1"/>
    <col min="27" max="27" width="20.54296875" style="1" customWidth="1"/>
    <col min="28" max="28" width="21.453125" style="1" customWidth="1"/>
    <col min="29" max="29" width="20.7265625" style="1" customWidth="1"/>
    <col min="30" max="16384" width="9.1796875" style="1"/>
  </cols>
  <sheetData>
    <row r="1" spans="2:11" ht="11.25" customHeight="1" thickBot="1" x14ac:dyDescent="0.4"/>
    <row r="2" spans="2:11" ht="30" customHeight="1" thickBot="1" x14ac:dyDescent="0.4">
      <c r="B2" s="152" t="s">
        <v>3</v>
      </c>
      <c r="C2" s="153"/>
      <c r="D2" s="153"/>
      <c r="E2" s="154"/>
      <c r="F2" s="38"/>
    </row>
    <row r="3" spans="2:11" ht="51" customHeight="1" x14ac:dyDescent="0.35">
      <c r="B3" s="75" t="s">
        <v>6</v>
      </c>
      <c r="C3" s="76" t="s">
        <v>7</v>
      </c>
      <c r="D3" s="76" t="s">
        <v>13</v>
      </c>
      <c r="E3" s="77" t="s">
        <v>14</v>
      </c>
      <c r="F3" s="38"/>
    </row>
    <row r="4" spans="2:11" ht="20.25" customHeight="1" thickBot="1" x14ac:dyDescent="0.4">
      <c r="B4" s="78">
        <f>'Effort Analysis'!C5</f>
        <v>15</v>
      </c>
      <c r="C4" s="51">
        <f>'Effort Analysis'!D5</f>
        <v>15</v>
      </c>
      <c r="D4" s="51">
        <f>'Effort Analysis'!E5</f>
        <v>15</v>
      </c>
      <c r="E4" s="52">
        <f>'Effort Analysis'!F5</f>
        <v>0</v>
      </c>
      <c r="F4" s="38"/>
    </row>
    <row r="5" spans="2:11" ht="16" thickBot="1" x14ac:dyDescent="0.4">
      <c r="B5" s="19"/>
      <c r="C5" s="19"/>
      <c r="D5" s="19"/>
      <c r="E5" s="19"/>
      <c r="F5" s="38"/>
      <c r="G5" s="19"/>
      <c r="H5" s="19"/>
      <c r="I5" s="19"/>
    </row>
    <row r="6" spans="2:11" ht="30.75" customHeight="1" thickBot="1" x14ac:dyDescent="0.4">
      <c r="B6" s="31" t="s">
        <v>15</v>
      </c>
      <c r="C6" s="57" t="s">
        <v>16</v>
      </c>
      <c r="D6" s="57" t="s">
        <v>64</v>
      </c>
      <c r="E6" s="32" t="s">
        <v>17</v>
      </c>
      <c r="F6" s="38"/>
    </row>
    <row r="7" spans="2:11" x14ac:dyDescent="0.35">
      <c r="B7" s="56" t="s">
        <v>101</v>
      </c>
      <c r="C7" s="58">
        <v>0</v>
      </c>
      <c r="D7" s="59">
        <v>0</v>
      </c>
      <c r="E7" s="60">
        <v>0</v>
      </c>
      <c r="F7" s="38"/>
    </row>
    <row r="8" spans="2:11" ht="16" thickBot="1" x14ac:dyDescent="0.4">
      <c r="B8" s="46" t="s">
        <v>18</v>
      </c>
      <c r="C8" s="61">
        <v>1</v>
      </c>
      <c r="D8" s="62">
        <v>21.875</v>
      </c>
      <c r="E8" s="63">
        <v>1</v>
      </c>
      <c r="F8" s="38"/>
    </row>
    <row r="9" spans="2:11" ht="16" thickBot="1" x14ac:dyDescent="0.4">
      <c r="B9" s="155"/>
      <c r="C9" s="155"/>
      <c r="D9" s="155"/>
      <c r="E9" s="155"/>
      <c r="F9" s="93"/>
    </row>
    <row r="10" spans="2:11" ht="16" thickBot="1" x14ac:dyDescent="0.4">
      <c r="B10" s="49" t="s">
        <v>19</v>
      </c>
      <c r="C10" s="64">
        <v>8</v>
      </c>
      <c r="D10" s="38"/>
      <c r="E10" s="38"/>
      <c r="F10" s="38"/>
    </row>
    <row r="11" spans="2:11" ht="16" thickBot="1" x14ac:dyDescent="0.4">
      <c r="B11" s="93"/>
      <c r="C11" s="93"/>
      <c r="D11" s="38"/>
      <c r="E11" s="38"/>
      <c r="F11" s="38"/>
    </row>
    <row r="12" spans="2:11" ht="22.5" customHeight="1" thickBot="1" x14ac:dyDescent="0.4">
      <c r="B12" s="156" t="s">
        <v>20</v>
      </c>
      <c r="C12" s="157"/>
      <c r="D12" s="38"/>
      <c r="E12" s="38"/>
      <c r="F12" s="38"/>
    </row>
    <row r="13" spans="2:11" x14ac:dyDescent="0.35">
      <c r="B13" s="30" t="s">
        <v>21</v>
      </c>
      <c r="C13" s="2">
        <f>'Effort Analysis'!G5*C10</f>
        <v>12</v>
      </c>
      <c r="D13" s="44"/>
      <c r="E13" s="38"/>
      <c r="F13" s="38"/>
      <c r="G13" s="20"/>
      <c r="I13" s="53"/>
    </row>
    <row r="14" spans="2:11" ht="22.5" customHeight="1" thickBot="1" x14ac:dyDescent="0.4">
      <c r="B14" s="28" t="s">
        <v>22</v>
      </c>
      <c r="C14" s="29">
        <f>SUM(C13:C13)</f>
        <v>12</v>
      </c>
      <c r="D14" s="38"/>
      <c r="E14" s="38"/>
      <c r="F14" s="38"/>
      <c r="G14" s="20"/>
      <c r="I14" s="53"/>
    </row>
    <row r="15" spans="2:11" ht="15" customHeight="1" thickBot="1" x14ac:dyDescent="0.4">
      <c r="B15" s="21"/>
      <c r="C15" s="21"/>
      <c r="D15" s="38"/>
      <c r="E15" s="38"/>
      <c r="F15" s="38"/>
      <c r="G15" s="20"/>
      <c r="H15" s="39" t="s">
        <v>23</v>
      </c>
      <c r="I15" s="54"/>
      <c r="J15" s="40"/>
    </row>
    <row r="16" spans="2:11" ht="30.75" customHeight="1" thickBot="1" x14ac:dyDescent="0.4">
      <c r="B16" s="156" t="s">
        <v>24</v>
      </c>
      <c r="C16" s="157"/>
      <c r="D16" s="38"/>
      <c r="E16" s="38"/>
      <c r="F16" s="38"/>
      <c r="G16" s="38"/>
      <c r="H16" s="39" t="s">
        <v>25</v>
      </c>
      <c r="I16" s="55"/>
      <c r="J16" s="40"/>
      <c r="K16" s="41"/>
    </row>
    <row r="17" spans="2:21" x14ac:dyDescent="0.35">
      <c r="B17" s="30" t="s">
        <v>26</v>
      </c>
      <c r="C17" s="2">
        <f>'Effort Analysis'!K5*C10</f>
        <v>0</v>
      </c>
      <c r="D17" s="38"/>
      <c r="E17" s="38"/>
      <c r="F17" s="38"/>
      <c r="G17" s="44"/>
      <c r="H17" s="39" t="s">
        <v>27</v>
      </c>
      <c r="I17" s="55"/>
      <c r="J17" s="40"/>
      <c r="K17" s="41"/>
    </row>
    <row r="18" spans="2:21" ht="17.25" customHeight="1" x14ac:dyDescent="0.35">
      <c r="B18" s="27" t="s">
        <v>28</v>
      </c>
      <c r="C18" s="2">
        <f>'Effort Analysis'!O5*C10</f>
        <v>1.2</v>
      </c>
      <c r="D18" s="38"/>
      <c r="E18" s="38"/>
      <c r="F18" s="38"/>
      <c r="G18" s="44"/>
      <c r="H18" s="39" t="s">
        <v>29</v>
      </c>
      <c r="I18" s="55"/>
      <c r="J18" s="40"/>
      <c r="K18" s="41"/>
    </row>
    <row r="19" spans="2:21" ht="31.5" thickBot="1" x14ac:dyDescent="0.4">
      <c r="B19" s="28" t="s">
        <v>30</v>
      </c>
      <c r="C19" s="29">
        <f>SUM(C17:C18)</f>
        <v>1.2</v>
      </c>
      <c r="D19" s="38"/>
      <c r="E19" s="38"/>
      <c r="F19" s="38"/>
      <c r="G19" s="38"/>
      <c r="H19" s="39" t="s">
        <v>23</v>
      </c>
      <c r="I19" s="54"/>
      <c r="J19" s="40"/>
      <c r="K19" s="41"/>
    </row>
    <row r="20" spans="2:21" ht="16" thickBot="1" x14ac:dyDescent="0.4">
      <c r="B20" s="48"/>
      <c r="C20" s="48"/>
      <c r="D20" s="38"/>
      <c r="E20" s="38"/>
      <c r="F20" s="38"/>
      <c r="G20" s="38"/>
      <c r="H20" s="39"/>
      <c r="I20" s="54"/>
      <c r="J20" s="40"/>
      <c r="K20" s="41"/>
    </row>
    <row r="21" spans="2:21" ht="30" customHeight="1" thickBot="1" x14ac:dyDescent="0.4">
      <c r="B21" s="156" t="s">
        <v>31</v>
      </c>
      <c r="C21" s="157"/>
      <c r="D21" s="38"/>
      <c r="E21" s="38"/>
      <c r="F21" s="38"/>
      <c r="G21" s="38"/>
      <c r="H21" s="39"/>
      <c r="I21" s="54"/>
      <c r="J21" s="40"/>
      <c r="K21" s="41"/>
    </row>
    <row r="22" spans="2:21" ht="16" thickBot="1" x14ac:dyDescent="0.4">
      <c r="B22" s="49" t="s">
        <v>88</v>
      </c>
      <c r="C22" s="79"/>
      <c r="D22" s="38"/>
      <c r="E22" s="38"/>
      <c r="F22" s="38"/>
      <c r="G22" s="38"/>
      <c r="H22" s="39"/>
      <c r="I22" s="54"/>
      <c r="J22" s="40"/>
      <c r="K22" s="41"/>
    </row>
    <row r="23" spans="2:21" ht="16" thickBot="1" x14ac:dyDescent="0.4">
      <c r="B23" s="49" t="s">
        <v>32</v>
      </c>
      <c r="C23" s="64"/>
      <c r="D23" s="38"/>
      <c r="E23" s="38"/>
      <c r="F23" s="38"/>
      <c r="G23" s="38"/>
      <c r="H23" s="39"/>
      <c r="I23" s="54"/>
      <c r="J23" s="40"/>
      <c r="K23" s="41"/>
    </row>
    <row r="24" spans="2:21" ht="16" thickBot="1" x14ac:dyDescent="0.4">
      <c r="B24" s="49" t="s">
        <v>87</v>
      </c>
      <c r="C24" s="50">
        <f>C22*1.33*C23</f>
        <v>0</v>
      </c>
      <c r="D24" s="38"/>
      <c r="E24" s="38"/>
      <c r="F24" s="38"/>
      <c r="G24" s="38"/>
      <c r="H24" s="39"/>
      <c r="I24" s="54"/>
      <c r="J24" s="40"/>
      <c r="K24" s="41"/>
    </row>
    <row r="25" spans="2:21" x14ac:dyDescent="0.35">
      <c r="B25" s="22"/>
      <c r="C25" s="22"/>
      <c r="D25" s="38"/>
      <c r="E25" s="38"/>
      <c r="F25" s="38"/>
      <c r="G25" s="41"/>
      <c r="H25" s="42"/>
      <c r="I25" s="43"/>
      <c r="J25" s="41"/>
      <c r="K25" s="41"/>
    </row>
    <row r="26" spans="2:21" ht="16" hidden="1" thickBot="1" x14ac:dyDescent="0.4">
      <c r="B26" s="47" t="s">
        <v>33</v>
      </c>
      <c r="C26" s="22"/>
      <c r="D26" s="38"/>
      <c r="E26" s="38"/>
      <c r="F26" s="38"/>
      <c r="G26" s="41"/>
      <c r="H26" s="42"/>
      <c r="I26" s="43"/>
      <c r="J26" s="41"/>
      <c r="K26" s="41"/>
    </row>
    <row r="27" spans="2:21" ht="47" hidden="1" thickBot="1" x14ac:dyDescent="0.4">
      <c r="B27" s="22"/>
      <c r="C27" s="31" t="s">
        <v>34</v>
      </c>
      <c r="D27" s="65" t="s">
        <v>28</v>
      </c>
      <c r="E27" s="57" t="s">
        <v>35</v>
      </c>
      <c r="F27" s="57" t="s">
        <v>36</v>
      </c>
      <c r="G27" s="13" t="s">
        <v>37</v>
      </c>
      <c r="H27" s="57" t="s">
        <v>38</v>
      </c>
      <c r="I27" s="57" t="s">
        <v>39</v>
      </c>
      <c r="J27" s="57" t="s">
        <v>65</v>
      </c>
      <c r="K27" s="57" t="s">
        <v>66</v>
      </c>
      <c r="L27" s="57" t="s">
        <v>67</v>
      </c>
      <c r="M27" s="57" t="s">
        <v>68</v>
      </c>
      <c r="N27" s="57" t="s">
        <v>40</v>
      </c>
      <c r="O27" s="32" t="s">
        <v>41</v>
      </c>
    </row>
    <row r="28" spans="2:21" ht="16" hidden="1" thickBot="1" x14ac:dyDescent="0.4">
      <c r="B28" s="38"/>
      <c r="C28" s="68" t="s">
        <v>42</v>
      </c>
      <c r="D28" s="69" t="str">
        <f>D36</f>
        <v>Smoke Execution</v>
      </c>
      <c r="E28" s="15">
        <f t="shared" ref="E28:O28" si="0">E36</f>
        <v>12</v>
      </c>
      <c r="F28" s="70">
        <f t="shared" si="0"/>
        <v>0</v>
      </c>
      <c r="G28" s="15">
        <f t="shared" si="0"/>
        <v>1.2</v>
      </c>
      <c r="H28" s="71">
        <f t="shared" si="0"/>
        <v>10.8</v>
      </c>
      <c r="I28" s="72">
        <f t="shared" si="0"/>
        <v>0.9</v>
      </c>
      <c r="J28" s="95">
        <f t="shared" si="0"/>
        <v>262.5</v>
      </c>
      <c r="K28" s="95">
        <f t="shared" si="0"/>
        <v>26.25</v>
      </c>
      <c r="L28" s="95">
        <f t="shared" si="0"/>
        <v>0</v>
      </c>
      <c r="M28" s="95">
        <f t="shared" si="0"/>
        <v>26.25</v>
      </c>
      <c r="N28" s="98">
        <f t="shared" si="0"/>
        <v>236.25</v>
      </c>
      <c r="O28" s="73">
        <f t="shared" si="0"/>
        <v>9</v>
      </c>
      <c r="S28" s="22"/>
      <c r="T28" s="22"/>
      <c r="U28" s="22"/>
    </row>
    <row r="29" spans="2:21" ht="16" hidden="1" thickBot="1" x14ac:dyDescent="0.4">
      <c r="B29" s="38"/>
      <c r="C29" s="110">
        <v>2023</v>
      </c>
      <c r="D29" s="111" t="str">
        <f>D39</f>
        <v>Smoke Execution</v>
      </c>
      <c r="E29" s="111">
        <f>E39</f>
        <v>48</v>
      </c>
      <c r="F29" s="112">
        <f>SUM(F35:F39)</f>
        <v>0</v>
      </c>
      <c r="G29" s="113">
        <f t="shared" ref="G29:O29" si="1">G39</f>
        <v>4.8</v>
      </c>
      <c r="H29" s="113">
        <f t="shared" si="1"/>
        <v>43.2</v>
      </c>
      <c r="I29" s="114">
        <f t="shared" si="1"/>
        <v>0.9</v>
      </c>
      <c r="J29" s="115">
        <f t="shared" si="1"/>
        <v>1050</v>
      </c>
      <c r="K29" s="115">
        <f t="shared" si="1"/>
        <v>105</v>
      </c>
      <c r="L29" s="115">
        <f t="shared" si="1"/>
        <v>0</v>
      </c>
      <c r="M29" s="115">
        <f t="shared" si="1"/>
        <v>105</v>
      </c>
      <c r="N29" s="116">
        <f t="shared" si="1"/>
        <v>945</v>
      </c>
      <c r="O29" s="117">
        <f t="shared" si="1"/>
        <v>9</v>
      </c>
      <c r="S29" s="22"/>
      <c r="T29" s="22"/>
      <c r="U29" s="22"/>
    </row>
    <row r="30" spans="2:21" hidden="1" x14ac:dyDescent="0.35">
      <c r="B30" s="38"/>
      <c r="C30" s="68" t="e">
        <f>#REF!</f>
        <v>#REF!</v>
      </c>
      <c r="D30" s="104" t="e">
        <f>#REF!</f>
        <v>#REF!</v>
      </c>
      <c r="E30" s="15" t="e">
        <f>#REF!</f>
        <v>#REF!</v>
      </c>
      <c r="F30" s="70">
        <f>SUM(F40:F43)</f>
        <v>0</v>
      </c>
      <c r="G30" s="15" t="e">
        <f>#REF!</f>
        <v>#REF!</v>
      </c>
      <c r="H30" s="71" t="e">
        <f>#REF!</f>
        <v>#REF!</v>
      </c>
      <c r="I30" s="72" t="e">
        <f>#REF!</f>
        <v>#REF!</v>
      </c>
      <c r="J30" s="95" t="e">
        <f>#REF!</f>
        <v>#REF!</v>
      </c>
      <c r="K30" s="95" t="e">
        <f>#REF!</f>
        <v>#REF!</v>
      </c>
      <c r="L30" s="95" t="e">
        <f>#REF!</f>
        <v>#REF!</v>
      </c>
      <c r="M30" s="95" t="e">
        <f>#REF!</f>
        <v>#REF!</v>
      </c>
      <c r="N30" s="98" t="e">
        <f>#REF!</f>
        <v>#REF!</v>
      </c>
      <c r="O30" s="73" t="e">
        <f>#REF!</f>
        <v>#REF!</v>
      </c>
      <c r="S30" s="22"/>
      <c r="T30" s="22"/>
      <c r="U30" s="22"/>
    </row>
    <row r="31" spans="2:21" x14ac:dyDescent="0.35">
      <c r="B31" s="38"/>
      <c r="C31" s="22"/>
      <c r="D31" s="38"/>
      <c r="E31" s="38"/>
      <c r="F31" s="38"/>
      <c r="G31" s="41"/>
      <c r="H31" s="42"/>
      <c r="I31" s="43"/>
      <c r="J31" s="41"/>
      <c r="K31" s="41"/>
    </row>
    <row r="32" spans="2:21" x14ac:dyDescent="0.35">
      <c r="B32" s="22"/>
      <c r="C32" s="22"/>
      <c r="D32" s="38"/>
      <c r="E32" s="38"/>
      <c r="F32" s="38"/>
      <c r="G32" s="41"/>
      <c r="H32" s="42"/>
      <c r="I32" s="43"/>
      <c r="J32" s="41"/>
      <c r="K32" s="41"/>
    </row>
    <row r="33" spans="1:21" ht="16" thickBot="1" x14ac:dyDescent="0.4">
      <c r="B33" s="22"/>
      <c r="C33" s="22"/>
      <c r="D33" s="38"/>
      <c r="E33" s="38"/>
      <c r="F33" s="38"/>
      <c r="G33" s="41"/>
      <c r="H33" s="42"/>
      <c r="I33" s="43"/>
      <c r="J33" s="41"/>
      <c r="K33" s="41"/>
    </row>
    <row r="34" spans="1:21" ht="16" thickBot="1" x14ac:dyDescent="0.4">
      <c r="A34" s="18"/>
      <c r="B34" s="47" t="s">
        <v>43</v>
      </c>
      <c r="C34" s="22"/>
      <c r="D34" s="38"/>
      <c r="E34" s="38"/>
      <c r="F34" s="38"/>
      <c r="H34" s="23"/>
      <c r="I34" s="24"/>
    </row>
    <row r="35" spans="1:21" ht="61.5" customHeight="1" thickBot="1" x14ac:dyDescent="0.4">
      <c r="B35" s="11" t="s">
        <v>44</v>
      </c>
      <c r="C35" s="12" t="s">
        <v>34</v>
      </c>
      <c r="D35" s="12" t="s">
        <v>28</v>
      </c>
      <c r="E35" s="13" t="s">
        <v>35</v>
      </c>
      <c r="F35" s="13" t="s">
        <v>36</v>
      </c>
      <c r="G35" s="13" t="s">
        <v>37</v>
      </c>
      <c r="H35" s="13" t="s">
        <v>38</v>
      </c>
      <c r="I35" s="13" t="s">
        <v>39</v>
      </c>
      <c r="J35" s="13" t="s">
        <v>114</v>
      </c>
      <c r="K35" s="13" t="s">
        <v>115</v>
      </c>
      <c r="L35" s="13" t="s">
        <v>116</v>
      </c>
      <c r="M35" s="13" t="s">
        <v>117</v>
      </c>
      <c r="N35" s="13" t="s">
        <v>40</v>
      </c>
      <c r="O35" s="14" t="s">
        <v>41</v>
      </c>
    </row>
    <row r="36" spans="1:21" x14ac:dyDescent="0.35">
      <c r="B36" s="67">
        <v>1</v>
      </c>
      <c r="C36" s="67">
        <v>2025</v>
      </c>
      <c r="D36" s="16" t="s">
        <v>111</v>
      </c>
      <c r="E36" s="16">
        <f>C14</f>
        <v>12</v>
      </c>
      <c r="F36" s="16">
        <v>0</v>
      </c>
      <c r="G36" s="16">
        <f>C19+F36</f>
        <v>1.2</v>
      </c>
      <c r="H36" s="25">
        <f t="shared" ref="H36:H43" si="2">E36-G36</f>
        <v>10.8</v>
      </c>
      <c r="I36" s="33">
        <f>H36/E36</f>
        <v>0.9</v>
      </c>
      <c r="J36" s="172">
        <f t="shared" ref="J36:J43" si="3">E36*C$7*D$7*E$7+E36*C$8*D$8*E$8</f>
        <v>262.5</v>
      </c>
      <c r="K36" s="172">
        <f>G36*C$7*D$7*E$7+G36*C$8*D$8*E$8</f>
        <v>26.25</v>
      </c>
      <c r="L36" s="172">
        <f>$C$24*1</f>
        <v>0</v>
      </c>
      <c r="M36" s="172">
        <f t="shared" ref="M36" si="4">L36+K36</f>
        <v>26.25</v>
      </c>
      <c r="N36" s="172">
        <f t="shared" ref="N36:N43" si="5">J36-(K36+L36)</f>
        <v>236.25</v>
      </c>
      <c r="O36" s="73">
        <f>N36/(K36+L36)</f>
        <v>9</v>
      </c>
      <c r="S36" s="22"/>
      <c r="T36" s="22"/>
      <c r="U36" s="22"/>
    </row>
    <row r="37" spans="1:21" x14ac:dyDescent="0.35">
      <c r="B37" s="67">
        <v>2</v>
      </c>
      <c r="C37" s="67">
        <v>2025</v>
      </c>
      <c r="D37" s="16" t="s">
        <v>111</v>
      </c>
      <c r="E37" s="16">
        <f t="shared" ref="E37:E43" si="6">E36+$C$14</f>
        <v>24</v>
      </c>
      <c r="F37" s="16">
        <v>0</v>
      </c>
      <c r="G37" s="16">
        <f t="shared" ref="G37:G43" si="7">G36+$C$18+F37</f>
        <v>2.4</v>
      </c>
      <c r="H37" s="25">
        <f t="shared" si="2"/>
        <v>21.6</v>
      </c>
      <c r="I37" s="33">
        <f t="shared" ref="I37:I43" si="8">H37/E37</f>
        <v>0.9</v>
      </c>
      <c r="J37" s="173">
        <f t="shared" si="3"/>
        <v>525</v>
      </c>
      <c r="K37" s="174">
        <f t="shared" ref="K37:K43" si="9">G37*C$7*D$7*E$7+G37*C$8*D$8*E$8</f>
        <v>52.5</v>
      </c>
      <c r="L37" s="174">
        <f t="shared" ref="L37:L43" si="10">$C$24*1</f>
        <v>0</v>
      </c>
      <c r="M37" s="174">
        <f>L37+K37</f>
        <v>52.5</v>
      </c>
      <c r="N37" s="174">
        <f t="shared" si="5"/>
        <v>472.5</v>
      </c>
      <c r="O37" s="36">
        <f t="shared" ref="O37:O43" si="11">N37/(K37+L37)</f>
        <v>9</v>
      </c>
      <c r="S37" s="22"/>
      <c r="T37" s="22"/>
      <c r="U37" s="22"/>
    </row>
    <row r="38" spans="1:21" x14ac:dyDescent="0.35">
      <c r="B38" s="67">
        <v>3</v>
      </c>
      <c r="C38" s="67">
        <v>2025</v>
      </c>
      <c r="D38" s="16" t="s">
        <v>111</v>
      </c>
      <c r="E38" s="16">
        <f t="shared" si="6"/>
        <v>36</v>
      </c>
      <c r="F38" s="16">
        <v>0</v>
      </c>
      <c r="G38" s="16">
        <f t="shared" si="7"/>
        <v>3.5999999999999996</v>
      </c>
      <c r="H38" s="25">
        <f t="shared" si="2"/>
        <v>32.4</v>
      </c>
      <c r="I38" s="33">
        <f t="shared" si="8"/>
        <v>0.89999999999999991</v>
      </c>
      <c r="J38" s="174">
        <f t="shared" si="3"/>
        <v>787.5</v>
      </c>
      <c r="K38" s="174">
        <f t="shared" si="9"/>
        <v>78.749999999999986</v>
      </c>
      <c r="L38" s="174">
        <f t="shared" si="10"/>
        <v>0</v>
      </c>
      <c r="M38" s="174">
        <f t="shared" ref="M38:M43" si="12">L38+K38</f>
        <v>78.749999999999986</v>
      </c>
      <c r="N38" s="174">
        <f t="shared" si="5"/>
        <v>708.75</v>
      </c>
      <c r="O38" s="36">
        <f t="shared" si="11"/>
        <v>9.0000000000000018</v>
      </c>
      <c r="S38" s="22"/>
      <c r="T38" s="22"/>
      <c r="U38" s="22"/>
    </row>
    <row r="39" spans="1:21" x14ac:dyDescent="0.35">
      <c r="B39" s="67">
        <v>4</v>
      </c>
      <c r="C39" s="67">
        <v>2025</v>
      </c>
      <c r="D39" s="16" t="s">
        <v>111</v>
      </c>
      <c r="E39" s="16">
        <f t="shared" si="6"/>
        <v>48</v>
      </c>
      <c r="F39" s="16">
        <v>0</v>
      </c>
      <c r="G39" s="16">
        <f t="shared" si="7"/>
        <v>4.8</v>
      </c>
      <c r="H39" s="25">
        <f t="shared" si="2"/>
        <v>43.2</v>
      </c>
      <c r="I39" s="33">
        <f t="shared" si="8"/>
        <v>0.9</v>
      </c>
      <c r="J39" s="174">
        <f t="shared" si="3"/>
        <v>1050</v>
      </c>
      <c r="K39" s="174">
        <f t="shared" si="9"/>
        <v>105</v>
      </c>
      <c r="L39" s="174">
        <f t="shared" si="10"/>
        <v>0</v>
      </c>
      <c r="M39" s="174">
        <f t="shared" si="12"/>
        <v>105</v>
      </c>
      <c r="N39" s="174">
        <f t="shared" si="5"/>
        <v>945</v>
      </c>
      <c r="O39" s="36">
        <f t="shared" si="11"/>
        <v>9</v>
      </c>
      <c r="P39" s="22"/>
      <c r="Q39" s="22"/>
      <c r="R39" s="22"/>
      <c r="S39" s="22"/>
      <c r="T39" s="22"/>
      <c r="U39" s="22"/>
    </row>
    <row r="40" spans="1:21" x14ac:dyDescent="0.35">
      <c r="B40" s="67">
        <v>5</v>
      </c>
      <c r="C40" s="67">
        <v>2025</v>
      </c>
      <c r="D40" s="16" t="s">
        <v>111</v>
      </c>
      <c r="E40" s="16">
        <f t="shared" si="6"/>
        <v>60</v>
      </c>
      <c r="F40" s="16">
        <v>0</v>
      </c>
      <c r="G40" s="16">
        <f t="shared" si="7"/>
        <v>6</v>
      </c>
      <c r="H40" s="25">
        <f t="shared" si="2"/>
        <v>54</v>
      </c>
      <c r="I40" s="33">
        <f t="shared" si="8"/>
        <v>0.9</v>
      </c>
      <c r="J40" s="174">
        <f t="shared" si="3"/>
        <v>1312.5</v>
      </c>
      <c r="K40" s="174">
        <f t="shared" si="9"/>
        <v>131.25</v>
      </c>
      <c r="L40" s="174">
        <f t="shared" si="10"/>
        <v>0</v>
      </c>
      <c r="M40" s="174">
        <f t="shared" si="12"/>
        <v>131.25</v>
      </c>
      <c r="N40" s="175">
        <f t="shared" si="5"/>
        <v>1181.25</v>
      </c>
      <c r="O40" s="36">
        <f t="shared" si="11"/>
        <v>9</v>
      </c>
      <c r="P40" s="22"/>
      <c r="Q40" s="22"/>
      <c r="R40" s="22"/>
      <c r="S40" s="22"/>
      <c r="T40" s="22"/>
      <c r="U40" s="22"/>
    </row>
    <row r="41" spans="1:21" x14ac:dyDescent="0.35">
      <c r="B41" s="67">
        <v>6</v>
      </c>
      <c r="C41" s="67">
        <v>2025</v>
      </c>
      <c r="D41" s="16" t="s">
        <v>111</v>
      </c>
      <c r="E41" s="16">
        <f t="shared" si="6"/>
        <v>72</v>
      </c>
      <c r="F41" s="16">
        <v>0</v>
      </c>
      <c r="G41" s="16">
        <f t="shared" si="7"/>
        <v>7.2</v>
      </c>
      <c r="H41" s="25">
        <f t="shared" si="2"/>
        <v>64.8</v>
      </c>
      <c r="I41" s="33">
        <f t="shared" si="8"/>
        <v>0.89999999999999991</v>
      </c>
      <c r="J41" s="174">
        <f t="shared" si="3"/>
        <v>1575</v>
      </c>
      <c r="K41" s="174">
        <f t="shared" si="9"/>
        <v>157.5</v>
      </c>
      <c r="L41" s="174">
        <f t="shared" si="10"/>
        <v>0</v>
      </c>
      <c r="M41" s="174">
        <f t="shared" si="12"/>
        <v>157.5</v>
      </c>
      <c r="N41" s="174">
        <f t="shared" si="5"/>
        <v>1417.5</v>
      </c>
      <c r="O41" s="36">
        <f t="shared" si="11"/>
        <v>9</v>
      </c>
    </row>
    <row r="42" spans="1:21" x14ac:dyDescent="0.35">
      <c r="B42" s="67">
        <v>7</v>
      </c>
      <c r="C42" s="67">
        <v>2025</v>
      </c>
      <c r="D42" s="16" t="s">
        <v>111</v>
      </c>
      <c r="E42" s="16">
        <f t="shared" si="6"/>
        <v>84</v>
      </c>
      <c r="F42" s="16">
        <v>0</v>
      </c>
      <c r="G42" s="16">
        <f t="shared" si="7"/>
        <v>8.4</v>
      </c>
      <c r="H42" s="25">
        <f t="shared" si="2"/>
        <v>75.599999999999994</v>
      </c>
      <c r="I42" s="33">
        <f t="shared" si="8"/>
        <v>0.89999999999999991</v>
      </c>
      <c r="J42" s="174">
        <f t="shared" si="3"/>
        <v>1837.5</v>
      </c>
      <c r="K42" s="174">
        <f t="shared" si="9"/>
        <v>183.75</v>
      </c>
      <c r="L42" s="174">
        <f t="shared" si="10"/>
        <v>0</v>
      </c>
      <c r="M42" s="174">
        <f t="shared" si="12"/>
        <v>183.75</v>
      </c>
      <c r="N42" s="174">
        <f t="shared" si="5"/>
        <v>1653.75</v>
      </c>
      <c r="O42" s="36">
        <f t="shared" si="11"/>
        <v>9</v>
      </c>
    </row>
    <row r="43" spans="1:21" x14ac:dyDescent="0.35">
      <c r="B43" s="34">
        <v>8</v>
      </c>
      <c r="C43" s="67">
        <v>2025</v>
      </c>
      <c r="D43" s="16" t="s">
        <v>111</v>
      </c>
      <c r="E43" s="16">
        <f t="shared" si="6"/>
        <v>96</v>
      </c>
      <c r="F43" s="16">
        <v>0</v>
      </c>
      <c r="G43" s="16">
        <f t="shared" si="7"/>
        <v>9.6</v>
      </c>
      <c r="H43" s="25">
        <f t="shared" si="2"/>
        <v>86.4</v>
      </c>
      <c r="I43" s="33">
        <f t="shared" si="8"/>
        <v>0.9</v>
      </c>
      <c r="J43" s="174">
        <f t="shared" si="3"/>
        <v>2100</v>
      </c>
      <c r="K43" s="174">
        <f t="shared" si="9"/>
        <v>210</v>
      </c>
      <c r="L43" s="174">
        <f t="shared" si="10"/>
        <v>0</v>
      </c>
      <c r="M43" s="174">
        <f t="shared" si="12"/>
        <v>210</v>
      </c>
      <c r="N43" s="174">
        <f t="shared" si="5"/>
        <v>1890</v>
      </c>
      <c r="O43" s="36">
        <f t="shared" si="11"/>
        <v>9</v>
      </c>
    </row>
  </sheetData>
  <mergeCells count="5">
    <mergeCell ref="B2:E2"/>
    <mergeCell ref="B9:E9"/>
    <mergeCell ref="B12:C12"/>
    <mergeCell ref="B16:C16"/>
    <mergeCell ref="B21:C2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"/>
  <sheetViews>
    <sheetView zoomScale="90" zoomScaleNormal="90" workbookViewId="0">
      <selection activeCell="I8" sqref="I8"/>
    </sheetView>
  </sheetViews>
  <sheetFormatPr defaultRowHeight="14.5" x14ac:dyDescent="0.35"/>
  <cols>
    <col min="1" max="1" width="9.1796875" style="4"/>
    <col min="2" max="2" width="21.1796875" style="4" bestFit="1" customWidth="1"/>
    <col min="3" max="3" width="23.26953125" style="4" customWidth="1"/>
    <col min="4" max="4" width="21.453125" style="4" customWidth="1"/>
    <col min="5" max="5" width="18.7265625" style="4" customWidth="1"/>
    <col min="6" max="6" width="18.453125" style="4" customWidth="1"/>
    <col min="7" max="7" width="16" style="4" customWidth="1"/>
    <col min="8" max="8" width="17.453125" style="4" customWidth="1"/>
    <col min="9" max="9" width="23.1796875" style="4" bestFit="1" customWidth="1"/>
    <col min="10" max="10" width="17.453125" style="4" customWidth="1"/>
    <col min="11" max="11" width="19.453125" style="4" customWidth="1"/>
    <col min="12" max="12" width="8.1796875" style="4" customWidth="1"/>
    <col min="13" max="13" width="8" style="4" bestFit="1" customWidth="1"/>
    <col min="14" max="14" width="8.26953125" style="4" bestFit="1" customWidth="1"/>
    <col min="15" max="15" width="14.81640625" style="4" customWidth="1"/>
    <col min="16" max="18" width="19" customWidth="1"/>
    <col min="21" max="21" width="17.1796875" customWidth="1"/>
    <col min="22" max="22" width="23.08984375" customWidth="1"/>
  </cols>
  <sheetData>
    <row r="1" spans="1:22" ht="28.5" x14ac:dyDescent="0.65">
      <c r="A1" s="164" t="s">
        <v>45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U1" s="158" t="s">
        <v>127</v>
      </c>
      <c r="V1" s="158"/>
    </row>
    <row r="2" spans="1:22" s="9" customFormat="1" ht="37" customHeight="1" x14ac:dyDescent="0.35">
      <c r="A2" s="158" t="s">
        <v>46</v>
      </c>
      <c r="B2" s="158" t="s">
        <v>2</v>
      </c>
      <c r="C2" s="158" t="s">
        <v>6</v>
      </c>
      <c r="D2" s="158" t="s">
        <v>47</v>
      </c>
      <c r="E2" s="158" t="s">
        <v>13</v>
      </c>
      <c r="F2" s="158" t="s">
        <v>14</v>
      </c>
      <c r="G2" s="158" t="s">
        <v>48</v>
      </c>
      <c r="H2" s="165" t="s">
        <v>49</v>
      </c>
      <c r="I2" s="165"/>
      <c r="J2" s="165"/>
      <c r="K2" s="158" t="s">
        <v>50</v>
      </c>
      <c r="L2" s="158" t="s">
        <v>51</v>
      </c>
      <c r="M2" s="158"/>
      <c r="N2" s="158"/>
      <c r="O2" s="158" t="s">
        <v>52</v>
      </c>
      <c r="P2" s="158" t="s">
        <v>126</v>
      </c>
      <c r="Q2" s="183"/>
      <c r="R2" s="183"/>
      <c r="U2" s="94" t="s">
        <v>53</v>
      </c>
      <c r="V2" s="159">
        <v>3</v>
      </c>
    </row>
    <row r="3" spans="1:22" s="10" customFormat="1" ht="21.75" customHeight="1" x14ac:dyDescent="0.35">
      <c r="A3" s="158"/>
      <c r="B3" s="158"/>
      <c r="C3" s="158"/>
      <c r="D3" s="158"/>
      <c r="E3" s="158"/>
      <c r="F3" s="158"/>
      <c r="G3" s="158"/>
      <c r="H3" s="94" t="s">
        <v>53</v>
      </c>
      <c r="I3" s="94" t="s">
        <v>54</v>
      </c>
      <c r="J3" s="94" t="s">
        <v>55</v>
      </c>
      <c r="K3" s="158"/>
      <c r="L3" s="94" t="s">
        <v>53</v>
      </c>
      <c r="M3" s="94" t="s">
        <v>54</v>
      </c>
      <c r="N3" s="94" t="s">
        <v>55</v>
      </c>
      <c r="O3" s="158"/>
      <c r="P3" s="158"/>
      <c r="Q3" s="183"/>
      <c r="R3" s="183"/>
      <c r="U3" s="94" t="s">
        <v>54</v>
      </c>
      <c r="V3" s="159">
        <v>2</v>
      </c>
    </row>
    <row r="4" spans="1:22" s="9" customFormat="1" ht="35.15" customHeight="1" x14ac:dyDescent="0.35">
      <c r="A4" s="5">
        <v>1</v>
      </c>
      <c r="B4" s="6" t="s">
        <v>128</v>
      </c>
      <c r="C4" s="6">
        <v>80</v>
      </c>
      <c r="D4" s="6">
        <f>C4*0.9</f>
        <v>72</v>
      </c>
      <c r="E4" s="7">
        <v>24</v>
      </c>
      <c r="F4" s="6">
        <f>D4-E4</f>
        <v>48</v>
      </c>
      <c r="G4" s="171">
        <f>C4/10</f>
        <v>8</v>
      </c>
      <c r="H4" s="8">
        <f>D4*0.2</f>
        <v>14.4</v>
      </c>
      <c r="I4" s="8">
        <f>D4*0.3</f>
        <v>21.599999999999998</v>
      </c>
      <c r="J4" s="8">
        <f>D4*0.5</f>
        <v>36</v>
      </c>
      <c r="K4" s="8">
        <f>(H4/$V$2)+(I4/$V$3)+(J4/$V$4)</f>
        <v>39.599999999999994</v>
      </c>
      <c r="L4" s="6">
        <v>100</v>
      </c>
      <c r="M4" s="6">
        <v>80</v>
      </c>
      <c r="N4" s="6">
        <v>60</v>
      </c>
      <c r="O4" s="160">
        <f>(H4/L4)+(I4/M4)+(J4/N4)</f>
        <v>1.014</v>
      </c>
      <c r="P4" s="167">
        <f>G4-O4</f>
        <v>6.9859999999999998</v>
      </c>
      <c r="Q4" s="184"/>
      <c r="R4" s="184"/>
      <c r="U4" s="94" t="s">
        <v>55</v>
      </c>
      <c r="V4" s="159">
        <v>1.5</v>
      </c>
    </row>
    <row r="5" spans="1:22" x14ac:dyDescent="0.35">
      <c r="A5" s="5">
        <v>2</v>
      </c>
      <c r="B5" s="166" t="s">
        <v>111</v>
      </c>
      <c r="C5" s="6">
        <v>15</v>
      </c>
      <c r="D5" s="6">
        <v>15</v>
      </c>
      <c r="E5" s="7">
        <v>15</v>
      </c>
      <c r="F5" s="6">
        <f>D5-E5</f>
        <v>0</v>
      </c>
      <c r="G5" s="171">
        <f>C5/10</f>
        <v>1.5</v>
      </c>
      <c r="H5" s="8">
        <v>15</v>
      </c>
      <c r="I5" s="8">
        <v>0</v>
      </c>
      <c r="J5" s="8">
        <v>0</v>
      </c>
      <c r="K5" s="163">
        <v>0</v>
      </c>
      <c r="L5" s="6">
        <v>100</v>
      </c>
      <c r="M5" s="6">
        <v>80</v>
      </c>
      <c r="N5" s="6">
        <v>60</v>
      </c>
      <c r="O5" s="185">
        <f>(H5/L5)+(I5/M5)+(J5/N5)</f>
        <v>0.15</v>
      </c>
      <c r="P5" s="167">
        <f>G5-O5</f>
        <v>1.35</v>
      </c>
      <c r="Q5" s="184"/>
      <c r="R5" s="184"/>
    </row>
  </sheetData>
  <mergeCells count="14">
    <mergeCell ref="U1:V1"/>
    <mergeCell ref="P2:P3"/>
    <mergeCell ref="F2:F3"/>
    <mergeCell ref="G2:G3"/>
    <mergeCell ref="A1:O1"/>
    <mergeCell ref="H2:J2"/>
    <mergeCell ref="K2:K3"/>
    <mergeCell ref="L2:N2"/>
    <mergeCell ref="O2:O3"/>
    <mergeCell ref="A2:A3"/>
    <mergeCell ref="B2:B3"/>
    <mergeCell ref="C2:C3"/>
    <mergeCell ref="D2:D3"/>
    <mergeCell ref="E2:E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9"/>
  <sheetViews>
    <sheetView workbookViewId="0">
      <selection activeCell="C3" sqref="C3"/>
    </sheetView>
  </sheetViews>
  <sheetFormatPr defaultRowHeight="14.5" x14ac:dyDescent="0.35"/>
  <cols>
    <col min="1" max="1" width="2.7265625" customWidth="1"/>
    <col min="2" max="2" width="11.26953125" customWidth="1"/>
    <col min="3" max="3" width="148.7265625" customWidth="1"/>
  </cols>
  <sheetData>
    <row r="2" spans="2:3" ht="18.5" x14ac:dyDescent="0.35">
      <c r="B2" s="74" t="s">
        <v>56</v>
      </c>
      <c r="C2" s="74" t="s">
        <v>57</v>
      </c>
    </row>
    <row r="3" spans="2:3" ht="15.5" x14ac:dyDescent="0.35">
      <c r="B3" s="45">
        <v>1</v>
      </c>
      <c r="C3" s="80" t="s">
        <v>58</v>
      </c>
    </row>
    <row r="4" spans="2:3" ht="15.5" x14ac:dyDescent="0.35">
      <c r="B4" s="45">
        <v>2</v>
      </c>
      <c r="C4" s="80" t="s">
        <v>59</v>
      </c>
    </row>
    <row r="5" spans="2:3" ht="15.5" x14ac:dyDescent="0.35">
      <c r="B5" s="45">
        <v>3</v>
      </c>
      <c r="C5" s="80" t="s">
        <v>60</v>
      </c>
    </row>
    <row r="6" spans="2:3" ht="15.5" x14ac:dyDescent="0.35">
      <c r="B6" s="45">
        <v>4</v>
      </c>
      <c r="C6" s="80" t="s">
        <v>61</v>
      </c>
    </row>
    <row r="7" spans="2:3" ht="15.5" x14ac:dyDescent="0.35">
      <c r="B7" s="45">
        <v>5</v>
      </c>
      <c r="C7" s="80" t="s">
        <v>62</v>
      </c>
    </row>
    <row r="8" spans="2:3" ht="15.5" x14ac:dyDescent="0.35">
      <c r="B8" s="45">
        <v>6</v>
      </c>
      <c r="C8" s="80" t="s">
        <v>69</v>
      </c>
    </row>
    <row r="9" spans="2:3" ht="31" x14ac:dyDescent="0.35">
      <c r="B9" s="45">
        <v>7</v>
      </c>
      <c r="C9" s="80" t="s">
        <v>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589D0A6896C14881528B6621522DC4" ma:contentTypeVersion="16" ma:contentTypeDescription="Create a new document." ma:contentTypeScope="" ma:versionID="7d1c16cf0560e413c46ed2a2fd520981">
  <xsd:schema xmlns:xsd="http://www.w3.org/2001/XMLSchema" xmlns:xs="http://www.w3.org/2001/XMLSchema" xmlns:p="http://schemas.microsoft.com/office/2006/metadata/properties" xmlns:ns2="68c6e081-e9bf-4975-ace9-26d8d8988aeb" xmlns:ns3="f7c31f67-9274-4c40-95be-4be1ed551590" xmlns:ns4="3c35e321-f73a-4dae-ae38-a0459de24735" targetNamespace="http://schemas.microsoft.com/office/2006/metadata/properties" ma:root="true" ma:fieldsID="442ead3461c8d17989ae1bb798af322c" ns2:_="" ns3:_="" ns4:_="">
    <xsd:import namespace="68c6e081-e9bf-4975-ace9-26d8d8988aeb"/>
    <xsd:import namespace="f7c31f67-9274-4c40-95be-4be1ed551590"/>
    <xsd:import namespace="3c35e321-f73a-4dae-ae38-a0459de247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c6e081-e9bf-4975-ace9-26d8d8988a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3b7d1d5-7262-4eb7-85df-493a730aa6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31f67-9274-4c40-95be-4be1ed55159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5e321-f73a-4dae-ae38-a0459de2473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a8ab9dad-2949-44ea-80c9-136794d3e9a2}" ma:internalName="TaxCatchAll" ma:showField="CatchAllData" ma:web="f7c31f67-9274-4c40-95be-4be1ed5515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35e321-f73a-4dae-ae38-a0459de24735" xsi:nil="true"/>
    <lcf76f155ced4ddcb4097134ff3c332f xmlns="68c6e081-e9bf-4975-ace9-26d8d8988ae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ADC47CB-C47B-4985-B5C1-8C042B312C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10045A-394D-487D-93B3-CD09D0C412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c6e081-e9bf-4975-ace9-26d8d8988aeb"/>
    <ds:schemaRef ds:uri="f7c31f67-9274-4c40-95be-4be1ed551590"/>
    <ds:schemaRef ds:uri="3c35e321-f73a-4dae-ae38-a0459de247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473536-D447-4B63-84D1-8DAB78CED69B}">
  <ds:schemaRefs>
    <ds:schemaRef ds:uri="http://schemas.microsoft.com/office/2006/metadata/properties"/>
    <ds:schemaRef ds:uri="http://schemas.microsoft.com/office/infopath/2007/PartnerControls"/>
    <ds:schemaRef ds:uri="3c35e321-f73a-4dae-ae38-a0459de24735"/>
    <ds:schemaRef ds:uri="68c6e081-e9bf-4975-ace9-26d8d8988ae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ROI Summary</vt:lpstr>
      <vt:lpstr>ROI - Overall</vt:lpstr>
      <vt:lpstr>ROI - ClaimCenter</vt:lpstr>
      <vt:lpstr>ROI -Smoke Test</vt:lpstr>
      <vt:lpstr>Effort Analysis</vt:lpstr>
      <vt:lpstr>Assumptions_Dependencies</vt:lpstr>
    </vt:vector>
  </TitlesOfParts>
  <Manager/>
  <Company>Cognizant Technology Solutions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193669</dc:creator>
  <cp:keywords/>
  <dc:description/>
  <cp:lastModifiedBy>Pattabiraman, Arun (Cognizant)</cp:lastModifiedBy>
  <cp:revision/>
  <dcterms:created xsi:type="dcterms:W3CDTF">2012-04-24T06:47:31Z</dcterms:created>
  <dcterms:modified xsi:type="dcterms:W3CDTF">2024-12-06T07:24:13Z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0x0101008F589D0A6896C14881528B6621522DC4</vt:lpwstr>
  </property>
</Properties>
</file>