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showInkAnnotation="0"/>
  <mc:AlternateContent xmlns:mc="http://schemas.openxmlformats.org/markup-compatibility/2006">
    <mc:Choice Requires="x15">
      <x15ac:absPath xmlns:x15ac="http://schemas.microsoft.com/office/spreadsheetml/2010/11/ac" url="C:\Users\v-anasolanki\Desktop\Anant\Anant\"/>
    </mc:Choice>
  </mc:AlternateContent>
  <xr:revisionPtr revIDLastSave="0" documentId="13_ncr:1_{23703CEE-AF70-4328-84B9-EC6F1B241108}" xr6:coauthVersionLast="47" xr6:coauthVersionMax="47" xr10:uidLastSave="{00000000-0000-0000-0000-000000000000}"/>
  <bookViews>
    <workbookView xWindow="-110" yWindow="-110" windowWidth="17020" windowHeight="10000" tabRatio="709" activeTab="2" xr2:uid="{00000000-000D-0000-FFFF-FFFF00000000}"/>
  </bookViews>
  <sheets>
    <sheet name="Instruction" sheetId="6" r:id="rId1"/>
    <sheet name="Summary" sheetId="5" r:id="rId2"/>
    <sheet name="Base Salary Structure" sheetId="1" r:id="rId3"/>
    <sheet name="Table" sheetId="2" state="hidden" r:id="rId4"/>
    <sheet name="Cash -Calculator" sheetId="3" r:id="rId5"/>
    <sheet name="Income Tax-Calculator Old Regim" sheetId="4" r:id="rId6"/>
    <sheet name="Income Tax-Calculator New Resim" sheetId="12" r:id="rId7"/>
    <sheet name="version" sheetId="10" state="hidden" r:id="rId8"/>
  </sheets>
  <definedNames>
    <definedName name="_xlnm._FilterDatabase" localSheetId="3" hidden="1">Table!$J$6:$K$790</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1" l="1"/>
  <c r="G50" i="12"/>
  <c r="G35" i="12"/>
  <c r="G34" i="4"/>
  <c r="G35" i="4"/>
  <c r="G36" i="4"/>
  <c r="G20" i="12"/>
  <c r="G20" i="4"/>
  <c r="O16" i="4"/>
  <c r="G51" i="4"/>
  <c r="O53" i="12" l="1"/>
  <c r="N53" i="12"/>
  <c r="V54" i="4"/>
  <c r="U54" i="4"/>
  <c r="AL54" i="4"/>
  <c r="P53" i="12" l="1"/>
  <c r="W54" i="4"/>
  <c r="O12" i="4"/>
  <c r="C7" i="2"/>
  <c r="G18" i="12" l="1"/>
  <c r="G17" i="12"/>
  <c r="A14" i="12"/>
  <c r="A15" i="12" s="1"/>
  <c r="O12" i="12"/>
  <c r="Y10" i="12"/>
  <c r="A10" i="12"/>
  <c r="A11" i="12" s="1"/>
  <c r="Y8" i="12"/>
  <c r="Y9" i="12" s="1"/>
  <c r="P1" i="1" l="1"/>
  <c r="Z8" i="12" s="1"/>
  <c r="AA9" i="12" s="1"/>
  <c r="Y10" i="4" l="1"/>
  <c r="Y8" i="4" l="1"/>
  <c r="Z8" i="4"/>
  <c r="AA9" i="4" s="1"/>
  <c r="G18" i="4"/>
  <c r="G17" i="4"/>
  <c r="Y9" i="4" l="1"/>
  <c r="C12" i="2"/>
  <c r="C11" i="2"/>
  <c r="D26" i="2" l="1"/>
  <c r="C26" i="2"/>
  <c r="C20" i="2" l="1"/>
  <c r="G39" i="4" l="1"/>
  <c r="G32" i="4"/>
  <c r="C15" i="2"/>
  <c r="D15" i="2"/>
  <c r="C81" i="2"/>
  <c r="C82" i="2" s="1"/>
  <c r="C83" i="2" s="1"/>
  <c r="C84" i="2" s="1"/>
  <c r="C85" i="2" s="1"/>
  <c r="C86" i="2" s="1"/>
  <c r="C87" i="2" s="1"/>
  <c r="C88" i="2" s="1"/>
  <c r="G15" i="1"/>
  <c r="G13" i="3" s="1"/>
  <c r="C48" i="2"/>
  <c r="C49" i="2" s="1"/>
  <c r="C50" i="2" s="1"/>
  <c r="C51" i="2" s="1"/>
  <c r="C52" i="2" s="1"/>
  <c r="C53" i="2" s="1"/>
  <c r="C54" i="2" s="1"/>
  <c r="C55" i="2" s="1"/>
  <c r="C56" i="2" s="1"/>
  <c r="H13" i="3" l="1"/>
  <c r="A10" i="4"/>
  <c r="A11" i="4" s="1"/>
  <c r="A14" i="4" s="1"/>
  <c r="A15" i="4" s="1"/>
  <c r="G6" i="1"/>
  <c r="E9" i="1" s="1"/>
  <c r="E30" i="1" l="1"/>
  <c r="G30" i="1" s="1"/>
  <c r="G29" i="1" s="1"/>
  <c r="A7" i="3"/>
  <c r="A8" i="3" s="1"/>
  <c r="A13" i="1"/>
  <c r="G12" i="1" l="1"/>
  <c r="G7" i="3" s="1"/>
  <c r="H7" i="3" s="1"/>
  <c r="A14" i="3"/>
  <c r="A15" i="3" s="1"/>
  <c r="H15" i="1"/>
  <c r="E13" i="12" s="1"/>
  <c r="G13" i="12" s="1"/>
  <c r="A16" i="1"/>
  <c r="A17" i="1" s="1"/>
  <c r="C13" i="3"/>
  <c r="D13" i="3" s="1"/>
  <c r="E13" i="4" l="1"/>
  <c r="F13" i="4" s="1"/>
  <c r="G13" i="4" s="1"/>
  <c r="H12" i="1" l="1"/>
  <c r="E10" i="12" s="1"/>
  <c r="G10" i="12" s="1"/>
  <c r="C7" i="3"/>
  <c r="D7" i="3" s="1"/>
  <c r="E10" i="4" l="1"/>
  <c r="G10" i="4" s="1"/>
  <c r="F25" i="12" l="1"/>
  <c r="D31" i="12"/>
  <c r="G38" i="4" l="1"/>
  <c r="H30" i="1" l="1"/>
  <c r="H29" i="1" l="1"/>
  <c r="J28" i="1" s="1"/>
  <c r="G9" i="1" s="1"/>
  <c r="G23" i="1" l="1"/>
  <c r="H23" i="1" s="1"/>
  <c r="D25" i="3" s="1"/>
  <c r="H25" i="3" s="1"/>
  <c r="G20" i="1"/>
  <c r="H20" i="1" s="1"/>
  <c r="G16" i="1"/>
  <c r="H16" i="1" s="1"/>
  <c r="C6" i="3"/>
  <c r="D6" i="3" s="1"/>
  <c r="G6" i="3"/>
  <c r="H6" i="3" s="1"/>
  <c r="H9" i="1"/>
  <c r="E9" i="4" s="1"/>
  <c r="P16" i="4" s="1"/>
  <c r="E16" i="4" s="1"/>
  <c r="G13" i="1"/>
  <c r="G19" i="1"/>
  <c r="G17" i="1"/>
  <c r="H17" i="1" s="1"/>
  <c r="I28" i="1"/>
  <c r="E9" i="12" l="1"/>
  <c r="P11" i="12" s="1"/>
  <c r="C25" i="3"/>
  <c r="G25" i="3" s="1"/>
  <c r="C21" i="3"/>
  <c r="D21" i="3" s="1"/>
  <c r="C31" i="3"/>
  <c r="G31" i="3"/>
  <c r="G21" i="1"/>
  <c r="G9" i="4"/>
  <c r="P12" i="4"/>
  <c r="C15" i="3"/>
  <c r="D15" i="3" s="1"/>
  <c r="G15" i="3"/>
  <c r="H15" i="3" s="1"/>
  <c r="G8" i="3"/>
  <c r="H8" i="3" s="1"/>
  <c r="E15" i="4"/>
  <c r="F15" i="4" s="1"/>
  <c r="G15" i="4" s="1"/>
  <c r="E15" i="12"/>
  <c r="G15" i="12" s="1"/>
  <c r="C8" i="3"/>
  <c r="D8" i="3" s="1"/>
  <c r="H13" i="1"/>
  <c r="E11" i="4" s="1"/>
  <c r="H4" i="4" s="1"/>
  <c r="G14" i="3"/>
  <c r="E14" i="12"/>
  <c r="G14" i="12" s="1"/>
  <c r="G21" i="3"/>
  <c r="H21" i="3" s="1"/>
  <c r="E14" i="4"/>
  <c r="F14" i="4" s="1"/>
  <c r="G14" i="4" s="1"/>
  <c r="C14" i="3"/>
  <c r="D14" i="3" s="1"/>
  <c r="P11" i="4"/>
  <c r="H19" i="1"/>
  <c r="U34" i="4" s="1"/>
  <c r="G30" i="4" s="1"/>
  <c r="D31" i="4" s="1"/>
  <c r="G31" i="4" s="1"/>
  <c r="E16" i="12"/>
  <c r="G16" i="12" s="1"/>
  <c r="G33" i="12" s="1"/>
  <c r="G40" i="12" s="1"/>
  <c r="G16" i="4"/>
  <c r="G33" i="4" s="1"/>
  <c r="H5" i="4" l="1"/>
  <c r="F11" i="4" s="1"/>
  <c r="G11" i="4" s="1"/>
  <c r="P12" i="12"/>
  <c r="G16" i="3"/>
  <c r="G9" i="12"/>
  <c r="U35" i="12"/>
  <c r="E11" i="12"/>
  <c r="G11" i="12" s="1"/>
  <c r="D16" i="3"/>
  <c r="D7" i="5" s="1"/>
  <c r="C16" i="3"/>
  <c r="C7" i="5" s="1"/>
  <c r="H14" i="3"/>
  <c r="H16" i="3" s="1"/>
  <c r="F25" i="4" l="1"/>
  <c r="G7" i="5"/>
  <c r="F7" i="5"/>
  <c r="C20" i="5"/>
  <c r="H21" i="1"/>
  <c r="H22" i="1" s="1"/>
  <c r="H24" i="1" s="1"/>
  <c r="G22" i="1"/>
  <c r="G24" i="1" s="1"/>
  <c r="C9" i="3"/>
  <c r="D9" i="3" s="1"/>
  <c r="D10" i="3" s="1"/>
  <c r="G9" i="3"/>
  <c r="G10" i="3" s="1"/>
  <c r="G19" i="3" s="1"/>
  <c r="E12" i="4" l="1"/>
  <c r="G12" i="4" s="1"/>
  <c r="G25" i="4" s="1"/>
  <c r="E12" i="12"/>
  <c r="G12" i="12" s="1"/>
  <c r="G25" i="12" s="1"/>
  <c r="G42" i="12" s="1"/>
  <c r="C10" i="3"/>
  <c r="C19" i="3" s="1"/>
  <c r="G22" i="3"/>
  <c r="G5" i="5"/>
  <c r="D5" i="5"/>
  <c r="D19" i="3"/>
  <c r="F9" i="5"/>
  <c r="C9" i="5"/>
  <c r="D31" i="3"/>
  <c r="H9" i="3"/>
  <c r="H10" i="3" s="1"/>
  <c r="H19" i="3" s="1"/>
  <c r="E25" i="12" l="1"/>
  <c r="E25" i="4"/>
  <c r="G44" i="12"/>
  <c r="G47" i="12" s="1"/>
  <c r="G45" i="12"/>
  <c r="C33" i="3"/>
  <c r="G23" i="3"/>
  <c r="H23" i="3" s="1"/>
  <c r="C5" i="5"/>
  <c r="C11" i="5" s="1"/>
  <c r="C23" i="3"/>
  <c r="D23" i="3" s="1"/>
  <c r="F5" i="5"/>
  <c r="F11" i="5" s="1"/>
  <c r="H22" i="3"/>
  <c r="C22" i="3"/>
  <c r="H31" i="3"/>
  <c r="H33" i="3" s="1"/>
  <c r="G33" i="3"/>
  <c r="F31" i="3"/>
  <c r="D33" i="3"/>
  <c r="J31" i="3"/>
  <c r="G9" i="5"/>
  <c r="D9" i="5"/>
  <c r="D11" i="5" s="1"/>
  <c r="E5" i="5" s="1"/>
  <c r="G46" i="12" l="1"/>
  <c r="G48" i="12" s="1"/>
  <c r="G49" i="12" s="1"/>
  <c r="H9" i="5"/>
  <c r="E7" i="5"/>
  <c r="H7" i="5"/>
  <c r="H5" i="5"/>
  <c r="E9" i="5"/>
  <c r="D22" i="3"/>
  <c r="G40" i="4" s="1"/>
  <c r="G41" i="4" s="1"/>
  <c r="G43" i="4" s="1"/>
  <c r="G11" i="5"/>
  <c r="E11" i="5" l="1"/>
  <c r="G45" i="4"/>
  <c r="G48" i="4" s="1"/>
  <c r="H11" i="5"/>
  <c r="G51" i="12"/>
  <c r="G53" i="12" s="1"/>
  <c r="G55" i="12"/>
  <c r="G46" i="4" l="1"/>
  <c r="G47" i="4" s="1"/>
  <c r="G49" i="4" s="1"/>
  <c r="G50" i="4" s="1"/>
  <c r="G24" i="3"/>
  <c r="F13" i="5"/>
  <c r="G13" i="5" s="1"/>
  <c r="H13" i="5" s="1"/>
  <c r="G52" i="4" l="1"/>
  <c r="G54" i="4" s="1"/>
  <c r="G56" i="4"/>
  <c r="D13" i="5"/>
  <c r="E13" i="5" s="1"/>
  <c r="H24" i="3"/>
  <c r="H26" i="3" s="1"/>
  <c r="G26" i="3"/>
  <c r="G28" i="3" s="1"/>
  <c r="F15" i="5" l="1"/>
  <c r="G29" i="3"/>
  <c r="J26" i="3"/>
  <c r="H28" i="3"/>
  <c r="C24" i="3"/>
  <c r="C13" i="5"/>
  <c r="H29" i="3" l="1"/>
  <c r="F17" i="5"/>
  <c r="D24" i="3"/>
  <c r="D26" i="3" s="1"/>
  <c r="C26" i="3"/>
  <c r="C28" i="3" s="1"/>
  <c r="G15" i="5"/>
  <c r="J28" i="3"/>
  <c r="H15" i="5" s="1"/>
  <c r="J33" i="3" l="1"/>
  <c r="C29" i="3"/>
  <c r="C15" i="5"/>
  <c r="F26" i="3"/>
  <c r="D28" i="3"/>
  <c r="G17" i="5"/>
  <c r="H17" i="5" s="1"/>
  <c r="I29" i="3"/>
  <c r="F28" i="3" l="1"/>
  <c r="E15" i="5" s="1"/>
  <c r="D15" i="5"/>
  <c r="D29" i="3"/>
  <c r="C17" i="5"/>
  <c r="F33" i="3" l="1"/>
  <c r="D17" i="5"/>
  <c r="E17" i="5" s="1"/>
  <c r="E2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Krunal Mehta</author>
    <author>Prakash Rathore</author>
  </authors>
  <commentList>
    <comment ref="C1" authorId="0" shapeId="0" xr:uid="{00000000-0006-0000-0200-000001000000}">
      <text>
        <r>
          <rPr>
            <sz val="9"/>
            <color rgb="FF000000"/>
            <rFont val="Tahoma"/>
            <family val="2"/>
          </rPr>
          <t>Enter Correct employee ID provided by HR Team</t>
        </r>
      </text>
    </comment>
    <comment ref="E1" authorId="0" shapeId="0" xr:uid="{00000000-0006-0000-0200-000002000000}">
      <text>
        <r>
          <rPr>
            <sz val="9"/>
            <color indexed="81"/>
            <rFont val="Tahoma"/>
            <family val="2"/>
          </rPr>
          <t>Enter the name as appearing in HR record</t>
        </r>
      </text>
    </comment>
    <comment ref="C2" authorId="1" shapeId="0" xr:uid="{00000000-0006-0000-0200-000003000000}">
      <text>
        <r>
          <rPr>
            <sz val="9"/>
            <color rgb="FF000000"/>
            <rFont val="Tahoma"/>
            <family val="2"/>
          </rPr>
          <t>Choose From the Drop Down List. This will determine deduction amount for GMC</t>
        </r>
      </text>
    </comment>
    <comment ref="E2" authorId="1" shapeId="0" xr:uid="{00000000-0006-0000-0200-000004000000}">
      <text>
        <r>
          <rPr>
            <sz val="9"/>
            <color rgb="FF000000"/>
            <rFont val="Tahoma"/>
            <family val="2"/>
          </rPr>
          <t>Date</t>
        </r>
      </text>
    </comment>
    <comment ref="F2" authorId="1" shapeId="0" xr:uid="{00000000-0006-0000-0200-000005000000}">
      <text>
        <r>
          <rPr>
            <sz val="9"/>
            <color rgb="FF000000"/>
            <rFont val="Tahoma"/>
            <family val="2"/>
          </rPr>
          <t>Month</t>
        </r>
      </text>
    </comment>
    <comment ref="G2" authorId="1" shapeId="0" xr:uid="{00000000-0006-0000-0200-000006000000}">
      <text>
        <r>
          <rPr>
            <sz val="9"/>
            <color rgb="FF000000"/>
            <rFont val="Tahoma"/>
            <family val="2"/>
          </rPr>
          <t>Year</t>
        </r>
      </text>
    </comment>
    <comment ref="H6" authorId="0" shapeId="0" xr:uid="{00000000-0006-0000-0200-000007000000}">
      <text>
        <r>
          <rPr>
            <sz val="9"/>
            <color rgb="FF000000"/>
            <rFont val="Tahoma"/>
            <family val="2"/>
          </rPr>
          <t>Enter Base Salary (As per offer letter / Appointment letter) Do not include VPP / Commission)</t>
        </r>
      </text>
    </comment>
    <comment ref="E23" authorId="1" shapeId="0" xr:uid="{00000000-0006-0000-0200-000008000000}">
      <text>
        <r>
          <rPr>
            <b/>
            <sz val="9"/>
            <color rgb="FF000000"/>
            <rFont val="Tahoma"/>
            <family val="2"/>
          </rPr>
          <t>Prakash Rathore:</t>
        </r>
        <r>
          <rPr>
            <sz val="9"/>
            <color rgb="FF000000"/>
            <rFont val="Tahoma"/>
            <family val="2"/>
          </rPr>
          <t xml:space="preserve">
</t>
        </r>
        <r>
          <rPr>
            <sz val="9"/>
            <color rgb="FF000000"/>
            <rFont val="Tahoma"/>
            <family val="2"/>
          </rPr>
          <t>0 to 88% of Basic Salary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Prakash Rathore</author>
  </authors>
  <commentList>
    <comment ref="H3" authorId="0" shapeId="0" xr:uid="{00000000-0006-0000-0500-000001000000}">
      <text>
        <r>
          <rPr>
            <sz val="9"/>
            <color rgb="FF000000"/>
            <rFont val="Tahoma"/>
            <family val="2"/>
          </rPr>
          <t>Annual Rent</t>
        </r>
      </text>
    </comment>
    <comment ref="Y8" authorId="0" shapeId="0" xr:uid="{00000000-0006-0000-0500-000002000000}">
      <text>
        <r>
          <rPr>
            <b/>
            <sz val="9"/>
            <color indexed="81"/>
            <rFont val="Tahoma"/>
            <family val="2"/>
          </rPr>
          <t>Prakash Rathore:</t>
        </r>
        <r>
          <rPr>
            <sz val="9"/>
            <color indexed="81"/>
            <rFont val="Tahoma"/>
            <family val="2"/>
          </rPr>
          <t xml:space="preserve">
Days in Month- New Joiner</t>
        </r>
      </text>
    </comment>
    <comment ref="Y9" authorId="0" shapeId="0" xr:uid="{00000000-0006-0000-0500-000003000000}">
      <text>
        <r>
          <rPr>
            <b/>
            <sz val="9"/>
            <color indexed="81"/>
            <rFont val="Tahoma"/>
            <family val="2"/>
          </rPr>
          <t>Prakash Rathore:</t>
        </r>
        <r>
          <rPr>
            <sz val="9"/>
            <color indexed="81"/>
            <rFont val="Tahoma"/>
            <family val="2"/>
          </rPr>
          <t xml:space="preserve">
Days Worked
</t>
        </r>
      </text>
    </comment>
    <comment ref="Y10" authorId="0" shapeId="0" xr:uid="{00000000-0006-0000-0500-000004000000}">
      <text>
        <r>
          <rPr>
            <b/>
            <sz val="9"/>
            <color indexed="81"/>
            <rFont val="Tahoma"/>
            <family val="2"/>
          </rPr>
          <t>Prakash Rathore:
Remaining Months</t>
        </r>
      </text>
    </comment>
    <comment ref="E31" authorId="0" shapeId="0" xr:uid="{00000000-0006-0000-0500-000005000000}">
      <text>
        <r>
          <rPr>
            <b/>
            <sz val="9"/>
            <color rgb="FF000000"/>
            <rFont val="Tahoma"/>
            <family val="2"/>
          </rPr>
          <t>Prakash Rathore:</t>
        </r>
        <r>
          <rPr>
            <sz val="9"/>
            <color rgb="FF000000"/>
            <rFont val="Tahoma"/>
            <family val="2"/>
          </rPr>
          <t xml:space="preserve">
</t>
        </r>
        <r>
          <rPr>
            <sz val="9"/>
            <color rgb="FF000000"/>
            <rFont val="Tahoma"/>
            <family val="2"/>
          </rPr>
          <t>Value should not be greater than D31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Prakash Rathore</author>
  </authors>
  <commentList>
    <comment ref="Y8" authorId="0" shapeId="0" xr:uid="{00000000-0006-0000-0600-000001000000}">
      <text>
        <r>
          <rPr>
            <b/>
            <sz val="9"/>
            <color indexed="81"/>
            <rFont val="Tahoma"/>
            <family val="2"/>
          </rPr>
          <t>Prakash Rathore:</t>
        </r>
        <r>
          <rPr>
            <sz val="9"/>
            <color indexed="81"/>
            <rFont val="Tahoma"/>
            <family val="2"/>
          </rPr>
          <t xml:space="preserve">
Days in Month- New Joiner</t>
        </r>
      </text>
    </comment>
    <comment ref="Y9" authorId="0" shapeId="0" xr:uid="{00000000-0006-0000-0600-000002000000}">
      <text>
        <r>
          <rPr>
            <b/>
            <sz val="9"/>
            <color indexed="81"/>
            <rFont val="Tahoma"/>
            <family val="2"/>
          </rPr>
          <t>Prakash Rathore:</t>
        </r>
        <r>
          <rPr>
            <sz val="9"/>
            <color indexed="81"/>
            <rFont val="Tahoma"/>
            <family val="2"/>
          </rPr>
          <t xml:space="preserve">
Days Worked
</t>
        </r>
      </text>
    </comment>
    <comment ref="Y10" authorId="0" shapeId="0" xr:uid="{00000000-0006-0000-0600-000003000000}">
      <text>
        <r>
          <rPr>
            <b/>
            <sz val="9"/>
            <color indexed="81"/>
            <rFont val="Tahoma"/>
            <family val="2"/>
          </rPr>
          <t>Prakash Rathore:
Remaining Months</t>
        </r>
      </text>
    </comment>
  </commentList>
</comments>
</file>

<file path=xl/sharedStrings.xml><?xml version="1.0" encoding="utf-8"?>
<sst xmlns="http://schemas.openxmlformats.org/spreadsheetml/2006/main" count="406" uniqueCount="243">
  <si>
    <t>Basic</t>
  </si>
  <si>
    <t xml:space="preserve">Monthly </t>
  </si>
  <si>
    <t>HRA</t>
  </si>
  <si>
    <t>Conveyance</t>
  </si>
  <si>
    <t>Medical Reimbursement</t>
  </si>
  <si>
    <t>Selection Criteria</t>
  </si>
  <si>
    <t>% of Basic</t>
  </si>
  <si>
    <t>% of Monthly Basic</t>
  </si>
  <si>
    <t>Total Flexi Payment</t>
  </si>
  <si>
    <t>Total Earning for the month</t>
  </si>
  <si>
    <t>Less :</t>
  </si>
  <si>
    <t>Provident Fund</t>
  </si>
  <si>
    <t>Professional Tax</t>
  </si>
  <si>
    <t>Statutory Bonus</t>
  </si>
  <si>
    <t xml:space="preserve">Less : </t>
  </si>
  <si>
    <t>Total Deduction</t>
  </si>
  <si>
    <t>Calculation of Monthly Salary disbursement</t>
  </si>
  <si>
    <t>Monthly</t>
  </si>
  <si>
    <t>Annual</t>
  </si>
  <si>
    <t>Leave Travel Allowance Reimbursement *</t>
  </si>
  <si>
    <t>Disbursement on submission of Expense Document</t>
  </si>
  <si>
    <t>Base Salary</t>
  </si>
  <si>
    <t>Exempt</t>
  </si>
  <si>
    <t>Assumption for exemption</t>
  </si>
  <si>
    <t>Taxable</t>
  </si>
  <si>
    <t>Employee's contribution towards provident fund (No additional Investment required)</t>
  </si>
  <si>
    <t>Contribution to NPS (Additional 50000 Deduction)</t>
  </si>
  <si>
    <t>Fixed Amount</t>
  </si>
  <si>
    <t>Interest on Housing Loan</t>
  </si>
  <si>
    <t>Taxable Amount</t>
  </si>
  <si>
    <t xml:space="preserve">Tax </t>
  </si>
  <si>
    <t>Surcharge</t>
  </si>
  <si>
    <t>Education cess</t>
  </si>
  <si>
    <t>Total Tax</t>
  </si>
  <si>
    <t>Tax Per Month</t>
  </si>
  <si>
    <t>Income Tax deduction</t>
  </si>
  <si>
    <t>Personal Mediclaim</t>
  </si>
  <si>
    <t>Group Medicalaim (No additional Investment)</t>
  </si>
  <si>
    <t>Other deduction</t>
  </si>
  <si>
    <t>Salary in Hand after all deductions</t>
  </si>
  <si>
    <t>Particulars</t>
  </si>
  <si>
    <t>Annual Income</t>
  </si>
  <si>
    <t>Relevant Measure</t>
  </si>
  <si>
    <t>Sr. No.</t>
  </si>
  <si>
    <t>Total</t>
  </si>
  <si>
    <t>House Rent Allowance</t>
  </si>
  <si>
    <t>Annually</t>
  </si>
  <si>
    <t>Income Tax</t>
  </si>
  <si>
    <t>Miscellaneous allowance</t>
  </si>
  <si>
    <t>Fixed Disbursements</t>
  </si>
  <si>
    <t>The relevant invoice / document would be submitted for exemption</t>
  </si>
  <si>
    <t>Summary</t>
  </si>
  <si>
    <t>Investment to be done</t>
  </si>
  <si>
    <t>% of Base Salary</t>
  </si>
  <si>
    <t>Salary in Hand without consideration of reimbursement of expense for which document required to be submitted</t>
  </si>
  <si>
    <t>Total Payment</t>
  </si>
  <si>
    <t>Gratuity</t>
  </si>
  <si>
    <t>Range</t>
  </si>
  <si>
    <t>As per existing salary range - No change</t>
  </si>
  <si>
    <t>Tax Treatment</t>
  </si>
  <si>
    <t>It will be fixed % of CTC predefined by the company. The basic % are kept same as per earlier structure to avoid impact on gratuity earning and leave encashment</t>
  </si>
  <si>
    <t>-</t>
  </si>
  <si>
    <t>0 to 50</t>
  </si>
  <si>
    <t>4.81% of Basic</t>
  </si>
  <si>
    <t>Value</t>
  </si>
  <si>
    <t xml:space="preserve"> Income tax allows exemption as follow : lower of either three :
a. 40% of Basic (In case of Metro City 50%)
b. HRA Received
c. Rent Paid - 10% of Basic (PAN of Landlord will be reported in TDS Returns)</t>
  </si>
  <si>
    <t>The maximum value under this head would be 50% of basic.</t>
  </si>
  <si>
    <t>0-12.00</t>
  </si>
  <si>
    <t>Fixed Per Month</t>
  </si>
  <si>
    <t>Document required to Claim Exemption</t>
  </si>
  <si>
    <t>N.A.</t>
  </si>
  <si>
    <t>A</t>
  </si>
  <si>
    <t>B</t>
  </si>
  <si>
    <t xml:space="preserve"> Income tax allows exemption of Rs.18000 only only when payment is against bills</t>
  </si>
  <si>
    <t>To claim this amount bill needs to be submitted.</t>
  </si>
  <si>
    <t>The Maximum value under this head would be 12% of Monthly Basic</t>
  </si>
  <si>
    <t>To claim this amount bill needs to be submitted. Unclaimed LTA amount can be carry forward next year and exemption can be claimed for total amount (i.e. Carry forward and amount accrued during year)</t>
  </si>
  <si>
    <t>Employer and employee needs to contribute equally. The employer contribution is exempt from tax. Employee contribution qualifies for Sec.80 investment. Generally no tax applicable on withdrawal</t>
  </si>
  <si>
    <t>D</t>
  </si>
  <si>
    <t>Non Cash Component</t>
  </si>
  <si>
    <t>Balancing Figure</t>
  </si>
  <si>
    <t>Other Remrak</t>
  </si>
  <si>
    <t>Flexi Component - Fixed Payment Per Month (Where expense proof required for tax exemption needs to be submitted in year end process)</t>
  </si>
  <si>
    <t>Flexi Component - Fixed Payment Per Month where reimbursement bills required to be submitted for payment</t>
  </si>
  <si>
    <t>Basic Salary</t>
  </si>
  <si>
    <t>a</t>
  </si>
  <si>
    <t>b</t>
  </si>
  <si>
    <t>The miscelleneous allowance is balancing figure to arrive monthly salary as per Base Salary. In case such amount is negative kindly change input in other component to ensure that such amount is not negative</t>
  </si>
  <si>
    <t>Data entry needs to be made only in case of green colour marked cells. All other cells are locked</t>
  </si>
  <si>
    <t>c</t>
  </si>
  <si>
    <t>d</t>
  </si>
  <si>
    <t>Fixed Payment (Bills not required)</t>
  </si>
  <si>
    <t>Non Cash Component (PF,NPS &amp; Gratuity)</t>
  </si>
  <si>
    <t>Total Base Salary</t>
  </si>
  <si>
    <t>Pariculars</t>
  </si>
  <si>
    <t>Employee Name</t>
  </si>
  <si>
    <t>Employee Number</t>
  </si>
  <si>
    <t>Non-Cash Component (Employer Contribution to PF, NPS &amp; Gratuity)</t>
  </si>
  <si>
    <t>e</t>
  </si>
  <si>
    <t>Whether Salary Structure Proper</t>
  </si>
  <si>
    <t>0-10</t>
  </si>
  <si>
    <t>Total Fixed Disbursements</t>
  </si>
  <si>
    <t>Total Disbursement on submission of Expense Document</t>
  </si>
  <si>
    <t>f</t>
  </si>
  <si>
    <t>Amount Per Month</t>
  </si>
  <si>
    <t>NPS Contribution</t>
  </si>
  <si>
    <t>Telephone Reimbursement</t>
  </si>
  <si>
    <t>Training / LTA</t>
  </si>
  <si>
    <t>Education</t>
  </si>
  <si>
    <t>Hostel</t>
  </si>
  <si>
    <t>0-1500</t>
  </si>
  <si>
    <t>Balance Investment Limit</t>
  </si>
  <si>
    <t>Kindly ensure that at the end salary structure is "OK" on Summary Sheet</t>
  </si>
  <si>
    <t>g</t>
  </si>
  <si>
    <t>ESIC Deduction</t>
  </si>
  <si>
    <t xml:space="preserve">12% PF deduction on full basic or restricted upto 15000 </t>
  </si>
  <si>
    <t>Selection - 12% on full Basic / Restricted upto 15000</t>
  </si>
  <si>
    <t>h</t>
  </si>
  <si>
    <t>i</t>
  </si>
  <si>
    <t>Once Salary structure is submitted kindly also change the declaration if required in line of new salary structure</t>
  </si>
  <si>
    <t>Once employee choose to contribute 12% on full basic kindly note that he cant again choose to contribute on restricted value of 15000. For effecting this one form would be required to be signed by employer and employee</t>
  </si>
  <si>
    <t>Process for Reimbursement</t>
  </si>
  <si>
    <t>Leave Travel Allowance Reimbursement (LTA)</t>
  </si>
  <si>
    <t>Tax % as compared to Fixed Base</t>
  </si>
  <si>
    <t>Reimbursement of Expense (bills required)</t>
  </si>
  <si>
    <t>12% PF on Full Basic Salary</t>
  </si>
  <si>
    <t>12% on full Basic / 12% PF Restricted upto 15000 Basic Salary</t>
  </si>
  <si>
    <t>% of Fixed Pay</t>
  </si>
  <si>
    <t>Less:</t>
  </si>
  <si>
    <t>Professional Tax Deduction</t>
  </si>
  <si>
    <t>The maximum value under this head would be Rs.18000.</t>
  </si>
  <si>
    <t>Please note that there is account opening charges for NPS which needs to be beared by employee. While opening an account employee need to deposit atleast Rs.500
Also note that when employer will submit the contribution, the allocation charges are levied which will be deducted from the contribution and employee will receive credit of such contribution after such allocation charge</t>
  </si>
  <si>
    <t>Version 2</t>
  </si>
  <si>
    <t>Updated ESIC applicability from 15000 to 21000</t>
  </si>
  <si>
    <t>Updated income tax calculation for 2.5 to 5 Lac taxable @ 5% instead of 10%</t>
  </si>
  <si>
    <t>Version 3</t>
  </si>
  <si>
    <t>Incorporated functionality, FY 2016-17 people opted for 12% PF on full basic can only opt for 12% PF on full basic</t>
  </si>
  <si>
    <t>Are You Handicapped</t>
  </si>
  <si>
    <t>Yes</t>
  </si>
  <si>
    <t>No</t>
  </si>
  <si>
    <t>Are you utilising subsidised canteen facility regularly</t>
  </si>
  <si>
    <t>Meal</t>
  </si>
  <si>
    <t>Gift</t>
  </si>
  <si>
    <t>Incorporated functionality, question whether handicap then only show 3200 option</t>
  </si>
  <si>
    <t>Incorporated functionality, whether utilising canteen regularly for food then no option for meal voucher</t>
  </si>
  <si>
    <t>Remark</t>
  </si>
  <si>
    <t>Number of Studying Children</t>
  </si>
  <si>
    <t>j</t>
  </si>
  <si>
    <t>Incorporated functionality to consider minimum value of Rs.500 for NPS</t>
  </si>
  <si>
    <t xml:space="preserve">NPS - Employer Contribution on Full basic </t>
  </si>
  <si>
    <t>Standard Deduction</t>
  </si>
  <si>
    <t>Version 5</t>
  </si>
  <si>
    <t>Removed Conveyance allowance</t>
  </si>
  <si>
    <t xml:space="preserve">Removed Medical Reimbursement </t>
  </si>
  <si>
    <t>Added Standard Deduction in tax calcualtion</t>
  </si>
  <si>
    <t>Changed 4% from 3% for Cess</t>
  </si>
  <si>
    <t>Changed statutory bonus from 1900 to 2000</t>
  </si>
  <si>
    <t>Removed NPS contribution ceiling of Rs.150000</t>
  </si>
  <si>
    <t>The comment display is changed so that values gets properly reflected</t>
  </si>
  <si>
    <t>This Excel template is provided so that employee can properly choose his flexi structure considering estimated cash in hand and tax. Once you have finalised your flexi salary structure, you need to enter in ADP Portal</t>
  </si>
  <si>
    <t>This is statutory requirement &amp; non taxable upto Rs.20 Lac received from different employees till date. The person become eligible to receive this amount when he completes 4 year and 240 days</t>
  </si>
  <si>
    <t>Location</t>
  </si>
  <si>
    <t>HRA Exemption Computation</t>
  </si>
  <si>
    <t>Rent Paid P.A</t>
  </si>
  <si>
    <t>Actual HRA Received P.A</t>
  </si>
  <si>
    <t>HRA Exemption</t>
  </si>
  <si>
    <t>Other Variable Income during the year</t>
  </si>
  <si>
    <t>Any Other Income</t>
  </si>
  <si>
    <t xml:space="preserve"> </t>
  </si>
  <si>
    <t>Employer Contruibution of NPS</t>
  </si>
  <si>
    <t>The maximum allowed amount is Rs.25000 for self and family. Further additional 25000 allowed for non senior citizen parents and Rs.50000 for senior citizen parents</t>
  </si>
  <si>
    <t>April</t>
  </si>
  <si>
    <t>May</t>
  </si>
  <si>
    <t>June</t>
  </si>
  <si>
    <t>July</t>
  </si>
  <si>
    <t>August</t>
  </si>
  <si>
    <t>September</t>
  </si>
  <si>
    <t>October</t>
  </si>
  <si>
    <t>November</t>
  </si>
  <si>
    <t>December</t>
  </si>
  <si>
    <t>January</t>
  </si>
  <si>
    <t>February</t>
  </si>
  <si>
    <t>March</t>
  </si>
  <si>
    <t>Date of Joining</t>
  </si>
  <si>
    <t>Tax and Surcharge</t>
  </si>
  <si>
    <t>Rebate</t>
  </si>
  <si>
    <t>Employees who have already selected option 12% PF on full basic, they will not find the option of 12% PF Restricted to 15000</t>
  </si>
  <si>
    <t>The Data entry is required in Salary Structure worksheet and Income tax worksheet</t>
  </si>
  <si>
    <t>Please note that once salary structure is finalised it will not be changed unitll next July or Salary Revision</t>
  </si>
  <si>
    <t>Instruction :-</t>
  </si>
  <si>
    <t>Computation of Taxable Income &amp; Tax Liability</t>
  </si>
  <si>
    <t>NPS account is currently managed by NSDL and the service level is not satisfactory - so one need to consider this point when this option is selected. This is not a statutory scheme and option provided since this is in benefit ot employee. Employee will be required to liase with third party contact point for opening of account and other matter.
Please note that there is account opening charges for NPS which needs to be beared by employee.</t>
  </si>
  <si>
    <r>
      <t xml:space="preserve">Employer contribution upto 10% of basic in a year is exempt from tax.  The minimum contribution has to be Rs.500 &amp; accordingly if you select any range and resultant amount is lower than Rs.500, the formula inserted to make minimum value as Rs.500
</t>
    </r>
    <r>
      <rPr>
        <b/>
        <u/>
        <sz val="11"/>
        <color theme="1"/>
        <rFont val="Calibri"/>
        <family val="2"/>
        <scheme val="minor"/>
      </rPr>
      <t>Withdrawal :-</t>
    </r>
    <r>
      <rPr>
        <sz val="11"/>
        <color theme="1"/>
        <rFont val="Calibri"/>
        <family val="2"/>
        <scheme val="minor"/>
      </rPr>
      <t xml:space="preserve"> At the time of retirement, atleast 40% funds to be used for annuity purchase. In case of early closure of account atleast 80% needs to be utilised for annuity purchase. Recently partial withdrawal under specific circumstances are allowed 
</t>
    </r>
    <r>
      <rPr>
        <b/>
        <u/>
        <sz val="11"/>
        <color theme="1"/>
        <rFont val="Calibri"/>
        <family val="2"/>
        <scheme val="minor"/>
      </rPr>
      <t>Taxation on withdrawal :</t>
    </r>
    <r>
      <rPr>
        <sz val="11"/>
        <color theme="1"/>
        <rFont val="Calibri"/>
        <family val="2"/>
        <scheme val="minor"/>
      </rPr>
      <t xml:space="preserve"> 60% of fund on retirement is exempt. The amount of monthly pension will be taxable.</t>
    </r>
  </si>
  <si>
    <r>
      <rPr>
        <b/>
        <u/>
        <sz val="11"/>
        <color theme="1"/>
        <rFont val="Calibri"/>
        <family val="2"/>
        <scheme val="minor"/>
      </rPr>
      <t>Monthly Submission :</t>
    </r>
    <r>
      <rPr>
        <sz val="11"/>
        <color theme="1"/>
        <rFont val="Calibri"/>
        <family val="2"/>
        <scheme val="minor"/>
      </rPr>
      <t>- For Telephone, Books &amp; Periodical and LTA invoice can be submitted monthly. The cut-off date for the same will be 13th of every month. You will be required to make entry into ESS Portal and then make submission in a drop box.
Please note that in case LTA, only one travel is allowed in a Year. LTA exemption is available for two journeys in block of 4 year.</t>
    </r>
  </si>
  <si>
    <t>Old Tax Regime</t>
  </si>
  <si>
    <t>New Tax Regime</t>
  </si>
  <si>
    <t>Internet Reimbursement</t>
  </si>
  <si>
    <t>Training Reimbursement</t>
  </si>
  <si>
    <t>Income tax allows exemption on submission of bills relating to training in educational or research institution</t>
  </si>
  <si>
    <t>Gross Amount</t>
  </si>
  <si>
    <t>Old Regime</t>
  </si>
  <si>
    <t>New Regime</t>
  </si>
  <si>
    <t>Internet Reimbursement *</t>
  </si>
  <si>
    <t>Training Reimbursement *</t>
  </si>
  <si>
    <t>Interest on Housing Loan 80EA</t>
  </si>
  <si>
    <t>Interest on Housing Loan 80EEA</t>
  </si>
  <si>
    <t>Cash Payout (Considering Reimburement)</t>
  </si>
  <si>
    <t>Cash Payout (Not Considering Reimburement)</t>
  </si>
  <si>
    <t>Add :</t>
  </si>
  <si>
    <t>Interest on Housing Loan (only if Property is Let-out)</t>
  </si>
  <si>
    <t>Income from house Property (Let-out)</t>
  </si>
  <si>
    <t>NPS</t>
  </si>
  <si>
    <t>Previous Employer Income</t>
  </si>
  <si>
    <t>Previous Employer PT</t>
  </si>
  <si>
    <t>Previous Employer PF</t>
  </si>
  <si>
    <t>Previous Employer Details :-</t>
  </si>
  <si>
    <t>C</t>
  </si>
  <si>
    <t>Other Tax saving Investment (Employee need to do the investment) (LIC, NSC , Tuition Fee, FD, ELSS..etc)</t>
  </si>
  <si>
    <t>Previous Employer TAX (TDS)</t>
  </si>
  <si>
    <t>Tax Deducted by Previous Employer</t>
  </si>
  <si>
    <t>Net Tax Payable</t>
  </si>
  <si>
    <t>E</t>
  </si>
  <si>
    <t>Previous Employer Contribution to NPS</t>
  </si>
  <si>
    <t>Gross Salary  Before Standard Deduction</t>
  </si>
  <si>
    <t>Voluntry Provident Fund</t>
  </si>
  <si>
    <t xml:space="preserve">Employees who would like to opt for VPF need to send an email to PayrollHelpdesk with “% of Basic Salary” 
• Once you have opted for VPF, you cannot discontinue the same in between of the financial year and Percentange also can not be changed
• Contributions up to 88% of the Basic salary can be made to Voluntary provident fund. The interest rate is same as EPF.
</t>
  </si>
  <si>
    <t xml:space="preserve">VPF contribution is eligible for deduction under Section 80C of the Income Tax Act, 1961 subject to the maximum limit of Rs 1.50 lakh per annum
</t>
  </si>
  <si>
    <t>N.A</t>
  </si>
  <si>
    <t>Voluntry Provident Fund (VPF)</t>
  </si>
  <si>
    <t>Total Base Salary (CTC)</t>
  </si>
  <si>
    <t>Base Salary (CTC)</t>
  </si>
  <si>
    <t xml:space="preserve">Employee need to enter employee code ,employee name , Location, Date of Joining . The Fixed Pay needs to be entered from appraisal letter of FY 2022-23 or last offer letter / appointment letter </t>
  </si>
  <si>
    <r>
      <t xml:space="preserve">In a block of 4 year (2022-25), two time expenditure incurred towards </t>
    </r>
    <r>
      <rPr>
        <b/>
        <u/>
        <sz val="11"/>
        <color theme="1"/>
        <rFont val="Calibri"/>
        <family val="2"/>
        <scheme val="minor"/>
      </rPr>
      <t>travel</t>
    </r>
    <r>
      <rPr>
        <sz val="11"/>
        <color theme="1"/>
        <rFont val="Calibri"/>
        <family val="2"/>
        <scheme val="minor"/>
      </rPr>
      <t xml:space="preserve">  can be exempt. The exemption amount needs to be worked out differently when journey is peformed by other than Air or Rail. For Air Travel Boarding Pass needs to be attached along with claim </t>
    </r>
  </si>
  <si>
    <t>Ahmedabad</t>
  </si>
  <si>
    <t>Gross Income Excluding Gratuity &amp; Leave encashment</t>
  </si>
  <si>
    <t>Financial Year 2023-2024</t>
  </si>
  <si>
    <t xml:space="preserve">This is mandatory it is fixed as per prescribed by respective States regulations. </t>
  </si>
  <si>
    <t>Rent Receipts at Year End process in Dec-23</t>
  </si>
  <si>
    <t>The new salary structure will be effective from 1st Apr 2023 or your date of joining/revision whichever is later. You will be required to submit the document to claim exemption.</t>
  </si>
  <si>
    <t xml:space="preserve">Kindly note that the cash calculator and Income tax calculator are indicative figure which are calculated based on some assumptions. The actual numbers might vary. </t>
  </si>
  <si>
    <r>
      <rPr>
        <b/>
        <u/>
        <sz val="11"/>
        <color theme="1"/>
        <rFont val="Calibri"/>
        <family val="2"/>
      </rPr>
      <t>No advance payment</t>
    </r>
    <r>
      <rPr>
        <b/>
        <sz val="11"/>
        <color theme="1"/>
        <rFont val="Calibri"/>
        <family val="2"/>
      </rPr>
      <t xml:space="preserve"> :</t>
    </r>
    <r>
      <rPr>
        <sz val="11"/>
        <color theme="1"/>
        <rFont val="Calibri"/>
        <family val="2"/>
      </rPr>
      <t xml:space="preserve"> On submission of reimbursement proof employee will be paid only upto the accrued amount. E.g. Rs.1250 is monthly Internet expense from July-23. Employee submit the invoice proof of Rs.2000 then employee will be paid Rs.1250 in July-23 and not Rs.2000</t>
    </r>
  </si>
  <si>
    <r>
      <rPr>
        <b/>
        <u/>
        <sz val="11"/>
        <color theme="1"/>
        <rFont val="Calibri"/>
        <family val="2"/>
        <scheme val="minor"/>
      </rPr>
      <t>Bill Consideration for past and Future :</t>
    </r>
    <r>
      <rPr>
        <sz val="11"/>
        <color theme="1"/>
        <rFont val="Calibri"/>
        <family val="2"/>
        <scheme val="minor"/>
      </rPr>
      <t xml:space="preserve"> The reimbursement invoice can be considered for past accrual and even for future accrual as well. E.g. Assuming Rs.1250 is fixed monthly telephone reimbursement. Employee do not submit anything in July-23 and he submits Rs.5000 bills in Aug-23. In such case in August he will be paid Rs.2500 (1250*2) and he will also be paid Rs.1250 in Sept-23 and Rs.1250 in Oct-23 without further submission of bills.</t>
    </r>
  </si>
  <si>
    <r>
      <rPr>
        <b/>
        <u/>
        <sz val="11"/>
        <color theme="1"/>
        <rFont val="Calibri"/>
        <family val="2"/>
      </rPr>
      <t>Balance carry over payment in Mar-24 :</t>
    </r>
    <r>
      <rPr>
        <sz val="11"/>
        <color theme="1"/>
        <rFont val="Calibri"/>
        <family val="2"/>
      </rPr>
      <t xml:space="preserve"> All the accrued amount of bills which is not submitted it will be paid automatically in Mar-24. E.g. for 1250 monthly fixed medical reimbursement, employee do not submit any bills in such case Rs.14250 (1250*9) will be paid as a taxable in Mar-24.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</si>
</sst>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_(* #,##0_);_(* \(#,##0\);_(* &quot;-&quot;??_);_(@_)"/>
    <numFmt numFmtId="166" formatCode="0.0%"/>
    <numFmt numFmtId="167" formatCode="[$-409]d\-mmm\-yy;@"/>
    <numFmt numFmtId="168" formatCode="0.0000%"/>
  </numFmts>
  <fonts count="13" x14ac:knownFonts="1">
    <font>
      <sz val="11"/>
      <color theme="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b/>
      <u/>
      <sz val="11"/>
      <color theme="1"/>
      <name val="Calibri"/>
      <family val="2"/>
    </font>
    <font>
      <b/>
      <sz val="11"/>
      <color theme="1"/>
      <name val="Calibri"/>
      <family val="2"/>
    </font>
    <font>
      <sz val="11"/>
      <color theme="1"/>
      <name val="Calibri"/>
      <family val="2"/>
    </font>
    <font>
      <sz val="9"/>
      <color indexed="81"/>
      <name val="Tahoma"/>
      <family val="2"/>
    </font>
    <font>
      <b/>
      <sz val="9"/>
      <color indexed="81"/>
      <name val="Tahoma"/>
      <family val="2"/>
    </font>
    <font>
      <sz val="10"/>
      <color theme="1"/>
      <name val="Calibri"/>
      <family val="2"/>
      <scheme val="minor"/>
    </font>
    <font>
      <sz val="9"/>
      <color rgb="FF000000"/>
      <name val="Tahoma"/>
      <family val="2"/>
    </font>
    <font>
      <b/>
      <sz val="9"/>
      <color rgb="FF000000"/>
      <name val="Tahoma"/>
      <family val="2"/>
    </font>
  </fonts>
  <fills count="6">
    <fill>
      <patternFill patternType="none"/>
    </fill>
    <fill>
      <patternFill patternType="gray125"/>
    </fill>
    <fill>
      <patternFill patternType="solid">
        <fgColor rgb="FF92D05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5" tint="0.59999389629810485"/>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s>
  <cellStyleXfs count="4">
    <xf numFmtId="0" fontId="0" fillId="0" borderId="0"/>
    <xf numFmtId="9" fontId="1" fillId="0" borderId="0" applyFont="0" applyFill="0" applyBorder="0" applyAlignment="0" applyProtection="0"/>
    <xf numFmtId="0" fontId="4" fillId="0" borderId="0"/>
    <xf numFmtId="43" fontId="1" fillId="0" borderId="0" applyFont="0" applyFill="0" applyBorder="0" applyAlignment="0" applyProtection="0"/>
  </cellStyleXfs>
  <cellXfs count="165">
    <xf numFmtId="0" fontId="0" fillId="0" borderId="0" xfId="0"/>
    <xf numFmtId="0" fontId="0" fillId="0" borderId="0" xfId="0" applyProtection="1">
      <protection hidden="1"/>
    </xf>
    <xf numFmtId="0" fontId="2" fillId="0" borderId="0" xfId="0" applyFont="1" applyProtection="1">
      <protection hidden="1"/>
    </xf>
    <xf numFmtId="0" fontId="2" fillId="0" borderId="1" xfId="0" applyFont="1" applyBorder="1" applyAlignment="1" applyProtection="1">
      <alignment horizontal="center" vertical="center"/>
      <protection hidden="1"/>
    </xf>
    <xf numFmtId="0" fontId="2" fillId="0" borderId="1" xfId="0" applyFont="1" applyBorder="1" applyProtection="1">
      <protection hidden="1"/>
    </xf>
    <xf numFmtId="0" fontId="0" fillId="0" borderId="1" xfId="0" applyBorder="1" applyProtection="1">
      <protection hidden="1"/>
    </xf>
    <xf numFmtId="0" fontId="0" fillId="0" borderId="1" xfId="0" applyBorder="1" applyAlignment="1" applyProtection="1">
      <alignment horizontal="center"/>
      <protection hidden="1"/>
    </xf>
    <xf numFmtId="0" fontId="0" fillId="0" borderId="1" xfId="0" applyBorder="1" applyAlignment="1" applyProtection="1">
      <alignment vertical="center"/>
      <protection hidden="1"/>
    </xf>
    <xf numFmtId="1" fontId="0" fillId="0" borderId="1" xfId="0" applyNumberFormat="1" applyBorder="1" applyProtection="1">
      <protection hidden="1"/>
    </xf>
    <xf numFmtId="0" fontId="0" fillId="0" borderId="1" xfId="0" applyBorder="1" applyAlignment="1" applyProtection="1">
      <alignment wrapText="1"/>
      <protection hidden="1"/>
    </xf>
    <xf numFmtId="1" fontId="0" fillId="0" borderId="1" xfId="0" applyNumberFormat="1" applyBorder="1" applyAlignment="1" applyProtection="1">
      <alignment vertical="center"/>
      <protection hidden="1"/>
    </xf>
    <xf numFmtId="0" fontId="0" fillId="0" borderId="0" xfId="0" applyAlignment="1" applyProtection="1">
      <alignment horizontal="center"/>
      <protection hidden="1"/>
    </xf>
    <xf numFmtId="164" fontId="0" fillId="0" borderId="0" xfId="0" applyNumberFormat="1" applyProtection="1">
      <protection hidden="1"/>
    </xf>
    <xf numFmtId="0" fontId="2" fillId="0" borderId="1" xfId="0" applyFont="1" applyBorder="1" applyAlignment="1" applyProtection="1">
      <alignment vertical="center" wrapText="1"/>
      <protection hidden="1"/>
    </xf>
    <xf numFmtId="0" fontId="2" fillId="0" borderId="1" xfId="0" applyFont="1" applyBorder="1" applyAlignment="1" applyProtection="1">
      <alignment vertical="center"/>
      <protection hidden="1"/>
    </xf>
    <xf numFmtId="0" fontId="0" fillId="0" borderId="1" xfId="0" applyBorder="1" applyAlignment="1" applyProtection="1">
      <alignment horizontal="center" vertical="center"/>
      <protection hidden="1"/>
    </xf>
    <xf numFmtId="0" fontId="0" fillId="0" borderId="1" xfId="0" applyBorder="1" applyAlignment="1" applyProtection="1">
      <alignment vertical="center" wrapText="1"/>
      <protection hidden="1"/>
    </xf>
    <xf numFmtId="9" fontId="0" fillId="0" borderId="1" xfId="0" applyNumberFormat="1" applyBorder="1" applyAlignment="1" applyProtection="1">
      <alignment vertical="center"/>
      <protection hidden="1"/>
    </xf>
    <xf numFmtId="1" fontId="0" fillId="2" borderId="1" xfId="0" applyNumberFormat="1" applyFill="1" applyBorder="1" applyAlignment="1" applyProtection="1">
      <alignment vertical="center"/>
      <protection locked="0" hidden="1"/>
    </xf>
    <xf numFmtId="0" fontId="0" fillId="2" borderId="1" xfId="0" applyFill="1" applyBorder="1" applyAlignment="1" applyProtection="1">
      <alignment vertical="center"/>
      <protection locked="0" hidden="1"/>
    </xf>
    <xf numFmtId="2" fontId="0" fillId="2" borderId="1" xfId="0" applyNumberFormat="1" applyFill="1" applyBorder="1" applyAlignment="1" applyProtection="1">
      <alignment vertical="center"/>
      <protection locked="0" hidden="1"/>
    </xf>
    <xf numFmtId="0" fontId="0" fillId="2" borderId="1" xfId="0" applyFill="1" applyBorder="1" applyAlignment="1" applyProtection="1">
      <alignment horizontal="center" vertical="center" wrapText="1"/>
      <protection locked="0" hidden="1"/>
    </xf>
    <xf numFmtId="0" fontId="2" fillId="4" borderId="1" xfId="0" applyFont="1" applyFill="1" applyBorder="1" applyAlignment="1" applyProtection="1">
      <alignment vertical="center" wrapText="1"/>
      <protection hidden="1"/>
    </xf>
    <xf numFmtId="0" fontId="2" fillId="4" borderId="1" xfId="0" applyFont="1" applyFill="1" applyBorder="1" applyAlignment="1" applyProtection="1">
      <alignment vertical="center"/>
      <protection hidden="1"/>
    </xf>
    <xf numFmtId="0" fontId="2" fillId="4" borderId="1" xfId="0" applyFont="1" applyFill="1" applyBorder="1" applyProtection="1">
      <protection hidden="1"/>
    </xf>
    <xf numFmtId="14" fontId="0" fillId="0" borderId="0" xfId="0" applyNumberFormat="1" applyProtection="1">
      <protection hidden="1"/>
    </xf>
    <xf numFmtId="0" fontId="0" fillId="0" borderId="0" xfId="0" applyAlignment="1" applyProtection="1">
      <alignment horizontal="center" vertical="center"/>
      <protection hidden="1"/>
    </xf>
    <xf numFmtId="0" fontId="0" fillId="0" borderId="0" xfId="0" applyAlignment="1" applyProtection="1">
      <alignment wrapText="1"/>
      <protection hidden="1"/>
    </xf>
    <xf numFmtId="0" fontId="7" fillId="0" borderId="0" xfId="0" applyFont="1" applyAlignment="1" applyProtection="1">
      <alignment wrapText="1"/>
      <protection hidden="1"/>
    </xf>
    <xf numFmtId="0" fontId="3" fillId="0" borderId="0" xfId="0" applyFont="1" applyProtection="1">
      <protection hidden="1"/>
    </xf>
    <xf numFmtId="0" fontId="0" fillId="2" borderId="1" xfId="0" applyFill="1" applyBorder="1" applyProtection="1">
      <protection hidden="1"/>
    </xf>
    <xf numFmtId="165" fontId="0" fillId="0" borderId="1" xfId="3" applyNumberFormat="1" applyFont="1" applyBorder="1" applyProtection="1">
      <protection hidden="1"/>
    </xf>
    <xf numFmtId="165" fontId="0" fillId="3" borderId="1" xfId="3" applyNumberFormat="1" applyFont="1" applyFill="1" applyBorder="1" applyAlignment="1" applyProtection="1">
      <alignment vertical="center"/>
      <protection hidden="1"/>
    </xf>
    <xf numFmtId="165" fontId="0" fillId="3" borderId="1" xfId="3" applyNumberFormat="1" applyFont="1" applyFill="1" applyBorder="1" applyAlignment="1" applyProtection="1">
      <alignment horizontal="right" vertical="center"/>
      <protection hidden="1"/>
    </xf>
    <xf numFmtId="165" fontId="0" fillId="0" borderId="1" xfId="3" applyNumberFormat="1" applyFont="1" applyBorder="1" applyAlignment="1" applyProtection="1">
      <alignment vertical="center"/>
      <protection hidden="1"/>
    </xf>
    <xf numFmtId="165" fontId="0" fillId="2" borderId="1" xfId="3" applyNumberFormat="1" applyFont="1" applyFill="1" applyBorder="1" applyProtection="1">
      <protection locked="0" hidden="1"/>
    </xf>
    <xf numFmtId="165" fontId="2" fillId="0" borderId="1" xfId="3" applyNumberFormat="1" applyFont="1" applyBorder="1" applyProtection="1">
      <protection hidden="1"/>
    </xf>
    <xf numFmtId="165" fontId="0" fillId="0" borderId="1" xfId="3" applyNumberFormat="1" applyFont="1" applyBorder="1" applyAlignment="1" applyProtection="1">
      <alignment vertical="center" wrapText="1"/>
      <protection hidden="1"/>
    </xf>
    <xf numFmtId="165" fontId="0" fillId="0" borderId="0" xfId="3" applyNumberFormat="1" applyFont="1" applyProtection="1">
      <protection hidden="1"/>
    </xf>
    <xf numFmtId="165" fontId="0" fillId="2" borderId="1" xfId="3" applyNumberFormat="1" applyFont="1" applyFill="1" applyBorder="1" applyAlignment="1" applyProtection="1">
      <alignment vertical="center"/>
      <protection locked="0" hidden="1"/>
    </xf>
    <xf numFmtId="43" fontId="0" fillId="0" borderId="0" xfId="0" applyNumberFormat="1" applyProtection="1">
      <protection hidden="1"/>
    </xf>
    <xf numFmtId="166" fontId="0" fillId="0" borderId="0" xfId="1" applyNumberFormat="1" applyFont="1" applyAlignment="1" applyProtection="1">
      <alignment vertical="center"/>
      <protection hidden="1"/>
    </xf>
    <xf numFmtId="0" fontId="2" fillId="0" borderId="10" xfId="0" applyFont="1" applyBorder="1" applyProtection="1">
      <protection hidden="1"/>
    </xf>
    <xf numFmtId="0" fontId="0" fillId="0" borderId="10" xfId="0" applyBorder="1" applyProtection="1">
      <protection hidden="1"/>
    </xf>
    <xf numFmtId="165" fontId="0" fillId="0" borderId="12" xfId="3" applyNumberFormat="1" applyFont="1" applyBorder="1" applyProtection="1">
      <protection hidden="1"/>
    </xf>
    <xf numFmtId="9" fontId="0" fillId="0" borderId="13" xfId="1" applyFont="1" applyBorder="1" applyProtection="1">
      <protection hidden="1"/>
    </xf>
    <xf numFmtId="0" fontId="0" fillId="0" borderId="13" xfId="0" applyBorder="1" applyProtection="1">
      <protection hidden="1"/>
    </xf>
    <xf numFmtId="9" fontId="0" fillId="0" borderId="13" xfId="0" applyNumberFormat="1" applyBorder="1" applyProtection="1">
      <protection hidden="1"/>
    </xf>
    <xf numFmtId="165" fontId="0" fillId="0" borderId="14" xfId="3" applyNumberFormat="1" applyFont="1" applyBorder="1" applyProtection="1">
      <protection hidden="1"/>
    </xf>
    <xf numFmtId="165" fontId="0" fillId="0" borderId="15" xfId="3" applyNumberFormat="1" applyFont="1" applyBorder="1" applyProtection="1">
      <protection hidden="1"/>
    </xf>
    <xf numFmtId="9" fontId="0" fillId="0" borderId="16" xfId="0" applyNumberFormat="1" applyBorder="1" applyProtection="1">
      <protection hidden="1"/>
    </xf>
    <xf numFmtId="0" fontId="0" fillId="0" borderId="12" xfId="0" applyBorder="1" applyProtection="1">
      <protection hidden="1"/>
    </xf>
    <xf numFmtId="0" fontId="0" fillId="0" borderId="14" xfId="0" applyBorder="1" applyProtection="1">
      <protection hidden="1"/>
    </xf>
    <xf numFmtId="0" fontId="0" fillId="0" borderId="15" xfId="0" applyBorder="1" applyProtection="1">
      <protection hidden="1"/>
    </xf>
    <xf numFmtId="165" fontId="0" fillId="0" borderId="11" xfId="3" applyNumberFormat="1" applyFont="1" applyBorder="1" applyProtection="1">
      <protection hidden="1"/>
    </xf>
    <xf numFmtId="165" fontId="0" fillId="0" borderId="26" xfId="3" applyNumberFormat="1" applyFont="1" applyBorder="1" applyProtection="1">
      <protection hidden="1"/>
    </xf>
    <xf numFmtId="0" fontId="0" fillId="0" borderId="17" xfId="0" applyBorder="1" applyProtection="1">
      <protection hidden="1"/>
    </xf>
    <xf numFmtId="0" fontId="0" fillId="0" borderId="18" xfId="0" applyBorder="1" applyProtection="1">
      <protection hidden="1"/>
    </xf>
    <xf numFmtId="0" fontId="0" fillId="2" borderId="18" xfId="0" applyFill="1" applyBorder="1" applyProtection="1">
      <protection locked="0" hidden="1"/>
    </xf>
    <xf numFmtId="0" fontId="0" fillId="0" borderId="24" xfId="0" applyBorder="1" applyProtection="1">
      <protection hidden="1"/>
    </xf>
    <xf numFmtId="0" fontId="0" fillId="0" borderId="10" xfId="0" applyBorder="1" applyAlignment="1" applyProtection="1">
      <alignment wrapText="1"/>
      <protection hidden="1"/>
    </xf>
    <xf numFmtId="0" fontId="2" fillId="0" borderId="12" xfId="0" applyFont="1" applyBorder="1" applyProtection="1">
      <protection hidden="1"/>
    </xf>
    <xf numFmtId="0" fontId="0" fillId="2" borderId="15" xfId="0" applyFill="1" applyBorder="1" applyAlignment="1" applyProtection="1">
      <alignment horizontal="right"/>
      <protection locked="0" hidden="1"/>
    </xf>
    <xf numFmtId="164" fontId="0" fillId="2" borderId="31" xfId="0" applyNumberFormat="1" applyFill="1" applyBorder="1" applyAlignment="1" applyProtection="1">
      <alignment horizontal="center"/>
      <protection locked="0" hidden="1"/>
    </xf>
    <xf numFmtId="0" fontId="0" fillId="2" borderId="31" xfId="0" applyFill="1" applyBorder="1" applyAlignment="1" applyProtection="1">
      <alignment horizontal="center"/>
      <protection locked="0" hidden="1"/>
    </xf>
    <xf numFmtId="0" fontId="0" fillId="0" borderId="30" xfId="0" applyBorder="1" applyProtection="1">
      <protection hidden="1"/>
    </xf>
    <xf numFmtId="0" fontId="0" fillId="0" borderId="1" xfId="0" applyBorder="1" applyAlignment="1" applyProtection="1">
      <alignment horizontal="left" vertical="center" wrapText="1"/>
      <protection hidden="1"/>
    </xf>
    <xf numFmtId="43" fontId="0" fillId="0" borderId="1" xfId="0" applyNumberFormat="1" applyBorder="1" applyProtection="1">
      <protection hidden="1"/>
    </xf>
    <xf numFmtId="165" fontId="0" fillId="0" borderId="12" xfId="3" applyNumberFormat="1" applyFont="1" applyBorder="1" applyAlignment="1" applyProtection="1">
      <alignment horizontal="center"/>
      <protection hidden="1"/>
    </xf>
    <xf numFmtId="165" fontId="0" fillId="0" borderId="1" xfId="3" applyNumberFormat="1" applyFont="1" applyBorder="1" applyAlignment="1" applyProtection="1">
      <alignment horizontal="center"/>
      <protection hidden="1"/>
    </xf>
    <xf numFmtId="165" fontId="2" fillId="0" borderId="12" xfId="3" applyNumberFormat="1" applyFont="1" applyBorder="1" applyAlignment="1" applyProtection="1">
      <alignment horizontal="center"/>
      <protection hidden="1"/>
    </xf>
    <xf numFmtId="165" fontId="2" fillId="0" borderId="1" xfId="3" applyNumberFormat="1" applyFont="1" applyBorder="1" applyAlignment="1" applyProtection="1">
      <alignment horizontal="center"/>
      <protection hidden="1"/>
    </xf>
    <xf numFmtId="165" fontId="0" fillId="0" borderId="12" xfId="3" applyNumberFormat="1" applyFont="1" applyBorder="1" applyAlignment="1" applyProtection="1">
      <alignment horizontal="center" vertical="center"/>
      <protection hidden="1"/>
    </xf>
    <xf numFmtId="165" fontId="0" fillId="0" borderId="1" xfId="3" applyNumberFormat="1" applyFont="1" applyBorder="1" applyAlignment="1" applyProtection="1">
      <alignment horizontal="center" vertical="center"/>
      <protection hidden="1"/>
    </xf>
    <xf numFmtId="165" fontId="0" fillId="0" borderId="14" xfId="3" applyNumberFormat="1" applyFont="1" applyBorder="1" applyAlignment="1" applyProtection="1">
      <alignment horizontal="center"/>
      <protection hidden="1"/>
    </xf>
    <xf numFmtId="165" fontId="0" fillId="0" borderId="15" xfId="3" applyNumberFormat="1" applyFont="1" applyBorder="1" applyAlignment="1" applyProtection="1">
      <alignment horizontal="center"/>
      <protection hidden="1"/>
    </xf>
    <xf numFmtId="0" fontId="0" fillId="0" borderId="19" xfId="0" applyBorder="1" applyProtection="1">
      <protection hidden="1"/>
    </xf>
    <xf numFmtId="0" fontId="0" fillId="0" borderId="12" xfId="0" applyBorder="1" applyAlignment="1" applyProtection="1">
      <alignment horizontal="center"/>
      <protection hidden="1"/>
    </xf>
    <xf numFmtId="0" fontId="0" fillId="0" borderId="14" xfId="0" applyBorder="1" applyAlignment="1" applyProtection="1">
      <alignment horizontal="center"/>
      <protection hidden="1"/>
    </xf>
    <xf numFmtId="0" fontId="0" fillId="0" borderId="16" xfId="0" applyBorder="1" applyProtection="1">
      <protection hidden="1"/>
    </xf>
    <xf numFmtId="0" fontId="0" fillId="0" borderId="27" xfId="0" applyBorder="1" applyAlignment="1" applyProtection="1">
      <alignment horizontal="center"/>
      <protection hidden="1"/>
    </xf>
    <xf numFmtId="0" fontId="0" fillId="0" borderId="28" xfId="0" applyBorder="1" applyProtection="1">
      <protection hidden="1"/>
    </xf>
    <xf numFmtId="165" fontId="0" fillId="0" borderId="27" xfId="3" applyNumberFormat="1" applyFont="1" applyBorder="1" applyProtection="1">
      <protection hidden="1"/>
    </xf>
    <xf numFmtId="165" fontId="0" fillId="0" borderId="3" xfId="3" applyNumberFormat="1" applyFont="1" applyBorder="1" applyProtection="1">
      <protection hidden="1"/>
    </xf>
    <xf numFmtId="9" fontId="0" fillId="0" borderId="28" xfId="1" applyFont="1" applyBorder="1" applyProtection="1">
      <protection hidden="1"/>
    </xf>
    <xf numFmtId="165" fontId="0" fillId="0" borderId="9" xfId="3" applyNumberFormat="1" applyFont="1" applyBorder="1" applyProtection="1">
      <protection hidden="1"/>
    </xf>
    <xf numFmtId="0" fontId="2" fillId="0" borderId="32" xfId="0" applyFont="1" applyBorder="1" applyProtection="1">
      <protection hidden="1"/>
    </xf>
    <xf numFmtId="0" fontId="2" fillId="0" borderId="33" xfId="0" applyFont="1" applyBorder="1" applyProtection="1">
      <protection hidden="1"/>
    </xf>
    <xf numFmtId="0" fontId="2" fillId="0" borderId="32" xfId="0" applyFont="1" applyBorder="1" applyAlignment="1" applyProtection="1">
      <alignment vertical="center"/>
      <protection hidden="1"/>
    </xf>
    <xf numFmtId="0" fontId="2" fillId="0" borderId="34" xfId="0" applyFont="1" applyBorder="1" applyAlignment="1" applyProtection="1">
      <alignment vertical="center"/>
      <protection hidden="1"/>
    </xf>
    <xf numFmtId="0" fontId="2" fillId="0" borderId="33" xfId="0" applyFont="1" applyBorder="1" applyAlignment="1" applyProtection="1">
      <alignment horizontal="center" vertical="center" wrapText="1"/>
      <protection hidden="1"/>
    </xf>
    <xf numFmtId="0" fontId="2" fillId="0" borderId="35" xfId="0" applyFont="1" applyBorder="1" applyAlignment="1" applyProtection="1">
      <alignment vertical="center"/>
      <protection hidden="1"/>
    </xf>
    <xf numFmtId="165" fontId="0" fillId="0" borderId="0" xfId="0" applyNumberFormat="1" applyProtection="1">
      <protection hidden="1"/>
    </xf>
    <xf numFmtId="165" fontId="2" fillId="3" borderId="1" xfId="3" applyNumberFormat="1" applyFont="1" applyFill="1" applyBorder="1" applyProtection="1">
      <protection hidden="1"/>
    </xf>
    <xf numFmtId="0" fontId="0" fillId="0" borderId="13" xfId="0" applyBorder="1" applyAlignment="1" applyProtection="1">
      <alignment horizontal="center"/>
      <protection hidden="1"/>
    </xf>
    <xf numFmtId="1" fontId="0" fillId="0" borderId="1" xfId="0" applyNumberFormat="1" applyBorder="1" applyAlignment="1" applyProtection="1">
      <alignment horizontal="center"/>
      <protection hidden="1"/>
    </xf>
    <xf numFmtId="9" fontId="0" fillId="0" borderId="13" xfId="1" applyFont="1" applyBorder="1" applyAlignment="1" applyProtection="1">
      <alignment horizontal="center"/>
      <protection hidden="1"/>
    </xf>
    <xf numFmtId="1" fontId="2" fillId="0" borderId="1" xfId="0" applyNumberFormat="1" applyFont="1" applyBorder="1" applyAlignment="1" applyProtection="1">
      <alignment horizontal="center"/>
      <protection hidden="1"/>
    </xf>
    <xf numFmtId="9" fontId="2" fillId="0" borderId="13" xfId="1" applyFont="1" applyBorder="1" applyAlignment="1" applyProtection="1">
      <alignment horizontal="center"/>
      <protection hidden="1"/>
    </xf>
    <xf numFmtId="9" fontId="0" fillId="0" borderId="1" xfId="1" applyFont="1" applyBorder="1" applyAlignment="1" applyProtection="1">
      <alignment horizontal="center"/>
      <protection hidden="1"/>
    </xf>
    <xf numFmtId="1" fontId="0" fillId="0" borderId="1" xfId="0" applyNumberFormat="1" applyBorder="1" applyAlignment="1" applyProtection="1">
      <alignment horizontal="center" vertical="center"/>
      <protection hidden="1"/>
    </xf>
    <xf numFmtId="9" fontId="0" fillId="0" borderId="13" xfId="1" applyFont="1" applyBorder="1" applyAlignment="1" applyProtection="1">
      <alignment horizontal="center" vertical="center"/>
      <protection hidden="1"/>
    </xf>
    <xf numFmtId="1" fontId="0" fillId="0" borderId="15" xfId="1" applyNumberFormat="1" applyFont="1" applyBorder="1" applyAlignment="1" applyProtection="1">
      <alignment horizontal="center"/>
      <protection hidden="1"/>
    </xf>
    <xf numFmtId="9" fontId="0" fillId="0" borderId="16" xfId="0" applyNumberFormat="1" applyBorder="1" applyAlignment="1" applyProtection="1">
      <alignment horizontal="center"/>
      <protection hidden="1"/>
    </xf>
    <xf numFmtId="0" fontId="2" fillId="0" borderId="7" xfId="0" applyFont="1" applyBorder="1" applyProtection="1">
      <protection hidden="1"/>
    </xf>
    <xf numFmtId="0" fontId="2" fillId="0" borderId="27" xfId="0" applyFont="1" applyBorder="1" applyAlignment="1" applyProtection="1">
      <alignment horizontal="center"/>
      <protection hidden="1"/>
    </xf>
    <xf numFmtId="0" fontId="2" fillId="0" borderId="3" xfId="0" applyFont="1" applyBorder="1" applyAlignment="1" applyProtection="1">
      <alignment horizontal="center"/>
      <protection hidden="1"/>
    </xf>
    <xf numFmtId="0" fontId="2" fillId="0" borderId="28" xfId="0" applyFont="1" applyBorder="1" applyAlignment="1" applyProtection="1">
      <alignment horizontal="center"/>
      <protection hidden="1"/>
    </xf>
    <xf numFmtId="0" fontId="2" fillId="0" borderId="32" xfId="0" applyFont="1" applyBorder="1" applyAlignment="1" applyProtection="1">
      <alignment horizontal="center" vertical="center"/>
      <protection hidden="1"/>
    </xf>
    <xf numFmtId="0" fontId="2" fillId="0" borderId="36" xfId="0" applyFont="1" applyBorder="1" applyAlignment="1" applyProtection="1">
      <alignment horizontal="center" vertical="center"/>
      <protection hidden="1"/>
    </xf>
    <xf numFmtId="0" fontId="2" fillId="0" borderId="34" xfId="0" applyFont="1" applyBorder="1" applyAlignment="1" applyProtection="1">
      <alignment horizontal="center" vertical="center"/>
      <protection hidden="1"/>
    </xf>
    <xf numFmtId="0" fontId="2" fillId="0" borderId="34" xfId="0" applyFont="1" applyBorder="1" applyAlignment="1" applyProtection="1">
      <alignment wrapText="1"/>
      <protection hidden="1"/>
    </xf>
    <xf numFmtId="0" fontId="2" fillId="0" borderId="33" xfId="0" applyFont="1" applyBorder="1" applyAlignment="1" applyProtection="1">
      <alignment wrapText="1"/>
      <protection hidden="1"/>
    </xf>
    <xf numFmtId="0" fontId="2" fillId="0" borderId="29" xfId="0" applyFont="1" applyBorder="1" applyAlignment="1" applyProtection="1">
      <alignment horizontal="center" vertical="center"/>
      <protection hidden="1"/>
    </xf>
    <xf numFmtId="0" fontId="2" fillId="0" borderId="27" xfId="0" applyFont="1" applyBorder="1" applyProtection="1">
      <protection hidden="1"/>
    </xf>
    <xf numFmtId="0" fontId="0" fillId="0" borderId="37" xfId="0" applyBorder="1" applyProtection="1">
      <protection hidden="1"/>
    </xf>
    <xf numFmtId="0" fontId="0" fillId="0" borderId="38" xfId="0" applyBorder="1" applyProtection="1">
      <protection hidden="1"/>
    </xf>
    <xf numFmtId="0" fontId="2" fillId="0" borderId="38" xfId="0" applyFont="1" applyBorder="1" applyProtection="1">
      <protection hidden="1"/>
    </xf>
    <xf numFmtId="0" fontId="2" fillId="0" borderId="25" xfId="0" applyFont="1" applyBorder="1" applyProtection="1">
      <protection hidden="1"/>
    </xf>
    <xf numFmtId="0" fontId="0" fillId="0" borderId="39" xfId="0" applyBorder="1" applyProtection="1">
      <protection hidden="1"/>
    </xf>
    <xf numFmtId="0" fontId="2" fillId="4" borderId="20" xfId="0" applyFont="1" applyFill="1" applyBorder="1" applyAlignment="1" applyProtection="1">
      <alignment vertical="center" wrapText="1"/>
      <protection hidden="1"/>
    </xf>
    <xf numFmtId="0" fontId="2" fillId="4" borderId="21" xfId="0" applyFont="1" applyFill="1" applyBorder="1" applyAlignment="1" applyProtection="1">
      <alignment vertical="center"/>
      <protection hidden="1"/>
    </xf>
    <xf numFmtId="0" fontId="2" fillId="4" borderId="21" xfId="0" applyFont="1" applyFill="1" applyBorder="1" applyProtection="1">
      <protection hidden="1"/>
    </xf>
    <xf numFmtId="0" fontId="2" fillId="4" borderId="21" xfId="0" applyFont="1" applyFill="1" applyBorder="1" applyAlignment="1" applyProtection="1">
      <alignment vertical="center" wrapText="1"/>
      <protection hidden="1"/>
    </xf>
    <xf numFmtId="0" fontId="2" fillId="4" borderId="22" xfId="0" applyFont="1" applyFill="1" applyBorder="1" applyProtection="1">
      <protection hidden="1"/>
    </xf>
    <xf numFmtId="0" fontId="0" fillId="0" borderId="12" xfId="0" applyBorder="1" applyAlignment="1" applyProtection="1">
      <alignment horizontal="center" vertical="center"/>
      <protection hidden="1"/>
    </xf>
    <xf numFmtId="0" fontId="0" fillId="0" borderId="13" xfId="0" applyBorder="1" applyAlignment="1" applyProtection="1">
      <alignment wrapText="1"/>
      <protection hidden="1"/>
    </xf>
    <xf numFmtId="165" fontId="0" fillId="0" borderId="0" xfId="3" applyNumberFormat="1" applyFont="1" applyBorder="1" applyProtection="1">
      <protection hidden="1"/>
    </xf>
    <xf numFmtId="10" fontId="0" fillId="0" borderId="15" xfId="1" applyNumberFormat="1" applyFont="1" applyBorder="1" applyProtection="1">
      <protection hidden="1"/>
    </xf>
    <xf numFmtId="2" fontId="0" fillId="0" borderId="0" xfId="0" applyNumberFormat="1" applyProtection="1">
      <protection hidden="1"/>
    </xf>
    <xf numFmtId="1" fontId="0" fillId="0" borderId="0" xfId="0" applyNumberFormat="1" applyProtection="1">
      <protection hidden="1"/>
    </xf>
    <xf numFmtId="166" fontId="0" fillId="0" borderId="1" xfId="1" applyNumberFormat="1" applyFont="1" applyBorder="1" applyProtection="1">
      <protection hidden="1"/>
    </xf>
    <xf numFmtId="165" fontId="1" fillId="0" borderId="1" xfId="3" applyNumberFormat="1" applyFont="1" applyBorder="1" applyProtection="1">
      <protection hidden="1"/>
    </xf>
    <xf numFmtId="9" fontId="0" fillId="0" borderId="1" xfId="1" applyFont="1" applyBorder="1" applyProtection="1">
      <protection hidden="1"/>
    </xf>
    <xf numFmtId="0" fontId="10" fillId="0" borderId="1" xfId="0" applyFont="1" applyBorder="1" applyAlignment="1" applyProtection="1">
      <alignment wrapText="1"/>
      <protection hidden="1"/>
    </xf>
    <xf numFmtId="43" fontId="0" fillId="3" borderId="1" xfId="3" applyFont="1" applyFill="1" applyBorder="1" applyAlignment="1" applyProtection="1">
      <alignment vertical="center"/>
      <protection hidden="1"/>
    </xf>
    <xf numFmtId="0" fontId="10" fillId="0" borderId="1" xfId="0" applyFont="1" applyBorder="1" applyAlignment="1" applyProtection="1">
      <alignment vertical="center" wrapText="1"/>
      <protection hidden="1"/>
    </xf>
    <xf numFmtId="0" fontId="0" fillId="0" borderId="1" xfId="0" applyBorder="1" applyAlignment="1" applyProtection="1">
      <alignment horizontal="center" vertical="center" wrapText="1"/>
      <protection hidden="1"/>
    </xf>
    <xf numFmtId="10" fontId="0" fillId="2" borderId="1" xfId="1" applyNumberFormat="1" applyFont="1" applyFill="1" applyBorder="1" applyAlignment="1" applyProtection="1">
      <alignment horizontal="center" vertical="center"/>
      <protection locked="0" hidden="1"/>
    </xf>
    <xf numFmtId="167" fontId="0" fillId="0" borderId="0" xfId="0" applyNumberFormat="1" applyProtection="1">
      <protection hidden="1"/>
    </xf>
    <xf numFmtId="167" fontId="2" fillId="0" borderId="0" xfId="0" applyNumberFormat="1" applyFont="1" applyProtection="1">
      <protection hidden="1"/>
    </xf>
    <xf numFmtId="9" fontId="0" fillId="0" borderId="0" xfId="1" applyFont="1" applyBorder="1" applyProtection="1">
      <protection hidden="1"/>
    </xf>
    <xf numFmtId="166" fontId="0" fillId="0" borderId="3" xfId="1" applyNumberFormat="1" applyFont="1" applyBorder="1" applyAlignment="1" applyProtection="1">
      <alignment vertical="center"/>
      <protection hidden="1"/>
    </xf>
    <xf numFmtId="168" fontId="0" fillId="0" borderId="0" xfId="1" applyNumberFormat="1" applyFont="1" applyProtection="1">
      <protection hidden="1"/>
    </xf>
    <xf numFmtId="0" fontId="2" fillId="4" borderId="17" xfId="0" applyFont="1" applyFill="1" applyBorder="1" applyAlignment="1" applyProtection="1">
      <alignment horizontal="center"/>
      <protection hidden="1"/>
    </xf>
    <xf numFmtId="0" fontId="2" fillId="4" borderId="18" xfId="0" applyFont="1" applyFill="1" applyBorder="1" applyAlignment="1" applyProtection="1">
      <alignment horizontal="center"/>
      <protection hidden="1"/>
    </xf>
    <xf numFmtId="0" fontId="2" fillId="4" borderId="19" xfId="0" applyFont="1" applyFill="1" applyBorder="1" applyAlignment="1" applyProtection="1">
      <alignment horizontal="center"/>
      <protection hidden="1"/>
    </xf>
    <xf numFmtId="0" fontId="2" fillId="5" borderId="18" xfId="0" applyFont="1" applyFill="1" applyBorder="1" applyAlignment="1" applyProtection="1">
      <alignment horizontal="center"/>
      <protection hidden="1"/>
    </xf>
    <xf numFmtId="0" fontId="2" fillId="5" borderId="19" xfId="0" applyFont="1" applyFill="1" applyBorder="1" applyAlignment="1" applyProtection="1">
      <alignment horizontal="center"/>
      <protection hidden="1"/>
    </xf>
    <xf numFmtId="0" fontId="2" fillId="0" borderId="2" xfId="0" applyFont="1" applyBorder="1" applyAlignment="1" applyProtection="1">
      <alignment horizontal="left" vertical="center"/>
      <protection hidden="1"/>
    </xf>
    <xf numFmtId="0" fontId="2" fillId="0" borderId="3" xfId="0" applyFont="1" applyBorder="1" applyAlignment="1" applyProtection="1">
      <alignment horizontal="left" vertical="center"/>
      <protection hidden="1"/>
    </xf>
    <xf numFmtId="0" fontId="2" fillId="0" borderId="4" xfId="0" applyFont="1" applyBorder="1" applyAlignment="1" applyProtection="1">
      <alignment horizontal="left" vertical="center"/>
      <protection hidden="1"/>
    </xf>
    <xf numFmtId="0" fontId="2" fillId="0" borderId="5" xfId="0" applyFont="1" applyBorder="1" applyAlignment="1" applyProtection="1">
      <alignment horizontal="left" vertical="center"/>
      <protection hidden="1"/>
    </xf>
    <xf numFmtId="0" fontId="2" fillId="0" borderId="6" xfId="0" applyFont="1" applyBorder="1" applyAlignment="1" applyProtection="1">
      <alignment horizontal="left" vertical="center"/>
      <protection hidden="1"/>
    </xf>
    <xf numFmtId="0" fontId="2" fillId="0" borderId="7" xfId="0" applyFont="1" applyBorder="1" applyAlignment="1" applyProtection="1">
      <alignment horizontal="left" vertical="center"/>
      <protection hidden="1"/>
    </xf>
    <xf numFmtId="0" fontId="2" fillId="0" borderId="8" xfId="0" applyFont="1" applyBorder="1" applyAlignment="1" applyProtection="1">
      <alignment horizontal="left" vertical="center"/>
      <protection hidden="1"/>
    </xf>
    <xf numFmtId="0" fontId="2" fillId="0" borderId="9" xfId="0" applyFont="1" applyBorder="1" applyAlignment="1" applyProtection="1">
      <alignment horizontal="left" vertical="center"/>
      <protection hidden="1"/>
    </xf>
    <xf numFmtId="0" fontId="0" fillId="2" borderId="21" xfId="0" applyFill="1" applyBorder="1" applyAlignment="1" applyProtection="1">
      <alignment horizontal="center"/>
      <protection locked="0" hidden="1"/>
    </xf>
    <xf numFmtId="0" fontId="0" fillId="2" borderId="22" xfId="0" applyFill="1" applyBorder="1" applyAlignment="1" applyProtection="1">
      <alignment horizontal="center"/>
      <protection locked="0" hidden="1"/>
    </xf>
    <xf numFmtId="0" fontId="0" fillId="0" borderId="23" xfId="0" applyBorder="1" applyAlignment="1" applyProtection="1">
      <alignment horizontal="left"/>
      <protection hidden="1"/>
    </xf>
    <xf numFmtId="0" fontId="0" fillId="0" borderId="24" xfId="0" applyBorder="1" applyAlignment="1" applyProtection="1">
      <alignment horizontal="left"/>
      <protection hidden="1"/>
    </xf>
    <xf numFmtId="0" fontId="2" fillId="5" borderId="17" xfId="0" applyFont="1" applyFill="1" applyBorder="1" applyAlignment="1" applyProtection="1">
      <alignment horizontal="center"/>
      <protection hidden="1"/>
    </xf>
    <xf numFmtId="0" fontId="2" fillId="4" borderId="10" xfId="0" applyFont="1" applyFill="1" applyBorder="1" applyAlignment="1" applyProtection="1">
      <alignment horizontal="center"/>
      <protection hidden="1"/>
    </xf>
    <xf numFmtId="0" fontId="2" fillId="4" borderId="11" xfId="0" applyFont="1" applyFill="1" applyBorder="1" applyAlignment="1" applyProtection="1">
      <alignment horizontal="center"/>
      <protection hidden="1"/>
    </xf>
    <xf numFmtId="0" fontId="2" fillId="0" borderId="1" xfId="0" applyFont="1" applyBorder="1" applyAlignment="1" applyProtection="1">
      <alignment horizontal="center"/>
      <protection hidden="1"/>
    </xf>
  </cellXfs>
  <cellStyles count="4">
    <cellStyle name="Comma" xfId="3" builtinId="3"/>
    <cellStyle name="Normal" xfId="0" builtinId="0"/>
    <cellStyle name="Normal 2" xfId="2" xr:uid="{00000000-0005-0000-0000-000002000000}"/>
    <cellStyle name="Percent" xfId="1" builtinId="5"/>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3"/>
  <sheetViews>
    <sheetView showGridLines="0" zoomScale="90" zoomScaleNormal="90" workbookViewId="0">
      <selection activeCell="B30" sqref="B30"/>
    </sheetView>
  </sheetViews>
  <sheetFormatPr defaultColWidth="0" defaultRowHeight="14.5" zeroHeight="1" x14ac:dyDescent="0.35"/>
  <cols>
    <col min="1" max="1" width="9.1796875" style="1" customWidth="1"/>
    <col min="2" max="2" width="96" style="1" bestFit="1" customWidth="1"/>
    <col min="3" max="12" width="0" style="1" hidden="1" customWidth="1"/>
    <col min="13" max="16384" width="9.1796875" style="1" hidden="1"/>
  </cols>
  <sheetData>
    <row r="1" spans="1:12" x14ac:dyDescent="0.35"/>
    <row r="2" spans="1:12" x14ac:dyDescent="0.35">
      <c r="A2" s="2" t="s">
        <v>189</v>
      </c>
    </row>
    <row r="3" spans="1:12" x14ac:dyDescent="0.35"/>
    <row r="4" spans="1:12" ht="29" x14ac:dyDescent="0.35">
      <c r="A4" s="26" t="s">
        <v>85</v>
      </c>
      <c r="B4" s="27" t="s">
        <v>159</v>
      </c>
    </row>
    <row r="5" spans="1:12" x14ac:dyDescent="0.35">
      <c r="A5" s="11"/>
    </row>
    <row r="6" spans="1:12" x14ac:dyDescent="0.35">
      <c r="A6" s="11" t="s">
        <v>86</v>
      </c>
      <c r="B6" s="1" t="s">
        <v>88</v>
      </c>
    </row>
    <row r="7" spans="1:12" x14ac:dyDescent="0.35">
      <c r="A7" s="11"/>
    </row>
    <row r="8" spans="1:12" x14ac:dyDescent="0.35">
      <c r="A8" s="11" t="s">
        <v>89</v>
      </c>
      <c r="B8" s="1" t="s">
        <v>187</v>
      </c>
    </row>
    <row r="9" spans="1:12" x14ac:dyDescent="0.35">
      <c r="A9" s="11"/>
    </row>
    <row r="10" spans="1:12" ht="29" x14ac:dyDescent="0.35">
      <c r="A10" s="26" t="s">
        <v>90</v>
      </c>
      <c r="B10" s="27" t="s">
        <v>231</v>
      </c>
    </row>
    <row r="11" spans="1:12" x14ac:dyDescent="0.35">
      <c r="A11" s="11"/>
    </row>
    <row r="12" spans="1:12" ht="41.25" customHeight="1" x14ac:dyDescent="0.35">
      <c r="A12" s="26" t="s">
        <v>98</v>
      </c>
      <c r="B12" s="27" t="s">
        <v>87</v>
      </c>
      <c r="C12" s="27"/>
      <c r="D12" s="27"/>
      <c r="E12" s="27"/>
      <c r="F12" s="27"/>
      <c r="G12" s="27"/>
      <c r="H12" s="27"/>
      <c r="I12" s="27"/>
      <c r="J12" s="27"/>
      <c r="K12" s="27"/>
      <c r="L12" s="27"/>
    </row>
    <row r="13" spans="1:12" x14ac:dyDescent="0.35">
      <c r="A13" s="11"/>
    </row>
    <row r="14" spans="1:12" x14ac:dyDescent="0.35">
      <c r="A14" s="11" t="s">
        <v>103</v>
      </c>
      <c r="B14" s="1" t="s">
        <v>112</v>
      </c>
    </row>
    <row r="15" spans="1:12" x14ac:dyDescent="0.35">
      <c r="A15" s="11"/>
    </row>
    <row r="16" spans="1:12" ht="29" x14ac:dyDescent="0.35">
      <c r="A16" s="26" t="s">
        <v>113</v>
      </c>
      <c r="B16" s="27" t="s">
        <v>238</v>
      </c>
    </row>
    <row r="17" spans="1:2" x14ac:dyDescent="0.35">
      <c r="A17" s="11"/>
    </row>
    <row r="18" spans="1:2" x14ac:dyDescent="0.35">
      <c r="A18" s="11" t="s">
        <v>117</v>
      </c>
      <c r="B18" s="1" t="s">
        <v>188</v>
      </c>
    </row>
    <row r="19" spans="1:2" x14ac:dyDescent="0.35">
      <c r="A19" s="11"/>
    </row>
    <row r="20" spans="1:2" x14ac:dyDescent="0.35">
      <c r="A20" s="26" t="s">
        <v>118</v>
      </c>
      <c r="B20" s="27" t="s">
        <v>119</v>
      </c>
    </row>
    <row r="21" spans="1:2" x14ac:dyDescent="0.35">
      <c r="A21" s="11"/>
    </row>
    <row r="22" spans="1:2" ht="29" x14ac:dyDescent="0.35">
      <c r="A22" s="26" t="s">
        <v>147</v>
      </c>
      <c r="B22" s="27" t="s">
        <v>239</v>
      </c>
    </row>
    <row r="23" spans="1:2" x14ac:dyDescent="0.35"/>
    <row r="24" spans="1:2" x14ac:dyDescent="0.35">
      <c r="B24" s="29" t="s">
        <v>121</v>
      </c>
    </row>
    <row r="25" spans="1:2" x14ac:dyDescent="0.35"/>
    <row r="26" spans="1:2" ht="87" x14ac:dyDescent="0.35">
      <c r="A26" s="26">
        <v>1</v>
      </c>
      <c r="B26" s="27" t="s">
        <v>193</v>
      </c>
    </row>
    <row r="27" spans="1:2" x14ac:dyDescent="0.35"/>
    <row r="28" spans="1:2" ht="43.5" x14ac:dyDescent="0.35">
      <c r="A28" s="26">
        <v>2</v>
      </c>
      <c r="B28" s="28" t="s">
        <v>240</v>
      </c>
    </row>
    <row r="29" spans="1:2" x14ac:dyDescent="0.35"/>
    <row r="30" spans="1:2" ht="58" x14ac:dyDescent="0.35">
      <c r="A30" s="26">
        <v>3</v>
      </c>
      <c r="B30" s="27" t="s">
        <v>241</v>
      </c>
    </row>
    <row r="31" spans="1:2" x14ac:dyDescent="0.35"/>
    <row r="32" spans="1:2" ht="43.5" x14ac:dyDescent="0.35">
      <c r="A32" s="26">
        <v>4</v>
      </c>
      <c r="B32" s="28" t="s">
        <v>242</v>
      </c>
    </row>
    <row r="33" x14ac:dyDescent="0.35"/>
  </sheetData>
  <sheetProtection algorithmName="SHA-512" hashValue="NtoMf1Kh+l7FWgQ0Knu7dSfdh1cDgaMPAeSZ1+08gNgmN+ACtuH7OcvUj+h3Wgk6hs/mUE76DICTtFswjb+m5g==" saltValue="+99/ff5Qntad/BT/OEBUyw==" spinCount="100000" sheet="1" objects="1" scenarios="1"/>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I20"/>
  <sheetViews>
    <sheetView zoomScale="90" zoomScaleNormal="90" workbookViewId="0">
      <pane xSplit="1" ySplit="4" topLeftCell="B5" activePane="bottomRight" state="frozen"/>
      <selection pane="topRight" activeCell="B1" sqref="B1"/>
      <selection pane="bottomLeft" activeCell="A5" sqref="A5"/>
      <selection pane="bottomRight" activeCell="F9" sqref="F9"/>
    </sheetView>
  </sheetViews>
  <sheetFormatPr defaultColWidth="9.1796875" defaultRowHeight="14.5" x14ac:dyDescent="0.35"/>
  <cols>
    <col min="1" max="1" width="9.1796875" style="1"/>
    <col min="2" max="2" width="40.453125" style="1" customWidth="1"/>
    <col min="3" max="3" width="10.453125" style="1" bestFit="1" customWidth="1"/>
    <col min="4" max="4" width="13.1796875" style="1" bestFit="1" customWidth="1"/>
    <col min="5" max="5" width="9.1796875" style="1"/>
    <col min="6" max="6" width="11.1796875" style="1" customWidth="1"/>
    <col min="7" max="7" width="12.453125" style="1" bestFit="1" customWidth="1"/>
    <col min="8" max="16384" width="9.1796875" style="1"/>
  </cols>
  <sheetData>
    <row r="2" spans="1:9" ht="15" thickBot="1" x14ac:dyDescent="0.4">
      <c r="A2" s="2" t="s">
        <v>51</v>
      </c>
    </row>
    <row r="3" spans="1:9" ht="15" thickBot="1" x14ac:dyDescent="0.4">
      <c r="A3" s="56"/>
      <c r="B3" s="76"/>
      <c r="C3" s="144" t="s">
        <v>194</v>
      </c>
      <c r="D3" s="145"/>
      <c r="E3" s="146"/>
      <c r="F3" s="147" t="s">
        <v>195</v>
      </c>
      <c r="G3" s="147"/>
      <c r="H3" s="148"/>
    </row>
    <row r="4" spans="1:9" ht="29.5" thickBot="1" x14ac:dyDescent="0.4">
      <c r="A4" s="86" t="s">
        <v>43</v>
      </c>
      <c r="B4" s="87" t="s">
        <v>40</v>
      </c>
      <c r="C4" s="88" t="s">
        <v>17</v>
      </c>
      <c r="D4" s="89" t="s">
        <v>46</v>
      </c>
      <c r="E4" s="90" t="s">
        <v>53</v>
      </c>
      <c r="F4" s="91" t="s">
        <v>17</v>
      </c>
      <c r="G4" s="89" t="s">
        <v>46</v>
      </c>
      <c r="H4" s="90" t="s">
        <v>53</v>
      </c>
    </row>
    <row r="5" spans="1:9" x14ac:dyDescent="0.35">
      <c r="A5" s="80">
        <v>1</v>
      </c>
      <c r="B5" s="81" t="s">
        <v>91</v>
      </c>
      <c r="C5" s="82">
        <f>'Cash -Calculator'!C10</f>
        <v>165183.33333333334</v>
      </c>
      <c r="D5" s="83">
        <f>'Cash -Calculator'!D10</f>
        <v>1982200</v>
      </c>
      <c r="E5" s="84">
        <f>D5/$D$11</f>
        <v>0.90100000000000002</v>
      </c>
      <c r="F5" s="85">
        <f>'Cash -Calculator'!C10</f>
        <v>165183.33333333334</v>
      </c>
      <c r="G5" s="83">
        <f>'Cash -Calculator'!D10</f>
        <v>1982200</v>
      </c>
      <c r="H5" s="84">
        <f>G5/$D$11</f>
        <v>0.90100000000000002</v>
      </c>
    </row>
    <row r="6" spans="1:9" x14ac:dyDescent="0.35">
      <c r="A6" s="77"/>
      <c r="B6" s="46"/>
      <c r="C6" s="44"/>
      <c r="D6" s="31"/>
      <c r="E6" s="46"/>
      <c r="F6" s="54"/>
      <c r="G6" s="31"/>
      <c r="H6" s="46"/>
    </row>
    <row r="7" spans="1:9" x14ac:dyDescent="0.35">
      <c r="A7" s="77">
        <v>2</v>
      </c>
      <c r="B7" s="46" t="s">
        <v>124</v>
      </c>
      <c r="C7" s="44">
        <f>'Cash -Calculator'!C16</f>
        <v>0</v>
      </c>
      <c r="D7" s="31">
        <f>'Cash -Calculator'!D16</f>
        <v>0</v>
      </c>
      <c r="E7" s="45">
        <f>D7/$D$11</f>
        <v>0</v>
      </c>
      <c r="F7" s="54">
        <f>'Cash -Calculator'!C16</f>
        <v>0</v>
      </c>
      <c r="G7" s="31">
        <f>'Cash -Calculator'!D16</f>
        <v>0</v>
      </c>
      <c r="H7" s="45">
        <f>G7/$D$11</f>
        <v>0</v>
      </c>
    </row>
    <row r="8" spans="1:9" x14ac:dyDescent="0.35">
      <c r="A8" s="77"/>
      <c r="B8" s="46"/>
      <c r="C8" s="44"/>
      <c r="D8" s="31"/>
      <c r="E8" s="45"/>
      <c r="F8" s="54"/>
      <c r="G8" s="31"/>
      <c r="H8" s="45"/>
    </row>
    <row r="9" spans="1:9" x14ac:dyDescent="0.35">
      <c r="A9" s="77">
        <v>3</v>
      </c>
      <c r="B9" s="46" t="s">
        <v>92</v>
      </c>
      <c r="C9" s="44">
        <f>'Cash -Calculator'!C31</f>
        <v>18150</v>
      </c>
      <c r="D9" s="31">
        <f>'Cash -Calculator'!D31</f>
        <v>217800</v>
      </c>
      <c r="E9" s="45">
        <f>D9/$D$11</f>
        <v>9.9000000000000005E-2</v>
      </c>
      <c r="F9" s="54">
        <f>'Cash -Calculator'!C31</f>
        <v>18150</v>
      </c>
      <c r="G9" s="31">
        <f>'Cash -Calculator'!D31</f>
        <v>217800</v>
      </c>
      <c r="H9" s="45">
        <f>G9/$D$11</f>
        <v>9.9000000000000005E-2</v>
      </c>
    </row>
    <row r="10" spans="1:9" x14ac:dyDescent="0.35">
      <c r="A10" s="77"/>
      <c r="B10" s="46"/>
      <c r="C10" s="44"/>
      <c r="D10" s="31"/>
      <c r="E10" s="46"/>
      <c r="F10" s="54"/>
      <c r="G10" s="31"/>
      <c r="H10" s="46"/>
    </row>
    <row r="11" spans="1:9" x14ac:dyDescent="0.35">
      <c r="A11" s="77">
        <v>4</v>
      </c>
      <c r="B11" s="46" t="s">
        <v>93</v>
      </c>
      <c r="C11" s="44">
        <f t="shared" ref="C11:H11" si="0">SUM(C5:C9)</f>
        <v>183333.33333333334</v>
      </c>
      <c r="D11" s="31">
        <f t="shared" si="0"/>
        <v>2200000</v>
      </c>
      <c r="E11" s="47">
        <f t="shared" si="0"/>
        <v>1</v>
      </c>
      <c r="F11" s="54">
        <f t="shared" si="0"/>
        <v>183333.33333333334</v>
      </c>
      <c r="G11" s="31">
        <f t="shared" si="0"/>
        <v>2200000</v>
      </c>
      <c r="H11" s="47">
        <f t="shared" si="0"/>
        <v>1</v>
      </c>
    </row>
    <row r="12" spans="1:9" x14ac:dyDescent="0.35">
      <c r="A12" s="77"/>
      <c r="B12" s="46"/>
      <c r="C12" s="44"/>
      <c r="D12" s="31"/>
      <c r="E12" s="46"/>
      <c r="F12" s="54"/>
      <c r="G12" s="31"/>
      <c r="H12" s="46"/>
    </row>
    <row r="13" spans="1:9" x14ac:dyDescent="0.35">
      <c r="A13" s="77">
        <v>5</v>
      </c>
      <c r="B13" s="46" t="s">
        <v>47</v>
      </c>
      <c r="C13" s="44">
        <f>'Income Tax-Calculator Old Regim'!G54</f>
        <v>14398.833333333334</v>
      </c>
      <c r="D13" s="31">
        <f>'Income Tax-Calculator Old Regim'!G50</f>
        <v>172786</v>
      </c>
      <c r="E13" s="47">
        <f>D13/D11</f>
        <v>7.8539090909090906E-2</v>
      </c>
      <c r="F13" s="54">
        <f>'Income Tax-Calculator New Resim'!G53</f>
        <v>24237.166666666668</v>
      </c>
      <c r="G13" s="31">
        <f>F13*12</f>
        <v>290846</v>
      </c>
      <c r="H13" s="47">
        <f>G13/G11</f>
        <v>0.13220272727272728</v>
      </c>
    </row>
    <row r="14" spans="1:9" x14ac:dyDescent="0.35">
      <c r="A14" s="77"/>
      <c r="B14" s="46"/>
      <c r="C14" s="44"/>
      <c r="D14" s="31"/>
      <c r="E14" s="45"/>
      <c r="F14" s="54"/>
      <c r="G14" s="31"/>
      <c r="H14" s="45"/>
    </row>
    <row r="15" spans="1:9" x14ac:dyDescent="0.35">
      <c r="A15" s="77">
        <v>6</v>
      </c>
      <c r="B15" s="46" t="s">
        <v>206</v>
      </c>
      <c r="C15" s="44">
        <f>'Cash -Calculator'!C28</f>
        <v>140684.5</v>
      </c>
      <c r="D15" s="31">
        <f>'Cash -Calculator'!D28</f>
        <v>1688214</v>
      </c>
      <c r="E15" s="47">
        <f>'Cash -Calculator'!F28</f>
        <v>0.76737</v>
      </c>
      <c r="F15" s="54">
        <f>'Cash -Calculator'!G28</f>
        <v>130846.16666666667</v>
      </c>
      <c r="G15" s="31">
        <f>'Cash -Calculator'!H28</f>
        <v>1570154</v>
      </c>
      <c r="H15" s="47">
        <f>'Cash -Calculator'!J28</f>
        <v>0.71370636363636364</v>
      </c>
      <c r="I15" s="92"/>
    </row>
    <row r="16" spans="1:9" x14ac:dyDescent="0.35">
      <c r="A16" s="77"/>
      <c r="B16" s="46"/>
      <c r="C16" s="44"/>
      <c r="D16" s="31"/>
      <c r="E16" s="47"/>
      <c r="F16" s="54"/>
      <c r="G16" s="31"/>
      <c r="H16" s="47"/>
    </row>
    <row r="17" spans="1:8" ht="15" thickBot="1" x14ac:dyDescent="0.4">
      <c r="A17" s="78">
        <v>7</v>
      </c>
      <c r="B17" s="79" t="s">
        <v>207</v>
      </c>
      <c r="C17" s="48">
        <f>'Cash -Calculator'!C29</f>
        <v>140684.5</v>
      </c>
      <c r="D17" s="49">
        <f>'Cash -Calculator'!D29</f>
        <v>1688214</v>
      </c>
      <c r="E17" s="50">
        <f>D17/D11</f>
        <v>0.76737</v>
      </c>
      <c r="F17" s="55">
        <f>'Cash -Calculator'!G29</f>
        <v>130846.16666666667</v>
      </c>
      <c r="G17" s="49">
        <f>'Cash -Calculator'!H29</f>
        <v>1570154</v>
      </c>
      <c r="H17" s="50">
        <f>G17/G11</f>
        <v>0.71370636363636364</v>
      </c>
    </row>
    <row r="20" spans="1:8" x14ac:dyDescent="0.35">
      <c r="B20" s="1" t="s">
        <v>99</v>
      </c>
      <c r="C20" s="30" t="str">
        <f>IF('Base Salary Structure'!G21&lt;0,"ERROR","OK")</f>
        <v>OK</v>
      </c>
    </row>
  </sheetData>
  <sheetProtection algorithmName="SHA-512" hashValue="4Swebz70MCVIrasKbU2VDryNoNl7LnXrbShUVTVVZBzafZrf7vjuqs9I+Od4A1R3dywdUSH93+To9JpppCcN3g==" saltValue="DLihtcxNOph7TnjwldMCEA==" spinCount="100000" sheet="1" objects="1" scenarios="1"/>
  <mergeCells count="2">
    <mergeCell ref="C3:E3"/>
    <mergeCell ref="F3:H3"/>
  </mergeCells>
  <conditionalFormatting sqref="C20">
    <cfRule type="containsText" dxfId="4" priority="1" operator="containsText" text="OK">
      <formula>NOT(ISERROR(SEARCH("OK",C20)))</formula>
    </cfRule>
    <cfRule type="containsText" dxfId="3" priority="2" operator="containsText" text="ERROR">
      <formula>NOT(ISERROR(SEARCH("ERROR",C20)))</formula>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U33"/>
  <sheetViews>
    <sheetView tabSelected="1" zoomScale="72" zoomScaleNormal="72" workbookViewId="0">
      <pane xSplit="2" ySplit="9" topLeftCell="C10" activePane="bottomRight" state="frozen"/>
      <selection activeCell="D26" sqref="D26"/>
      <selection pane="topRight" activeCell="D26" sqref="D26"/>
      <selection pane="bottomLeft" activeCell="D26" sqref="D26"/>
      <selection pane="bottomRight" activeCell="I13" sqref="I13"/>
    </sheetView>
  </sheetViews>
  <sheetFormatPr defaultColWidth="9.1796875" defaultRowHeight="14.5" x14ac:dyDescent="0.35"/>
  <cols>
    <col min="1" max="1" width="5.453125" style="1" customWidth="1"/>
    <col min="2" max="2" width="22.1796875" style="1" customWidth="1"/>
    <col min="3" max="3" width="16.81640625" style="1" customWidth="1"/>
    <col min="4" max="4" width="17.1796875" style="1" customWidth="1"/>
    <col min="5" max="5" width="12.81640625" style="1" customWidth="1"/>
    <col min="6" max="6" width="12.1796875" style="1" customWidth="1"/>
    <col min="7" max="7" width="11.1796875" style="1" customWidth="1"/>
    <col min="8" max="8" width="13.1796875" style="1" bestFit="1" customWidth="1"/>
    <col min="9" max="9" width="58.1796875" style="1" customWidth="1"/>
    <col min="10" max="10" width="74.453125" style="1" customWidth="1"/>
    <col min="11" max="11" width="64.81640625" style="1" customWidth="1"/>
    <col min="12" max="12" width="9.1796875" style="1"/>
    <col min="13" max="14" width="9.1796875" style="1" customWidth="1"/>
    <col min="15" max="15" width="9.1796875" style="1" hidden="1" customWidth="1"/>
    <col min="16" max="16" width="8.81640625" style="1" hidden="1" customWidth="1"/>
    <col min="17" max="46" width="5" style="1" hidden="1" customWidth="1"/>
    <col min="47" max="47" width="9.1796875" style="1" hidden="1" customWidth="1"/>
    <col min="48" max="62" width="9.1796875" style="1" customWidth="1"/>
    <col min="63" max="16384" width="9.1796875" style="1"/>
  </cols>
  <sheetData>
    <row r="1" spans="1:46" x14ac:dyDescent="0.35">
      <c r="A1" s="56" t="s">
        <v>96</v>
      </c>
      <c r="B1" s="57"/>
      <c r="C1" s="58"/>
      <c r="D1" s="57" t="s">
        <v>95</v>
      </c>
      <c r="E1" s="157"/>
      <c r="F1" s="157"/>
      <c r="G1" s="157"/>
      <c r="H1" s="158"/>
      <c r="P1" s="1" t="str">
        <f>+F2&amp;"/"&amp;E2&amp;"/"&amp;G2</f>
        <v>4/1/2023</v>
      </c>
    </row>
    <row r="2" spans="1:46" ht="13.5" customHeight="1" thickBot="1" x14ac:dyDescent="0.4">
      <c r="A2" s="159" t="s">
        <v>161</v>
      </c>
      <c r="B2" s="160"/>
      <c r="C2" s="62" t="s">
        <v>233</v>
      </c>
      <c r="D2" s="59" t="s">
        <v>183</v>
      </c>
      <c r="E2" s="63">
        <v>1</v>
      </c>
      <c r="F2" s="63">
        <v>4</v>
      </c>
      <c r="G2" s="64">
        <v>2023</v>
      </c>
      <c r="H2" s="65"/>
      <c r="P2" s="1">
        <v>1998</v>
      </c>
      <c r="Q2" s="1">
        <v>1999</v>
      </c>
      <c r="R2" s="1">
        <v>2000</v>
      </c>
      <c r="S2" s="1">
        <v>2001</v>
      </c>
      <c r="T2" s="1">
        <v>2002</v>
      </c>
      <c r="U2" s="1">
        <v>2003</v>
      </c>
      <c r="V2" s="1">
        <v>2004</v>
      </c>
      <c r="W2" s="1">
        <v>2005</v>
      </c>
      <c r="X2" s="1">
        <v>2006</v>
      </c>
      <c r="Y2" s="1">
        <v>2007</v>
      </c>
      <c r="Z2" s="1">
        <v>2008</v>
      </c>
      <c r="AA2" s="1">
        <v>2009</v>
      </c>
      <c r="AB2" s="1">
        <v>2010</v>
      </c>
      <c r="AC2" s="1">
        <v>2011</v>
      </c>
      <c r="AD2" s="1">
        <v>2012</v>
      </c>
      <c r="AE2" s="1">
        <v>2013</v>
      </c>
      <c r="AF2" s="1">
        <v>2014</v>
      </c>
      <c r="AG2" s="1">
        <v>2015</v>
      </c>
      <c r="AH2" s="1">
        <v>2016</v>
      </c>
      <c r="AI2" s="1">
        <v>2017</v>
      </c>
      <c r="AJ2" s="1">
        <v>2018</v>
      </c>
      <c r="AK2" s="1">
        <v>2019</v>
      </c>
      <c r="AL2" s="1">
        <v>2020</v>
      </c>
      <c r="AM2" s="1">
        <v>2021</v>
      </c>
      <c r="AN2" s="1">
        <v>2022</v>
      </c>
      <c r="AO2" s="1">
        <v>2023</v>
      </c>
      <c r="AP2" s="1">
        <v>2024</v>
      </c>
      <c r="AQ2" s="1">
        <v>2025</v>
      </c>
      <c r="AR2" s="1">
        <v>2026</v>
      </c>
      <c r="AS2" s="1">
        <v>2027</v>
      </c>
      <c r="AT2" s="1">
        <v>2028</v>
      </c>
    </row>
    <row r="3" spans="1:46" x14ac:dyDescent="0.35">
      <c r="A3" s="11"/>
      <c r="B3" s="11"/>
      <c r="C3" s="11"/>
      <c r="D3" s="11"/>
      <c r="E3" s="11"/>
      <c r="F3" s="11"/>
      <c r="G3" s="11"/>
      <c r="H3" s="11"/>
      <c r="P3" s="12">
        <v>1</v>
      </c>
      <c r="Q3" s="12">
        <v>2</v>
      </c>
      <c r="R3" s="12">
        <v>3</v>
      </c>
      <c r="S3" s="12">
        <v>4</v>
      </c>
      <c r="T3" s="12">
        <v>5</v>
      </c>
      <c r="U3" s="12">
        <v>6</v>
      </c>
      <c r="V3" s="12">
        <v>7</v>
      </c>
      <c r="W3" s="12">
        <v>8</v>
      </c>
      <c r="X3" s="12">
        <v>9</v>
      </c>
      <c r="Y3" s="12">
        <v>10</v>
      </c>
      <c r="Z3" s="12">
        <v>11</v>
      </c>
      <c r="AA3" s="12">
        <v>12</v>
      </c>
      <c r="AB3" s="12">
        <v>13</v>
      </c>
      <c r="AC3" s="12">
        <v>14</v>
      </c>
      <c r="AD3" s="12">
        <v>15</v>
      </c>
      <c r="AE3" s="12">
        <v>16</v>
      </c>
      <c r="AF3" s="12">
        <v>17</v>
      </c>
      <c r="AG3" s="12">
        <v>18</v>
      </c>
      <c r="AH3" s="12">
        <v>19</v>
      </c>
      <c r="AI3" s="12">
        <v>20</v>
      </c>
      <c r="AJ3" s="12">
        <v>21</v>
      </c>
      <c r="AK3" s="12">
        <v>22</v>
      </c>
      <c r="AL3" s="12">
        <v>23</v>
      </c>
      <c r="AM3" s="12">
        <v>24</v>
      </c>
      <c r="AN3" s="12">
        <v>25</v>
      </c>
      <c r="AO3" s="12">
        <v>26</v>
      </c>
      <c r="AP3" s="12">
        <v>27</v>
      </c>
      <c r="AQ3" s="12">
        <v>28</v>
      </c>
      <c r="AR3" s="12">
        <v>29</v>
      </c>
      <c r="AS3" s="12">
        <v>30</v>
      </c>
      <c r="AT3" s="12">
        <v>31</v>
      </c>
    </row>
    <row r="4" spans="1:46" ht="11.5" customHeight="1" x14ac:dyDescent="0.35">
      <c r="E4" s="11"/>
      <c r="F4" s="11"/>
      <c r="G4" s="11"/>
      <c r="H4" s="11"/>
    </row>
    <row r="5" spans="1:46" ht="18" customHeight="1" x14ac:dyDescent="0.35">
      <c r="B5" s="149" t="s">
        <v>230</v>
      </c>
      <c r="C5" s="151" t="s">
        <v>199</v>
      </c>
      <c r="D5" s="152"/>
      <c r="E5" s="152"/>
      <c r="F5" s="153"/>
      <c r="G5" s="4" t="s">
        <v>17</v>
      </c>
      <c r="H5" s="4" t="s">
        <v>18</v>
      </c>
    </row>
    <row r="6" spans="1:46" ht="15" customHeight="1" x14ac:dyDescent="0.35">
      <c r="B6" s="150"/>
      <c r="C6" s="154"/>
      <c r="D6" s="155"/>
      <c r="E6" s="155"/>
      <c r="F6" s="156"/>
      <c r="G6" s="31">
        <f>H6/12</f>
        <v>183333.33333333334</v>
      </c>
      <c r="H6" s="35">
        <v>2200000</v>
      </c>
      <c r="I6" s="92"/>
    </row>
    <row r="7" spans="1:46" hidden="1" x14ac:dyDescent="0.35"/>
    <row r="8" spans="1:46" ht="32.5" customHeight="1" x14ac:dyDescent="0.35">
      <c r="A8" s="13" t="s">
        <v>43</v>
      </c>
      <c r="B8" s="14" t="s">
        <v>40</v>
      </c>
      <c r="C8" s="14" t="s">
        <v>5</v>
      </c>
      <c r="D8" s="14" t="s">
        <v>57</v>
      </c>
      <c r="E8" s="3" t="s">
        <v>64</v>
      </c>
      <c r="F8" s="13" t="s">
        <v>42</v>
      </c>
      <c r="G8" s="14" t="s">
        <v>1</v>
      </c>
      <c r="H8" s="14" t="s">
        <v>18</v>
      </c>
      <c r="I8" s="14" t="s">
        <v>59</v>
      </c>
      <c r="J8" s="14" t="s">
        <v>69</v>
      </c>
      <c r="K8" s="14" t="s">
        <v>81</v>
      </c>
    </row>
    <row r="9" spans="1:46" ht="43.5" x14ac:dyDescent="0.35">
      <c r="A9" s="15">
        <v>1</v>
      </c>
      <c r="B9" s="7" t="s">
        <v>0</v>
      </c>
      <c r="C9" s="7" t="s">
        <v>53</v>
      </c>
      <c r="D9" s="16" t="s">
        <v>58</v>
      </c>
      <c r="E9" s="41">
        <f>IF(G6&lt;35294,(15000/G6),IF(G6&lt;54167,42.5%,IF(G6&lt;75000,43.5%,IF(G6&lt;125000,44.5%,IF(G6&lt;200000,45%,IF(G6&lt;416667,45.5%,45.5%))))))</f>
        <v>0.45</v>
      </c>
      <c r="F9" s="17" t="s">
        <v>21</v>
      </c>
      <c r="G9" s="32">
        <f>ROUND((H6*E9)/12,0)</f>
        <v>82500</v>
      </c>
      <c r="H9" s="32">
        <f>G9*12</f>
        <v>990000</v>
      </c>
      <c r="I9" s="16" t="s">
        <v>24</v>
      </c>
      <c r="J9" s="137" t="s">
        <v>70</v>
      </c>
      <c r="K9" s="9" t="s">
        <v>60</v>
      </c>
    </row>
    <row r="10" spans="1:46" ht="2.15" customHeight="1" x14ac:dyDescent="0.35">
      <c r="A10" s="5"/>
      <c r="B10" s="5"/>
      <c r="C10" s="5"/>
      <c r="D10" s="5"/>
      <c r="E10" s="5"/>
      <c r="F10" s="5"/>
      <c r="G10" s="5"/>
      <c r="H10" s="5"/>
      <c r="I10" s="5"/>
      <c r="J10" s="15"/>
      <c r="K10" s="5"/>
    </row>
    <row r="11" spans="1:46" ht="21.65" customHeight="1" x14ac:dyDescent="0.35">
      <c r="A11" s="5" t="s">
        <v>71</v>
      </c>
      <c r="B11" s="4" t="s">
        <v>82</v>
      </c>
      <c r="C11" s="4"/>
      <c r="D11" s="4"/>
      <c r="E11" s="5"/>
      <c r="F11" s="5"/>
      <c r="G11" s="5"/>
      <c r="H11" s="5"/>
      <c r="I11" s="5"/>
      <c r="J11" s="15"/>
      <c r="K11" s="5"/>
    </row>
    <row r="12" spans="1:46" ht="36.65" customHeight="1" x14ac:dyDescent="0.35">
      <c r="A12" s="15">
        <v>2</v>
      </c>
      <c r="B12" s="7" t="s">
        <v>13</v>
      </c>
      <c r="C12" s="7" t="s">
        <v>68</v>
      </c>
      <c r="D12" s="7" t="s">
        <v>61</v>
      </c>
      <c r="E12" s="10">
        <f>IF(C2="Banglore",4000,IF(C2="Delhi",5000,IF(C2="Mumbai",3250,3000)))</f>
        <v>3000</v>
      </c>
      <c r="F12" s="16" t="s">
        <v>104</v>
      </c>
      <c r="G12" s="32">
        <f>E12</f>
        <v>3000</v>
      </c>
      <c r="H12" s="32">
        <f t="shared" ref="H12:H23" si="0">G12*12</f>
        <v>36000</v>
      </c>
      <c r="I12" s="16" t="s">
        <v>24</v>
      </c>
      <c r="J12" s="137" t="s">
        <v>70</v>
      </c>
      <c r="K12" s="9" t="s">
        <v>236</v>
      </c>
    </row>
    <row r="13" spans="1:46" ht="87" x14ac:dyDescent="0.35">
      <c r="A13" s="15">
        <f>A12+1</f>
        <v>3</v>
      </c>
      <c r="B13" s="7" t="s">
        <v>45</v>
      </c>
      <c r="C13" s="7" t="s">
        <v>6</v>
      </c>
      <c r="D13" s="7" t="s">
        <v>62</v>
      </c>
      <c r="E13" s="18">
        <v>40</v>
      </c>
      <c r="F13" s="7" t="s">
        <v>84</v>
      </c>
      <c r="G13" s="32">
        <f>ROUND(G9*E13%,0)</f>
        <v>33000</v>
      </c>
      <c r="H13" s="32">
        <f t="shared" si="0"/>
        <v>396000</v>
      </c>
      <c r="I13" s="9" t="s">
        <v>65</v>
      </c>
      <c r="J13" s="16" t="s">
        <v>237</v>
      </c>
      <c r="K13" s="16" t="s">
        <v>66</v>
      </c>
    </row>
    <row r="14" spans="1:46" x14ac:dyDescent="0.35">
      <c r="A14" s="15" t="s">
        <v>72</v>
      </c>
      <c r="B14" s="4" t="s">
        <v>83</v>
      </c>
      <c r="C14" s="7"/>
      <c r="D14" s="7"/>
      <c r="E14" s="5"/>
      <c r="F14" s="16"/>
      <c r="G14" s="32"/>
      <c r="H14" s="32"/>
      <c r="I14" s="9"/>
      <c r="J14" s="9"/>
      <c r="K14" s="5"/>
    </row>
    <row r="15" spans="1:46" ht="41.5" customHeight="1" x14ac:dyDescent="0.35">
      <c r="A15" s="15">
        <v>4</v>
      </c>
      <c r="B15" s="16" t="s">
        <v>196</v>
      </c>
      <c r="C15" s="7" t="s">
        <v>68</v>
      </c>
      <c r="D15" s="7" t="s">
        <v>110</v>
      </c>
      <c r="E15" s="19">
        <v>0</v>
      </c>
      <c r="F15" s="16" t="s">
        <v>104</v>
      </c>
      <c r="G15" s="32">
        <f>E15</f>
        <v>0</v>
      </c>
      <c r="H15" s="32">
        <f t="shared" si="0"/>
        <v>0</v>
      </c>
      <c r="I15" s="9" t="s">
        <v>73</v>
      </c>
      <c r="J15" s="16" t="s">
        <v>74</v>
      </c>
      <c r="K15" s="9" t="s">
        <v>130</v>
      </c>
    </row>
    <row r="16" spans="1:46" ht="42" customHeight="1" x14ac:dyDescent="0.35">
      <c r="A16" s="15">
        <f t="shared" ref="A16:A17" si="1">A15+1</f>
        <v>5</v>
      </c>
      <c r="B16" s="16" t="s">
        <v>197</v>
      </c>
      <c r="C16" s="7" t="s">
        <v>7</v>
      </c>
      <c r="D16" s="7" t="s">
        <v>67</v>
      </c>
      <c r="E16" s="18">
        <v>0</v>
      </c>
      <c r="F16" s="7" t="s">
        <v>84</v>
      </c>
      <c r="G16" s="32">
        <f>ROUND(G9*E16%,0)</f>
        <v>0</v>
      </c>
      <c r="H16" s="32">
        <f t="shared" si="0"/>
        <v>0</v>
      </c>
      <c r="I16" s="9" t="s">
        <v>198</v>
      </c>
      <c r="J16" s="16" t="s">
        <v>74</v>
      </c>
      <c r="K16" s="9" t="s">
        <v>75</v>
      </c>
    </row>
    <row r="17" spans="1:11" ht="72.5" x14ac:dyDescent="0.35">
      <c r="A17" s="15">
        <f t="shared" si="1"/>
        <v>6</v>
      </c>
      <c r="B17" s="16" t="s">
        <v>122</v>
      </c>
      <c r="C17" s="7" t="s">
        <v>7</v>
      </c>
      <c r="D17" s="7" t="s">
        <v>67</v>
      </c>
      <c r="E17" s="18">
        <v>0</v>
      </c>
      <c r="F17" s="7" t="s">
        <v>84</v>
      </c>
      <c r="G17" s="32">
        <f>ROUND(G9*E17%,0)</f>
        <v>0</v>
      </c>
      <c r="H17" s="32">
        <f t="shared" si="0"/>
        <v>0</v>
      </c>
      <c r="I17" s="9" t="s">
        <v>232</v>
      </c>
      <c r="J17" s="9" t="s">
        <v>76</v>
      </c>
      <c r="K17" s="16" t="s">
        <v>75</v>
      </c>
    </row>
    <row r="18" spans="1:11" x14ac:dyDescent="0.35">
      <c r="A18" s="15" t="s">
        <v>78</v>
      </c>
      <c r="B18" s="13" t="s">
        <v>79</v>
      </c>
      <c r="C18" s="7"/>
      <c r="D18" s="7"/>
      <c r="E18" s="5"/>
      <c r="F18" s="7"/>
      <c r="G18" s="33"/>
      <c r="H18" s="32"/>
      <c r="I18" s="9"/>
      <c r="J18" s="9"/>
      <c r="K18" s="9"/>
    </row>
    <row r="19" spans="1:11" ht="58" x14ac:dyDescent="0.35">
      <c r="A19" s="15">
        <v>7</v>
      </c>
      <c r="B19" s="16" t="s">
        <v>115</v>
      </c>
      <c r="C19" s="16" t="s">
        <v>116</v>
      </c>
      <c r="D19" s="16" t="s">
        <v>126</v>
      </c>
      <c r="E19" s="21" t="s">
        <v>125</v>
      </c>
      <c r="F19" s="7"/>
      <c r="G19" s="32">
        <f>IF(E19="12% PF Restricted upto 15000 Basic Salary",IF(G9&lt;15000,G9*12%,15000*12%),G9*12%)</f>
        <v>9900</v>
      </c>
      <c r="H19" s="32">
        <f t="shared" si="0"/>
        <v>118800</v>
      </c>
      <c r="I19" s="16" t="s">
        <v>77</v>
      </c>
      <c r="J19" s="16" t="s">
        <v>120</v>
      </c>
      <c r="K19" s="16" t="s">
        <v>186</v>
      </c>
    </row>
    <row r="20" spans="1:11" ht="145" x14ac:dyDescent="0.35">
      <c r="A20" s="15">
        <v>8</v>
      </c>
      <c r="B20" s="16" t="s">
        <v>149</v>
      </c>
      <c r="C20" s="7" t="s">
        <v>6</v>
      </c>
      <c r="D20" s="7" t="s">
        <v>100</v>
      </c>
      <c r="E20" s="20">
        <v>10</v>
      </c>
      <c r="F20" s="7" t="s">
        <v>84</v>
      </c>
      <c r="G20" s="32">
        <f>ROUND(IF(E20=0,0,IF(G9*E20%&lt;500,500,G9*E20%)),0)</f>
        <v>8250</v>
      </c>
      <c r="H20" s="32">
        <f t="shared" si="0"/>
        <v>99000</v>
      </c>
      <c r="I20" s="16" t="s">
        <v>192</v>
      </c>
      <c r="J20" s="16" t="s">
        <v>191</v>
      </c>
      <c r="K20" s="16" t="s">
        <v>131</v>
      </c>
    </row>
    <row r="21" spans="1:11" x14ac:dyDescent="0.35">
      <c r="A21" s="15">
        <v>9</v>
      </c>
      <c r="B21" s="16" t="s">
        <v>48</v>
      </c>
      <c r="C21" s="7"/>
      <c r="D21" s="7" t="s">
        <v>80</v>
      </c>
      <c r="E21" s="7"/>
      <c r="F21" s="7"/>
      <c r="G21" s="32">
        <f>G6-SUM(G9:G20)</f>
        <v>46683.333333333343</v>
      </c>
      <c r="H21" s="32">
        <f t="shared" si="0"/>
        <v>560200.00000000012</v>
      </c>
      <c r="I21" s="5"/>
      <c r="J21" s="6" t="s">
        <v>227</v>
      </c>
      <c r="K21" s="5"/>
    </row>
    <row r="22" spans="1:11" s="2" customFormat="1" x14ac:dyDescent="0.35">
      <c r="A22" s="4"/>
      <c r="B22" s="4" t="s">
        <v>8</v>
      </c>
      <c r="C22" s="4"/>
      <c r="D22" s="4"/>
      <c r="E22" s="4"/>
      <c r="F22" s="4"/>
      <c r="G22" s="93">
        <f>SUM(G12:G21)</f>
        <v>100833.33333333334</v>
      </c>
      <c r="H22" s="93">
        <f>SUM(H12:H21)</f>
        <v>1210000</v>
      </c>
      <c r="I22" s="4"/>
      <c r="J22" s="4"/>
      <c r="K22" s="4"/>
    </row>
    <row r="23" spans="1:11" ht="91.5" x14ac:dyDescent="0.35">
      <c r="A23" s="6">
        <v>10</v>
      </c>
      <c r="B23" s="7" t="s">
        <v>224</v>
      </c>
      <c r="C23" s="5"/>
      <c r="D23" s="5"/>
      <c r="E23" s="138">
        <v>0</v>
      </c>
      <c r="F23" s="7" t="s">
        <v>84</v>
      </c>
      <c r="G23" s="135">
        <f>G9*E23</f>
        <v>0</v>
      </c>
      <c r="H23" s="32">
        <f t="shared" si="0"/>
        <v>0</v>
      </c>
      <c r="I23" s="136" t="s">
        <v>226</v>
      </c>
      <c r="J23" s="15" t="s">
        <v>70</v>
      </c>
      <c r="K23" s="134" t="s">
        <v>225</v>
      </c>
    </row>
    <row r="24" spans="1:11" x14ac:dyDescent="0.35">
      <c r="A24" s="5"/>
      <c r="B24" s="4" t="s">
        <v>229</v>
      </c>
      <c r="C24" s="5"/>
      <c r="D24" s="5"/>
      <c r="E24" s="5"/>
      <c r="F24" s="133"/>
      <c r="G24" s="93">
        <f>G22+G9</f>
        <v>183333.33333333334</v>
      </c>
      <c r="H24" s="93">
        <f>H22+H9</f>
        <v>2200000</v>
      </c>
      <c r="I24" s="5"/>
      <c r="J24" s="5"/>
      <c r="K24" s="5"/>
    </row>
    <row r="25" spans="1:11" x14ac:dyDescent="0.35">
      <c r="B25" s="2"/>
      <c r="F25" s="141"/>
      <c r="G25" s="141"/>
      <c r="H25" s="141"/>
    </row>
    <row r="26" spans="1:11" x14ac:dyDescent="0.35">
      <c r="B26" s="2"/>
      <c r="F26" s="141"/>
      <c r="G26" s="141"/>
      <c r="H26" s="141"/>
    </row>
    <row r="27" spans="1:11" x14ac:dyDescent="0.35">
      <c r="B27" s="2"/>
      <c r="F27" s="141"/>
      <c r="G27" s="141"/>
      <c r="H27" s="141"/>
    </row>
    <row r="28" spans="1:11" hidden="1" x14ac:dyDescent="0.35">
      <c r="I28" s="92">
        <f>H30+H29</f>
        <v>1014540</v>
      </c>
      <c r="J28" s="143">
        <f>+H29/H6</f>
        <v>2.1152727272727274E-2</v>
      </c>
    </row>
    <row r="29" spans="1:11" ht="57.75" hidden="1" customHeight="1" x14ac:dyDescent="0.35">
      <c r="A29" s="15">
        <v>9</v>
      </c>
      <c r="B29" s="16" t="s">
        <v>56</v>
      </c>
      <c r="C29" s="7" t="s">
        <v>68</v>
      </c>
      <c r="D29" s="7" t="s">
        <v>63</v>
      </c>
      <c r="E29" s="5"/>
      <c r="F29" s="7" t="s">
        <v>84</v>
      </c>
      <c r="G29" s="32">
        <f>ROUND(G30*4.8077%,0)</f>
        <v>3878</v>
      </c>
      <c r="H29" s="32">
        <f>G29*12</f>
        <v>46536</v>
      </c>
      <c r="I29" s="66" t="s">
        <v>160</v>
      </c>
      <c r="J29" s="5"/>
      <c r="K29" s="5"/>
    </row>
    <row r="30" spans="1:11" ht="43.5" hidden="1" x14ac:dyDescent="0.35">
      <c r="A30" s="15">
        <v>1</v>
      </c>
      <c r="B30" s="7" t="s">
        <v>0</v>
      </c>
      <c r="C30" s="7" t="s">
        <v>53</v>
      </c>
      <c r="D30" s="16" t="s">
        <v>58</v>
      </c>
      <c r="E30" s="142">
        <f>IF(G6&lt;36145,(15000/G6),IF(G6&lt;54167,41.5%,IF(G6&lt;75000,42.5%,IF(G6&lt;125000,43.5%,IF(G6&lt;200000,44%,IF(G6&lt;416667,44.5%,44.5%))))))</f>
        <v>0.44</v>
      </c>
      <c r="F30" s="17" t="s">
        <v>21</v>
      </c>
      <c r="G30" s="32">
        <f>ROUND((H6*E30)/12,0)</f>
        <v>80667</v>
      </c>
      <c r="H30" s="32">
        <f>G30*12</f>
        <v>968004</v>
      </c>
      <c r="I30" s="16" t="s">
        <v>24</v>
      </c>
      <c r="J30" s="137" t="s">
        <v>70</v>
      </c>
      <c r="K30" s="9" t="s">
        <v>60</v>
      </c>
    </row>
    <row r="31" spans="1:11" hidden="1" x14ac:dyDescent="0.35"/>
    <row r="32" spans="1:11" hidden="1" x14ac:dyDescent="0.35">
      <c r="G32" s="92"/>
    </row>
    <row r="33" hidden="1" x14ac:dyDescent="0.35"/>
  </sheetData>
  <sheetProtection algorithmName="SHA-512" hashValue="WCNRSeIGQYr4uKfPIvYeC6MrNv69DbH5igQ0/pNWEY5Ry/k48iGcwtJ1p6i4UKhM/THsZiWnP/DmpWSO6V2vhw==" saltValue="Ozos+B3xx4Qn7UQ4LIACuA==" spinCount="100000" sheet="1" objects="1" scenarios="1"/>
  <dataConsolidate/>
  <mergeCells count="4">
    <mergeCell ref="B5:B6"/>
    <mergeCell ref="C5:F6"/>
    <mergeCell ref="E1:H1"/>
    <mergeCell ref="A2:B2"/>
  </mergeCells>
  <conditionalFormatting sqref="G21:H21">
    <cfRule type="cellIs" dxfId="2" priority="5" operator="lessThan">
      <formula>0</formula>
    </cfRule>
  </conditionalFormatting>
  <conditionalFormatting sqref="H23">
    <cfRule type="cellIs" dxfId="1" priority="1" operator="lessThan">
      <formula>0</formula>
    </cfRule>
  </conditionalFormatting>
  <dataValidations xWindow="1055" yWindow="693" count="7">
    <dataValidation type="list" allowBlank="1" showInputMessage="1" showErrorMessage="1" sqref="C2" xr:uid="{00000000-0002-0000-0200-000000000000}">
      <formula1>"Banglore,Delhi,Mumbai,Ahmedabad"</formula1>
    </dataValidation>
    <dataValidation type="list" allowBlank="1" showInputMessage="1" showErrorMessage="1" sqref="E2" xr:uid="{00000000-0002-0000-0200-000001000000}">
      <formula1>$P$3:$AT$3</formula1>
    </dataValidation>
    <dataValidation type="list" allowBlank="1" showInputMessage="1" showErrorMessage="1" sqref="F2" xr:uid="{00000000-0002-0000-0200-000002000000}">
      <formula1>$P$3:$AA$3</formula1>
    </dataValidation>
    <dataValidation type="list" allowBlank="1" showInputMessage="1" showErrorMessage="1" sqref="G2" xr:uid="{00000000-0002-0000-0200-000003000000}">
      <formula1>$P$2:$AT$2</formula1>
    </dataValidation>
    <dataValidation allowBlank="1" showInputMessage="1" showErrorMessage="1" prompt="Date of Joining field is Mandatory ." sqref="D2" xr:uid="{00000000-0002-0000-0200-000004000000}"/>
    <dataValidation allowBlank="1" showInputMessage="1" showErrorMessage="1" error="Please enter 0 to 88%" sqref="E23" xr:uid="{00000000-0002-0000-0200-000005000000}"/>
    <dataValidation allowBlank="1" showInputMessage="1" showErrorMessage="1" error="Please enter numbers between 0 to 88%" sqref="G23" xr:uid="{00000000-0002-0000-0200-000006000000}"/>
  </dataValidations>
  <pageMargins left="0.7" right="0.7" top="0.75" bottom="0.75" header="0.3" footer="0.3"/>
  <pageSetup paperSize="9" orientation="portrait" verticalDpi="0" r:id="rId1"/>
  <ignoredErrors>
    <ignoredError sqref="G13 H22" formula="1"/>
  </ignoredErrors>
  <legacyDrawing r:id="rId2"/>
  <extLst>
    <ext xmlns:x14="http://schemas.microsoft.com/office/spreadsheetml/2009/9/main" uri="{CCE6A557-97BC-4b89-ADB6-D9C93CAAB3DF}">
      <x14:dataValidations xmlns:xm="http://schemas.microsoft.com/office/excel/2006/main" xWindow="1055" yWindow="693" count="5">
        <x14:dataValidation type="list" allowBlank="1" showInputMessage="1" showErrorMessage="1" error="Greater than 50% value not allowed" promptTitle="Select option from Drop Down :" prompt="Range is 0% to 50%" xr:uid="{00000000-0002-0000-0200-000007000000}">
          <x14:formula1>
            <xm:f>Table!$C$31:$C$41</xm:f>
          </x14:formula1>
          <xm:sqref>E13</xm:sqref>
        </x14:dataValidation>
        <x14:dataValidation type="list" showInputMessage="1" showErrorMessage="1" promptTitle="Select the option from Drop Down" prompt="12% on Full Basic / 12% on Restricted Basic" xr:uid="{00000000-0002-0000-0200-000008000000}">
          <x14:formula1>
            <xm:f>Table!$C$6:$C$7</xm:f>
          </x14:formula1>
          <xm:sqref>E19</xm:sqref>
        </x14:dataValidation>
        <x14:dataValidation type="list" allowBlank="1" showInputMessage="1" showErrorMessage="1" error="Value more than 10 not allowed" promptTitle="Select the option from Drop Down" prompt="The Range is 0-10_x000a__x000a_The minimum contribution has to be Rs.500 &amp; accordingly if you select any range and resultant amount is lower than Rs.500, the formula inserted to make minimum value as Rs.500_x000a_" xr:uid="{00000000-0002-0000-0200-000009000000}">
          <x14:formula1>
            <xm:f>Table!$C$78:$C$89</xm:f>
          </x14:formula1>
          <xm:sqref>E20</xm:sqref>
        </x14:dataValidation>
        <x14:dataValidation type="list" allowBlank="1" showInputMessage="1" showErrorMessage="1" error="Value more than 12 not allowed" promptTitle="Select the option from Drop Down" prompt="The Range is 0-12_x000a_" xr:uid="{00000000-0002-0000-0200-00000A000000}">
          <x14:formula1>
            <xm:f>Table!$C$44:$C$56</xm:f>
          </x14:formula1>
          <xm:sqref>E16:E17</xm:sqref>
        </x14:dataValidation>
        <x14:dataValidation type="list" allowBlank="1" showInputMessage="1" showErrorMessage="1" error="Value cant not exceed Rs.1500" promptTitle="Select option from Drop Down" prompt="Range is 0-1500 per month" xr:uid="{00000000-0002-0000-0200-00000B000000}">
          <x14:formula1>
            <xm:f>Table!$C$68:$C$74</xm:f>
          </x14:formula1>
          <xm:sqref>E15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6:K929"/>
  <sheetViews>
    <sheetView topLeftCell="A6" workbookViewId="0">
      <selection activeCell="C8" sqref="C8"/>
    </sheetView>
  </sheetViews>
  <sheetFormatPr defaultColWidth="8.81640625" defaultRowHeight="14.5" x14ac:dyDescent="0.35"/>
  <sheetData>
    <row r="6" spans="3:11" x14ac:dyDescent="0.35">
      <c r="C6" t="s">
        <v>125</v>
      </c>
      <c r="J6">
        <v>3</v>
      </c>
      <c r="K6">
        <v>1</v>
      </c>
    </row>
    <row r="7" spans="3:11" x14ac:dyDescent="0.35">
      <c r="C7" t="str">
        <f>IF(IFERROR(VLOOKUP('Base Salary Structure'!C1,Table!J6:K929,2,0),0)&gt;0,0,"12% PF Restricted upto 15000 Basic Salary")</f>
        <v>12% PF Restricted upto 15000 Basic Salary</v>
      </c>
      <c r="J7">
        <v>60</v>
      </c>
      <c r="K7">
        <v>1</v>
      </c>
    </row>
    <row r="8" spans="3:11" x14ac:dyDescent="0.35">
      <c r="J8">
        <v>121</v>
      </c>
      <c r="K8">
        <v>1</v>
      </c>
    </row>
    <row r="9" spans="3:11" x14ac:dyDescent="0.35">
      <c r="C9" t="s">
        <v>141</v>
      </c>
      <c r="J9">
        <v>188</v>
      </c>
      <c r="K9">
        <v>1</v>
      </c>
    </row>
    <row r="10" spans="3:11" x14ac:dyDescent="0.35">
      <c r="C10">
        <v>0</v>
      </c>
      <c r="J10">
        <v>271</v>
      </c>
      <c r="K10">
        <v>1</v>
      </c>
    </row>
    <row r="11" spans="3:11" x14ac:dyDescent="0.35">
      <c r="C11" t="e">
        <f>IF('Base Salary Structure'!#REF!="Yes",0,1250)</f>
        <v>#REF!</v>
      </c>
      <c r="J11">
        <v>299</v>
      </c>
      <c r="K11">
        <v>1</v>
      </c>
    </row>
    <row r="12" spans="3:11" x14ac:dyDescent="0.35">
      <c r="C12" t="e">
        <f>IF('Base Salary Structure'!#REF!="Yes",0,2500)</f>
        <v>#REF!</v>
      </c>
      <c r="J12">
        <v>383</v>
      </c>
      <c r="K12">
        <v>1</v>
      </c>
    </row>
    <row r="13" spans="3:11" x14ac:dyDescent="0.35">
      <c r="C13" t="s">
        <v>142</v>
      </c>
      <c r="J13">
        <v>420</v>
      </c>
      <c r="K13">
        <v>1</v>
      </c>
    </row>
    <row r="14" spans="3:11" x14ac:dyDescent="0.35">
      <c r="C14">
        <v>0</v>
      </c>
      <c r="J14">
        <v>435</v>
      </c>
      <c r="K14">
        <v>1</v>
      </c>
    </row>
    <row r="15" spans="3:11" x14ac:dyDescent="0.35">
      <c r="C15">
        <f>5000/12</f>
        <v>416.66666666666669</v>
      </c>
      <c r="D15">
        <f>5000/12</f>
        <v>416.66666666666669</v>
      </c>
      <c r="J15">
        <v>475</v>
      </c>
      <c r="K15">
        <v>1</v>
      </c>
    </row>
    <row r="16" spans="3:11" x14ac:dyDescent="0.35">
      <c r="J16">
        <v>530</v>
      </c>
      <c r="K16">
        <v>1</v>
      </c>
    </row>
    <row r="17" spans="3:11" x14ac:dyDescent="0.35">
      <c r="J17">
        <v>607</v>
      </c>
      <c r="K17">
        <v>1</v>
      </c>
    </row>
    <row r="18" spans="3:11" x14ac:dyDescent="0.35">
      <c r="C18" t="s">
        <v>3</v>
      </c>
      <c r="J18">
        <v>739</v>
      </c>
      <c r="K18">
        <v>1</v>
      </c>
    </row>
    <row r="19" spans="3:11" x14ac:dyDescent="0.35">
      <c r="C19">
        <v>0</v>
      </c>
      <c r="J19">
        <v>762</v>
      </c>
      <c r="K19">
        <v>1</v>
      </c>
    </row>
    <row r="20" spans="3:11" x14ac:dyDescent="0.35">
      <c r="C20" t="e">
        <f>IF('Base Salary Structure'!#REF!="No",1600,3200)</f>
        <v>#REF!</v>
      </c>
      <c r="J20">
        <v>781</v>
      </c>
      <c r="K20">
        <v>1</v>
      </c>
    </row>
    <row r="21" spans="3:11" x14ac:dyDescent="0.35">
      <c r="J21">
        <v>791</v>
      </c>
      <c r="K21">
        <v>1</v>
      </c>
    </row>
    <row r="22" spans="3:11" x14ac:dyDescent="0.35">
      <c r="J22">
        <v>794</v>
      </c>
      <c r="K22">
        <v>1</v>
      </c>
    </row>
    <row r="23" spans="3:11" x14ac:dyDescent="0.35">
      <c r="J23">
        <v>809</v>
      </c>
      <c r="K23">
        <v>1</v>
      </c>
    </row>
    <row r="24" spans="3:11" x14ac:dyDescent="0.35">
      <c r="C24" t="s">
        <v>108</v>
      </c>
      <c r="D24" t="s">
        <v>109</v>
      </c>
      <c r="J24">
        <v>906</v>
      </c>
      <c r="K24">
        <v>1</v>
      </c>
    </row>
    <row r="25" spans="3:11" x14ac:dyDescent="0.35">
      <c r="C25">
        <v>0</v>
      </c>
      <c r="D25">
        <v>0</v>
      </c>
      <c r="J25">
        <v>917</v>
      </c>
      <c r="K25">
        <v>1</v>
      </c>
    </row>
    <row r="26" spans="3:11" x14ac:dyDescent="0.35">
      <c r="C26">
        <f>'Base Salary Structure'!E3*100</f>
        <v>0</v>
      </c>
      <c r="D26">
        <f>'Base Salary Structure'!E3*300</f>
        <v>0</v>
      </c>
      <c r="J26">
        <v>950</v>
      </c>
      <c r="K26">
        <v>1</v>
      </c>
    </row>
    <row r="27" spans="3:11" x14ac:dyDescent="0.35">
      <c r="J27">
        <v>969</v>
      </c>
      <c r="K27">
        <v>1</v>
      </c>
    </row>
    <row r="28" spans="3:11" x14ac:dyDescent="0.35">
      <c r="J28">
        <v>997</v>
      </c>
      <c r="K28">
        <v>1</v>
      </c>
    </row>
    <row r="29" spans="3:11" x14ac:dyDescent="0.35">
      <c r="J29">
        <v>1040</v>
      </c>
      <c r="K29">
        <v>1</v>
      </c>
    </row>
    <row r="30" spans="3:11" x14ac:dyDescent="0.35">
      <c r="C30" t="s">
        <v>2</v>
      </c>
      <c r="J30">
        <v>1059</v>
      </c>
      <c r="K30">
        <v>1</v>
      </c>
    </row>
    <row r="31" spans="3:11" x14ac:dyDescent="0.35">
      <c r="C31">
        <v>0</v>
      </c>
      <c r="J31">
        <v>1133</v>
      </c>
      <c r="K31">
        <v>1</v>
      </c>
    </row>
    <row r="32" spans="3:11" x14ac:dyDescent="0.35">
      <c r="C32">
        <v>5</v>
      </c>
      <c r="J32">
        <v>1137</v>
      </c>
      <c r="K32">
        <v>1</v>
      </c>
    </row>
    <row r="33" spans="3:11" x14ac:dyDescent="0.35">
      <c r="C33">
        <v>10</v>
      </c>
      <c r="J33">
        <v>1163</v>
      </c>
      <c r="K33">
        <v>1</v>
      </c>
    </row>
    <row r="34" spans="3:11" x14ac:dyDescent="0.35">
      <c r="C34">
        <v>15</v>
      </c>
      <c r="J34">
        <v>1174</v>
      </c>
      <c r="K34">
        <v>1</v>
      </c>
    </row>
    <row r="35" spans="3:11" x14ac:dyDescent="0.35">
      <c r="C35">
        <v>20</v>
      </c>
      <c r="J35">
        <v>1188</v>
      </c>
      <c r="K35">
        <v>1</v>
      </c>
    </row>
    <row r="36" spans="3:11" x14ac:dyDescent="0.35">
      <c r="C36">
        <v>25</v>
      </c>
      <c r="J36">
        <v>1211</v>
      </c>
      <c r="K36">
        <v>1</v>
      </c>
    </row>
    <row r="37" spans="3:11" x14ac:dyDescent="0.35">
      <c r="C37">
        <v>30</v>
      </c>
      <c r="J37">
        <v>1214</v>
      </c>
      <c r="K37">
        <v>1</v>
      </c>
    </row>
    <row r="38" spans="3:11" x14ac:dyDescent="0.35">
      <c r="C38">
        <v>35</v>
      </c>
      <c r="J38">
        <v>1215</v>
      </c>
      <c r="K38">
        <v>1</v>
      </c>
    </row>
    <row r="39" spans="3:11" x14ac:dyDescent="0.35">
      <c r="C39">
        <v>40</v>
      </c>
      <c r="J39">
        <v>1230</v>
      </c>
      <c r="K39">
        <v>1</v>
      </c>
    </row>
    <row r="40" spans="3:11" x14ac:dyDescent="0.35">
      <c r="C40">
        <v>45</v>
      </c>
      <c r="J40">
        <v>1236</v>
      </c>
      <c r="K40">
        <v>1</v>
      </c>
    </row>
    <row r="41" spans="3:11" x14ac:dyDescent="0.35">
      <c r="C41">
        <v>50</v>
      </c>
      <c r="J41">
        <v>1246</v>
      </c>
      <c r="K41">
        <v>1</v>
      </c>
    </row>
    <row r="42" spans="3:11" x14ac:dyDescent="0.35">
      <c r="J42">
        <v>1281</v>
      </c>
      <c r="K42">
        <v>1</v>
      </c>
    </row>
    <row r="43" spans="3:11" x14ac:dyDescent="0.35">
      <c r="C43" t="s">
        <v>107</v>
      </c>
      <c r="J43">
        <v>1342</v>
      </c>
      <c r="K43">
        <v>1</v>
      </c>
    </row>
    <row r="44" spans="3:11" x14ac:dyDescent="0.35">
      <c r="C44">
        <v>0</v>
      </c>
      <c r="J44">
        <v>1432</v>
      </c>
      <c r="K44">
        <v>1</v>
      </c>
    </row>
    <row r="45" spans="3:11" x14ac:dyDescent="0.35">
      <c r="C45">
        <v>1</v>
      </c>
      <c r="J45">
        <v>1472</v>
      </c>
      <c r="K45">
        <v>1</v>
      </c>
    </row>
    <row r="46" spans="3:11" x14ac:dyDescent="0.35">
      <c r="C46">
        <v>2</v>
      </c>
      <c r="J46">
        <v>1497</v>
      </c>
      <c r="K46">
        <v>1</v>
      </c>
    </row>
    <row r="47" spans="3:11" x14ac:dyDescent="0.35">
      <c r="C47">
        <v>3</v>
      </c>
      <c r="J47">
        <v>1506</v>
      </c>
      <c r="K47">
        <v>1</v>
      </c>
    </row>
    <row r="48" spans="3:11" x14ac:dyDescent="0.35">
      <c r="C48">
        <f>C47+1</f>
        <v>4</v>
      </c>
      <c r="J48">
        <v>1512</v>
      </c>
      <c r="K48">
        <v>1</v>
      </c>
    </row>
    <row r="49" spans="3:11" x14ac:dyDescent="0.35">
      <c r="C49">
        <f t="shared" ref="C49:C56" si="0">C48+1</f>
        <v>5</v>
      </c>
      <c r="J49">
        <v>1530</v>
      </c>
      <c r="K49">
        <v>1</v>
      </c>
    </row>
    <row r="50" spans="3:11" x14ac:dyDescent="0.35">
      <c r="C50">
        <f t="shared" si="0"/>
        <v>6</v>
      </c>
      <c r="J50">
        <v>1596</v>
      </c>
      <c r="K50">
        <v>1</v>
      </c>
    </row>
    <row r="51" spans="3:11" x14ac:dyDescent="0.35">
      <c r="C51">
        <f t="shared" si="0"/>
        <v>7</v>
      </c>
      <c r="J51">
        <v>1650</v>
      </c>
      <c r="K51">
        <v>1</v>
      </c>
    </row>
    <row r="52" spans="3:11" x14ac:dyDescent="0.35">
      <c r="C52">
        <f t="shared" si="0"/>
        <v>8</v>
      </c>
      <c r="J52">
        <v>1670</v>
      </c>
      <c r="K52">
        <v>1</v>
      </c>
    </row>
    <row r="53" spans="3:11" x14ac:dyDescent="0.35">
      <c r="C53">
        <f t="shared" si="0"/>
        <v>9</v>
      </c>
      <c r="J53">
        <v>1726</v>
      </c>
      <c r="K53">
        <v>1</v>
      </c>
    </row>
    <row r="54" spans="3:11" x14ac:dyDescent="0.35">
      <c r="C54">
        <f t="shared" si="0"/>
        <v>10</v>
      </c>
      <c r="J54">
        <v>1728</v>
      </c>
      <c r="K54">
        <v>1</v>
      </c>
    </row>
    <row r="55" spans="3:11" x14ac:dyDescent="0.35">
      <c r="C55">
        <f t="shared" si="0"/>
        <v>11</v>
      </c>
      <c r="J55">
        <v>1730</v>
      </c>
      <c r="K55">
        <v>1</v>
      </c>
    </row>
    <row r="56" spans="3:11" x14ac:dyDescent="0.35">
      <c r="C56">
        <f t="shared" si="0"/>
        <v>12</v>
      </c>
      <c r="J56">
        <v>1852</v>
      </c>
      <c r="K56">
        <v>1</v>
      </c>
    </row>
    <row r="57" spans="3:11" x14ac:dyDescent="0.35">
      <c r="J57">
        <v>1855</v>
      </c>
      <c r="K57">
        <v>1</v>
      </c>
    </row>
    <row r="58" spans="3:11" x14ac:dyDescent="0.35">
      <c r="J58">
        <v>1856</v>
      </c>
      <c r="K58">
        <v>1</v>
      </c>
    </row>
    <row r="59" spans="3:11" x14ac:dyDescent="0.35">
      <c r="C59" t="s">
        <v>4</v>
      </c>
      <c r="J59">
        <v>1864</v>
      </c>
      <c r="K59">
        <v>1</v>
      </c>
    </row>
    <row r="60" spans="3:11" x14ac:dyDescent="0.35">
      <c r="C60">
        <v>0</v>
      </c>
      <c r="J60">
        <v>1869</v>
      </c>
      <c r="K60">
        <v>1</v>
      </c>
    </row>
    <row r="61" spans="3:11" x14ac:dyDescent="0.35">
      <c r="C61">
        <v>250</v>
      </c>
      <c r="J61">
        <v>1872</v>
      </c>
      <c r="K61">
        <v>1</v>
      </c>
    </row>
    <row r="62" spans="3:11" x14ac:dyDescent="0.35">
      <c r="C62">
        <v>500</v>
      </c>
      <c r="J62">
        <v>1924</v>
      </c>
      <c r="K62">
        <v>1</v>
      </c>
    </row>
    <row r="63" spans="3:11" x14ac:dyDescent="0.35">
      <c r="C63">
        <v>750</v>
      </c>
      <c r="J63">
        <v>1980</v>
      </c>
      <c r="K63">
        <v>1</v>
      </c>
    </row>
    <row r="64" spans="3:11" x14ac:dyDescent="0.35">
      <c r="C64">
        <v>1000</v>
      </c>
      <c r="J64">
        <v>1987</v>
      </c>
      <c r="K64">
        <v>1</v>
      </c>
    </row>
    <row r="65" spans="3:11" x14ac:dyDescent="0.35">
      <c r="C65">
        <v>1250</v>
      </c>
      <c r="J65">
        <v>2012</v>
      </c>
      <c r="K65">
        <v>1</v>
      </c>
    </row>
    <row r="66" spans="3:11" x14ac:dyDescent="0.35">
      <c r="J66">
        <v>2064</v>
      </c>
      <c r="K66">
        <v>1</v>
      </c>
    </row>
    <row r="67" spans="3:11" x14ac:dyDescent="0.35">
      <c r="C67" t="s">
        <v>106</v>
      </c>
      <c r="J67">
        <v>2171</v>
      </c>
      <c r="K67">
        <v>1</v>
      </c>
    </row>
    <row r="68" spans="3:11" x14ac:dyDescent="0.35">
      <c r="C68">
        <v>0</v>
      </c>
      <c r="J68">
        <v>2190</v>
      </c>
      <c r="K68">
        <v>1</v>
      </c>
    </row>
    <row r="69" spans="3:11" x14ac:dyDescent="0.35">
      <c r="C69">
        <v>250</v>
      </c>
      <c r="J69">
        <v>2194</v>
      </c>
      <c r="K69">
        <v>1</v>
      </c>
    </row>
    <row r="70" spans="3:11" x14ac:dyDescent="0.35">
      <c r="C70">
        <v>500</v>
      </c>
      <c r="J70">
        <v>2197</v>
      </c>
      <c r="K70">
        <v>1</v>
      </c>
    </row>
    <row r="71" spans="3:11" x14ac:dyDescent="0.35">
      <c r="C71">
        <v>750</v>
      </c>
      <c r="J71">
        <v>2216</v>
      </c>
      <c r="K71">
        <v>1</v>
      </c>
    </row>
    <row r="72" spans="3:11" x14ac:dyDescent="0.35">
      <c r="C72">
        <v>1000</v>
      </c>
      <c r="J72">
        <v>2241</v>
      </c>
      <c r="K72">
        <v>1</v>
      </c>
    </row>
    <row r="73" spans="3:11" x14ac:dyDescent="0.35">
      <c r="C73">
        <v>1250</v>
      </c>
      <c r="J73">
        <v>2248</v>
      </c>
      <c r="K73">
        <v>1</v>
      </c>
    </row>
    <row r="74" spans="3:11" x14ac:dyDescent="0.35">
      <c r="C74">
        <v>1500</v>
      </c>
      <c r="J74">
        <v>2257</v>
      </c>
      <c r="K74">
        <v>1</v>
      </c>
    </row>
    <row r="75" spans="3:11" x14ac:dyDescent="0.35">
      <c r="J75">
        <v>2301</v>
      </c>
      <c r="K75">
        <v>1</v>
      </c>
    </row>
    <row r="76" spans="3:11" x14ac:dyDescent="0.35">
      <c r="J76">
        <v>2303</v>
      </c>
      <c r="K76">
        <v>1</v>
      </c>
    </row>
    <row r="77" spans="3:11" x14ac:dyDescent="0.35">
      <c r="C77" t="s">
        <v>105</v>
      </c>
      <c r="J77">
        <v>2317</v>
      </c>
      <c r="K77">
        <v>1</v>
      </c>
    </row>
    <row r="78" spans="3:11" x14ac:dyDescent="0.35">
      <c r="C78">
        <v>0</v>
      </c>
      <c r="J78">
        <v>2327</v>
      </c>
      <c r="K78">
        <v>1</v>
      </c>
    </row>
    <row r="79" spans="3:11" x14ac:dyDescent="0.35">
      <c r="C79">
        <v>1</v>
      </c>
      <c r="J79">
        <v>2328</v>
      </c>
      <c r="K79">
        <v>1</v>
      </c>
    </row>
    <row r="80" spans="3:11" x14ac:dyDescent="0.35">
      <c r="C80">
        <v>2</v>
      </c>
      <c r="J80">
        <v>2342</v>
      </c>
      <c r="K80">
        <v>1</v>
      </c>
    </row>
    <row r="81" spans="3:11" x14ac:dyDescent="0.35">
      <c r="C81">
        <f>C80+1</f>
        <v>3</v>
      </c>
      <c r="J81">
        <v>2351</v>
      </c>
      <c r="K81">
        <v>1</v>
      </c>
    </row>
    <row r="82" spans="3:11" x14ac:dyDescent="0.35">
      <c r="C82">
        <f t="shared" ref="C82:C88" si="1">C81+1</f>
        <v>4</v>
      </c>
      <c r="J82">
        <v>2354</v>
      </c>
      <c r="K82">
        <v>1</v>
      </c>
    </row>
    <row r="83" spans="3:11" x14ac:dyDescent="0.35">
      <c r="C83">
        <f t="shared" si="1"/>
        <v>5</v>
      </c>
      <c r="J83">
        <v>2371</v>
      </c>
      <c r="K83">
        <v>1</v>
      </c>
    </row>
    <row r="84" spans="3:11" x14ac:dyDescent="0.35">
      <c r="C84">
        <f t="shared" si="1"/>
        <v>6</v>
      </c>
      <c r="J84">
        <v>2382</v>
      </c>
      <c r="K84">
        <v>1</v>
      </c>
    </row>
    <row r="85" spans="3:11" x14ac:dyDescent="0.35">
      <c r="C85">
        <f t="shared" si="1"/>
        <v>7</v>
      </c>
      <c r="J85">
        <v>2388</v>
      </c>
      <c r="K85">
        <v>1</v>
      </c>
    </row>
    <row r="86" spans="3:11" x14ac:dyDescent="0.35">
      <c r="C86">
        <f t="shared" si="1"/>
        <v>8</v>
      </c>
      <c r="J86">
        <v>2414</v>
      </c>
      <c r="K86">
        <v>1</v>
      </c>
    </row>
    <row r="87" spans="3:11" x14ac:dyDescent="0.35">
      <c r="C87">
        <f t="shared" si="1"/>
        <v>9</v>
      </c>
      <c r="J87">
        <v>2432</v>
      </c>
      <c r="K87">
        <v>1</v>
      </c>
    </row>
    <row r="88" spans="3:11" x14ac:dyDescent="0.35">
      <c r="C88">
        <f t="shared" si="1"/>
        <v>10</v>
      </c>
      <c r="J88">
        <v>2447</v>
      </c>
      <c r="K88">
        <v>1</v>
      </c>
    </row>
    <row r="89" spans="3:11" x14ac:dyDescent="0.35">
      <c r="J89">
        <v>2454</v>
      </c>
      <c r="K89">
        <v>1</v>
      </c>
    </row>
    <row r="90" spans="3:11" x14ac:dyDescent="0.35">
      <c r="J90">
        <v>2461</v>
      </c>
      <c r="K90">
        <v>1</v>
      </c>
    </row>
    <row r="91" spans="3:11" x14ac:dyDescent="0.35">
      <c r="J91">
        <v>2462</v>
      </c>
      <c r="K91">
        <v>1</v>
      </c>
    </row>
    <row r="92" spans="3:11" x14ac:dyDescent="0.35">
      <c r="C92" t="s">
        <v>137</v>
      </c>
      <c r="J92">
        <v>2482</v>
      </c>
      <c r="K92">
        <v>1</v>
      </c>
    </row>
    <row r="93" spans="3:11" x14ac:dyDescent="0.35">
      <c r="C93" t="s">
        <v>138</v>
      </c>
      <c r="J93">
        <v>2487</v>
      </c>
      <c r="K93">
        <v>1</v>
      </c>
    </row>
    <row r="94" spans="3:11" x14ac:dyDescent="0.35">
      <c r="C94" t="s">
        <v>139</v>
      </c>
      <c r="J94">
        <v>2491</v>
      </c>
      <c r="K94">
        <v>1</v>
      </c>
    </row>
    <row r="95" spans="3:11" x14ac:dyDescent="0.35">
      <c r="J95">
        <v>2493</v>
      </c>
      <c r="K95">
        <v>1</v>
      </c>
    </row>
    <row r="96" spans="3:11" x14ac:dyDescent="0.35">
      <c r="J96">
        <v>2496</v>
      </c>
      <c r="K96">
        <v>1</v>
      </c>
    </row>
    <row r="97" spans="3:11" x14ac:dyDescent="0.35">
      <c r="C97" t="s">
        <v>140</v>
      </c>
      <c r="J97">
        <v>2505</v>
      </c>
      <c r="K97">
        <v>1</v>
      </c>
    </row>
    <row r="98" spans="3:11" x14ac:dyDescent="0.35">
      <c r="C98" t="s">
        <v>138</v>
      </c>
      <c r="J98">
        <v>2506</v>
      </c>
      <c r="K98">
        <v>1</v>
      </c>
    </row>
    <row r="99" spans="3:11" x14ac:dyDescent="0.35">
      <c r="C99" t="s">
        <v>139</v>
      </c>
      <c r="J99">
        <v>2514</v>
      </c>
      <c r="K99">
        <v>1</v>
      </c>
    </row>
    <row r="100" spans="3:11" x14ac:dyDescent="0.35">
      <c r="J100">
        <v>2537</v>
      </c>
      <c r="K100">
        <v>1</v>
      </c>
    </row>
    <row r="101" spans="3:11" x14ac:dyDescent="0.35">
      <c r="C101" t="s">
        <v>146</v>
      </c>
      <c r="J101">
        <v>2546</v>
      </c>
      <c r="K101">
        <v>1</v>
      </c>
    </row>
    <row r="102" spans="3:11" x14ac:dyDescent="0.35">
      <c r="C102">
        <v>0</v>
      </c>
      <c r="J102">
        <v>2547</v>
      </c>
      <c r="K102">
        <v>1</v>
      </c>
    </row>
    <row r="103" spans="3:11" x14ac:dyDescent="0.35">
      <c r="C103">
        <v>1</v>
      </c>
      <c r="J103">
        <v>2577</v>
      </c>
      <c r="K103">
        <v>1</v>
      </c>
    </row>
    <row r="104" spans="3:11" x14ac:dyDescent="0.35">
      <c r="C104">
        <v>2</v>
      </c>
      <c r="J104">
        <v>2579</v>
      </c>
      <c r="K104">
        <v>1</v>
      </c>
    </row>
    <row r="105" spans="3:11" x14ac:dyDescent="0.35">
      <c r="J105">
        <v>2612</v>
      </c>
      <c r="K105">
        <v>1</v>
      </c>
    </row>
    <row r="106" spans="3:11" x14ac:dyDescent="0.35">
      <c r="J106">
        <v>2617</v>
      </c>
      <c r="K106">
        <v>1</v>
      </c>
    </row>
    <row r="107" spans="3:11" x14ac:dyDescent="0.35">
      <c r="J107">
        <v>2641</v>
      </c>
      <c r="K107">
        <v>1</v>
      </c>
    </row>
    <row r="108" spans="3:11" x14ac:dyDescent="0.35">
      <c r="J108">
        <v>2646</v>
      </c>
      <c r="K108">
        <v>1</v>
      </c>
    </row>
    <row r="109" spans="3:11" x14ac:dyDescent="0.35">
      <c r="J109">
        <v>2653</v>
      </c>
      <c r="K109">
        <v>1</v>
      </c>
    </row>
    <row r="110" spans="3:11" x14ac:dyDescent="0.35">
      <c r="J110">
        <v>2660</v>
      </c>
      <c r="K110">
        <v>1</v>
      </c>
    </row>
    <row r="111" spans="3:11" x14ac:dyDescent="0.35">
      <c r="J111">
        <v>2678</v>
      </c>
      <c r="K111">
        <v>1</v>
      </c>
    </row>
    <row r="112" spans="3:11" x14ac:dyDescent="0.35">
      <c r="J112">
        <v>2682</v>
      </c>
      <c r="K112">
        <v>1</v>
      </c>
    </row>
    <row r="113" spans="10:11" x14ac:dyDescent="0.35">
      <c r="J113">
        <v>2687</v>
      </c>
      <c r="K113">
        <v>1</v>
      </c>
    </row>
    <row r="114" spans="10:11" x14ac:dyDescent="0.35">
      <c r="J114">
        <v>2699</v>
      </c>
      <c r="K114">
        <v>1</v>
      </c>
    </row>
    <row r="115" spans="10:11" x14ac:dyDescent="0.35">
      <c r="J115">
        <v>2712</v>
      </c>
      <c r="K115">
        <v>1</v>
      </c>
    </row>
    <row r="116" spans="10:11" x14ac:dyDescent="0.35">
      <c r="J116">
        <v>2713</v>
      </c>
      <c r="K116">
        <v>1</v>
      </c>
    </row>
    <row r="117" spans="10:11" x14ac:dyDescent="0.35">
      <c r="J117">
        <v>2725</v>
      </c>
      <c r="K117">
        <v>1</v>
      </c>
    </row>
    <row r="118" spans="10:11" x14ac:dyDescent="0.35">
      <c r="J118">
        <v>2726</v>
      </c>
      <c r="K118">
        <v>1</v>
      </c>
    </row>
    <row r="119" spans="10:11" x14ac:dyDescent="0.35">
      <c r="J119">
        <v>2729</v>
      </c>
      <c r="K119">
        <v>1</v>
      </c>
    </row>
    <row r="120" spans="10:11" x14ac:dyDescent="0.35">
      <c r="J120">
        <v>2751</v>
      </c>
      <c r="K120">
        <v>1</v>
      </c>
    </row>
    <row r="121" spans="10:11" x14ac:dyDescent="0.35">
      <c r="J121">
        <v>2765</v>
      </c>
      <c r="K121">
        <v>1</v>
      </c>
    </row>
    <row r="122" spans="10:11" x14ac:dyDescent="0.35">
      <c r="J122">
        <v>2775</v>
      </c>
      <c r="K122">
        <v>1</v>
      </c>
    </row>
    <row r="123" spans="10:11" x14ac:dyDescent="0.35">
      <c r="J123">
        <v>2777</v>
      </c>
      <c r="K123">
        <v>1</v>
      </c>
    </row>
    <row r="124" spans="10:11" x14ac:dyDescent="0.35">
      <c r="J124">
        <v>2788</v>
      </c>
      <c r="K124">
        <v>1</v>
      </c>
    </row>
    <row r="125" spans="10:11" x14ac:dyDescent="0.35">
      <c r="J125">
        <v>2789</v>
      </c>
      <c r="K125">
        <v>1</v>
      </c>
    </row>
    <row r="126" spans="10:11" x14ac:dyDescent="0.35">
      <c r="J126">
        <v>2790</v>
      </c>
      <c r="K126">
        <v>1</v>
      </c>
    </row>
    <row r="127" spans="10:11" x14ac:dyDescent="0.35">
      <c r="J127">
        <v>2804</v>
      </c>
      <c r="K127">
        <v>1</v>
      </c>
    </row>
    <row r="128" spans="10:11" x14ac:dyDescent="0.35">
      <c r="J128">
        <v>2811</v>
      </c>
      <c r="K128">
        <v>1</v>
      </c>
    </row>
    <row r="129" spans="10:11" x14ac:dyDescent="0.35">
      <c r="J129">
        <v>2823</v>
      </c>
      <c r="K129">
        <v>1</v>
      </c>
    </row>
    <row r="130" spans="10:11" x14ac:dyDescent="0.35">
      <c r="J130">
        <v>2847</v>
      </c>
      <c r="K130">
        <v>1</v>
      </c>
    </row>
    <row r="131" spans="10:11" x14ac:dyDescent="0.35">
      <c r="J131">
        <v>2853</v>
      </c>
      <c r="K131">
        <v>1</v>
      </c>
    </row>
    <row r="132" spans="10:11" x14ac:dyDescent="0.35">
      <c r="J132">
        <v>2856</v>
      </c>
      <c r="K132">
        <v>1</v>
      </c>
    </row>
    <row r="133" spans="10:11" x14ac:dyDescent="0.35">
      <c r="J133">
        <v>2859</v>
      </c>
      <c r="K133">
        <v>1</v>
      </c>
    </row>
    <row r="134" spans="10:11" x14ac:dyDescent="0.35">
      <c r="J134">
        <v>2875</v>
      </c>
      <c r="K134">
        <v>1</v>
      </c>
    </row>
    <row r="135" spans="10:11" x14ac:dyDescent="0.35">
      <c r="J135">
        <v>2879</v>
      </c>
      <c r="K135">
        <v>1</v>
      </c>
    </row>
    <row r="136" spans="10:11" x14ac:dyDescent="0.35">
      <c r="J136">
        <v>2891</v>
      </c>
      <c r="K136">
        <v>1</v>
      </c>
    </row>
    <row r="137" spans="10:11" x14ac:dyDescent="0.35">
      <c r="J137">
        <v>2898</v>
      </c>
      <c r="K137">
        <v>1</v>
      </c>
    </row>
    <row r="138" spans="10:11" x14ac:dyDescent="0.35">
      <c r="J138">
        <v>2905</v>
      </c>
      <c r="K138">
        <v>1</v>
      </c>
    </row>
    <row r="139" spans="10:11" x14ac:dyDescent="0.35">
      <c r="J139">
        <v>2928</v>
      </c>
      <c r="K139">
        <v>1</v>
      </c>
    </row>
    <row r="140" spans="10:11" x14ac:dyDescent="0.35">
      <c r="J140">
        <v>2930</v>
      </c>
      <c r="K140">
        <v>1</v>
      </c>
    </row>
    <row r="141" spans="10:11" x14ac:dyDescent="0.35">
      <c r="J141">
        <v>2940</v>
      </c>
      <c r="K141">
        <v>1</v>
      </c>
    </row>
    <row r="142" spans="10:11" x14ac:dyDescent="0.35">
      <c r="J142">
        <v>2941</v>
      </c>
      <c r="K142">
        <v>1</v>
      </c>
    </row>
    <row r="143" spans="10:11" x14ac:dyDescent="0.35">
      <c r="J143">
        <v>2946</v>
      </c>
      <c r="K143">
        <v>1</v>
      </c>
    </row>
    <row r="144" spans="10:11" x14ac:dyDescent="0.35">
      <c r="J144">
        <v>2955</v>
      </c>
      <c r="K144">
        <v>1</v>
      </c>
    </row>
    <row r="145" spans="10:11" x14ac:dyDescent="0.35">
      <c r="J145">
        <v>2961</v>
      </c>
      <c r="K145">
        <v>1</v>
      </c>
    </row>
    <row r="146" spans="10:11" x14ac:dyDescent="0.35">
      <c r="J146">
        <v>2967</v>
      </c>
      <c r="K146">
        <v>1</v>
      </c>
    </row>
    <row r="147" spans="10:11" x14ac:dyDescent="0.35">
      <c r="J147">
        <v>2970</v>
      </c>
      <c r="K147">
        <v>1</v>
      </c>
    </row>
    <row r="148" spans="10:11" x14ac:dyDescent="0.35">
      <c r="J148">
        <v>2986</v>
      </c>
      <c r="K148">
        <v>1</v>
      </c>
    </row>
    <row r="149" spans="10:11" x14ac:dyDescent="0.35">
      <c r="J149">
        <v>2989</v>
      </c>
      <c r="K149">
        <v>1</v>
      </c>
    </row>
    <row r="150" spans="10:11" x14ac:dyDescent="0.35">
      <c r="J150">
        <v>3001</v>
      </c>
      <c r="K150">
        <v>1</v>
      </c>
    </row>
    <row r="151" spans="10:11" x14ac:dyDescent="0.35">
      <c r="J151">
        <v>3002</v>
      </c>
      <c r="K151">
        <v>1</v>
      </c>
    </row>
    <row r="152" spans="10:11" x14ac:dyDescent="0.35">
      <c r="J152">
        <v>3007</v>
      </c>
      <c r="K152">
        <v>1</v>
      </c>
    </row>
    <row r="153" spans="10:11" x14ac:dyDescent="0.35">
      <c r="J153">
        <v>3009</v>
      </c>
      <c r="K153">
        <v>1</v>
      </c>
    </row>
    <row r="154" spans="10:11" x14ac:dyDescent="0.35">
      <c r="J154">
        <v>3013</v>
      </c>
      <c r="K154">
        <v>1</v>
      </c>
    </row>
    <row r="155" spans="10:11" x14ac:dyDescent="0.35">
      <c r="J155">
        <v>3030</v>
      </c>
      <c r="K155">
        <v>1</v>
      </c>
    </row>
    <row r="156" spans="10:11" x14ac:dyDescent="0.35">
      <c r="J156">
        <v>3033</v>
      </c>
      <c r="K156">
        <v>1</v>
      </c>
    </row>
    <row r="157" spans="10:11" x14ac:dyDescent="0.35">
      <c r="J157">
        <v>3035</v>
      </c>
      <c r="K157">
        <v>1</v>
      </c>
    </row>
    <row r="158" spans="10:11" x14ac:dyDescent="0.35">
      <c r="J158">
        <v>2887</v>
      </c>
      <c r="K158">
        <v>1</v>
      </c>
    </row>
    <row r="159" spans="10:11" x14ac:dyDescent="0.35">
      <c r="J159">
        <v>1057</v>
      </c>
      <c r="K159">
        <v>1</v>
      </c>
    </row>
    <row r="160" spans="10:11" x14ac:dyDescent="0.35">
      <c r="J160">
        <v>2223</v>
      </c>
      <c r="K160">
        <v>1</v>
      </c>
    </row>
    <row r="161" spans="10:11" x14ac:dyDescent="0.35">
      <c r="J161">
        <v>134</v>
      </c>
      <c r="K161">
        <v>1</v>
      </c>
    </row>
    <row r="162" spans="10:11" x14ac:dyDescent="0.35">
      <c r="J162">
        <v>3036</v>
      </c>
      <c r="K162">
        <v>1</v>
      </c>
    </row>
    <row r="163" spans="10:11" x14ac:dyDescent="0.35">
      <c r="J163">
        <v>3037</v>
      </c>
      <c r="K163">
        <v>1</v>
      </c>
    </row>
    <row r="164" spans="10:11" x14ac:dyDescent="0.35">
      <c r="J164">
        <v>3039</v>
      </c>
      <c r="K164">
        <v>1</v>
      </c>
    </row>
    <row r="165" spans="10:11" x14ac:dyDescent="0.35">
      <c r="J165">
        <v>3040</v>
      </c>
      <c r="K165">
        <v>1</v>
      </c>
    </row>
    <row r="166" spans="10:11" x14ac:dyDescent="0.35">
      <c r="J166">
        <v>3046</v>
      </c>
      <c r="K166">
        <v>1</v>
      </c>
    </row>
    <row r="167" spans="10:11" x14ac:dyDescent="0.35">
      <c r="J167">
        <v>3045</v>
      </c>
      <c r="K167">
        <v>1</v>
      </c>
    </row>
    <row r="168" spans="10:11" x14ac:dyDescent="0.35">
      <c r="J168">
        <v>2963</v>
      </c>
      <c r="K168">
        <v>1</v>
      </c>
    </row>
    <row r="169" spans="10:11" x14ac:dyDescent="0.35">
      <c r="J169">
        <v>3049</v>
      </c>
      <c r="K169">
        <v>1</v>
      </c>
    </row>
    <row r="170" spans="10:11" x14ac:dyDescent="0.35">
      <c r="J170">
        <v>3053</v>
      </c>
      <c r="K170">
        <v>1</v>
      </c>
    </row>
    <row r="171" spans="10:11" x14ac:dyDescent="0.35">
      <c r="J171">
        <v>3055</v>
      </c>
      <c r="K171">
        <v>1</v>
      </c>
    </row>
    <row r="172" spans="10:11" x14ac:dyDescent="0.35">
      <c r="J172">
        <v>3054</v>
      </c>
      <c r="K172">
        <v>1</v>
      </c>
    </row>
    <row r="173" spans="10:11" x14ac:dyDescent="0.35">
      <c r="J173">
        <v>3059</v>
      </c>
      <c r="K173">
        <v>1</v>
      </c>
    </row>
    <row r="174" spans="10:11" x14ac:dyDescent="0.35">
      <c r="J174">
        <v>3060</v>
      </c>
      <c r="K174">
        <v>1</v>
      </c>
    </row>
    <row r="175" spans="10:11" x14ac:dyDescent="0.35">
      <c r="J175">
        <v>2528</v>
      </c>
      <c r="K175">
        <v>1</v>
      </c>
    </row>
    <row r="176" spans="10:11" x14ac:dyDescent="0.35">
      <c r="J176">
        <v>3067</v>
      </c>
      <c r="K176">
        <v>1</v>
      </c>
    </row>
    <row r="177" spans="10:11" x14ac:dyDescent="0.35">
      <c r="J177">
        <v>3068</v>
      </c>
      <c r="K177">
        <v>1</v>
      </c>
    </row>
    <row r="178" spans="10:11" x14ac:dyDescent="0.35">
      <c r="J178">
        <v>3071</v>
      </c>
      <c r="K178">
        <v>1</v>
      </c>
    </row>
    <row r="179" spans="10:11" x14ac:dyDescent="0.35">
      <c r="J179">
        <v>3072</v>
      </c>
      <c r="K179">
        <v>1</v>
      </c>
    </row>
    <row r="180" spans="10:11" x14ac:dyDescent="0.35">
      <c r="J180">
        <v>3073</v>
      </c>
      <c r="K180">
        <v>1</v>
      </c>
    </row>
    <row r="181" spans="10:11" x14ac:dyDescent="0.35">
      <c r="J181">
        <v>3076</v>
      </c>
      <c r="K181">
        <v>1</v>
      </c>
    </row>
    <row r="182" spans="10:11" x14ac:dyDescent="0.35">
      <c r="J182">
        <v>2457</v>
      </c>
      <c r="K182">
        <v>1</v>
      </c>
    </row>
    <row r="183" spans="10:11" x14ac:dyDescent="0.35">
      <c r="J183">
        <v>3083</v>
      </c>
      <c r="K183">
        <v>1</v>
      </c>
    </row>
    <row r="184" spans="10:11" x14ac:dyDescent="0.35">
      <c r="J184">
        <v>3084</v>
      </c>
      <c r="K184">
        <v>1</v>
      </c>
    </row>
    <row r="185" spans="10:11" x14ac:dyDescent="0.35">
      <c r="J185">
        <v>3085</v>
      </c>
      <c r="K185">
        <v>1</v>
      </c>
    </row>
    <row r="186" spans="10:11" x14ac:dyDescent="0.35">
      <c r="J186">
        <v>3087</v>
      </c>
      <c r="K186">
        <v>1</v>
      </c>
    </row>
    <row r="187" spans="10:11" x14ac:dyDescent="0.35">
      <c r="J187">
        <v>2866</v>
      </c>
      <c r="K187">
        <v>1</v>
      </c>
    </row>
    <row r="188" spans="10:11" x14ac:dyDescent="0.35">
      <c r="J188">
        <v>1744</v>
      </c>
      <c r="K188">
        <v>1</v>
      </c>
    </row>
    <row r="189" spans="10:11" x14ac:dyDescent="0.35">
      <c r="J189">
        <v>3098</v>
      </c>
      <c r="K189">
        <v>1</v>
      </c>
    </row>
    <row r="190" spans="10:11" x14ac:dyDescent="0.35">
      <c r="J190">
        <v>3099</v>
      </c>
      <c r="K190">
        <v>1</v>
      </c>
    </row>
    <row r="191" spans="10:11" x14ac:dyDescent="0.35">
      <c r="J191">
        <v>623</v>
      </c>
      <c r="K191">
        <v>1</v>
      </c>
    </row>
    <row r="192" spans="10:11" x14ac:dyDescent="0.35">
      <c r="J192">
        <v>1349</v>
      </c>
      <c r="K192">
        <v>1</v>
      </c>
    </row>
    <row r="193" spans="10:11" x14ac:dyDescent="0.35">
      <c r="J193">
        <v>1620</v>
      </c>
      <c r="K193">
        <v>1</v>
      </c>
    </row>
    <row r="194" spans="10:11" x14ac:dyDescent="0.35">
      <c r="J194">
        <v>2271</v>
      </c>
      <c r="K194">
        <v>1</v>
      </c>
    </row>
    <row r="195" spans="10:11" x14ac:dyDescent="0.35">
      <c r="J195">
        <v>2340</v>
      </c>
      <c r="K195">
        <v>1</v>
      </c>
    </row>
    <row r="196" spans="10:11" x14ac:dyDescent="0.35">
      <c r="J196">
        <v>2359</v>
      </c>
      <c r="K196">
        <v>1</v>
      </c>
    </row>
    <row r="197" spans="10:11" x14ac:dyDescent="0.35">
      <c r="J197">
        <v>2580</v>
      </c>
      <c r="K197">
        <v>1</v>
      </c>
    </row>
    <row r="198" spans="10:11" x14ac:dyDescent="0.35">
      <c r="J198">
        <v>2620</v>
      </c>
      <c r="K198">
        <v>1</v>
      </c>
    </row>
    <row r="199" spans="10:11" x14ac:dyDescent="0.35">
      <c r="J199">
        <v>2676</v>
      </c>
      <c r="K199">
        <v>1</v>
      </c>
    </row>
    <row r="200" spans="10:11" x14ac:dyDescent="0.35">
      <c r="J200">
        <v>2692</v>
      </c>
      <c r="K200">
        <v>1</v>
      </c>
    </row>
    <row r="201" spans="10:11" x14ac:dyDescent="0.35">
      <c r="J201">
        <v>2768</v>
      </c>
      <c r="K201">
        <v>1</v>
      </c>
    </row>
    <row r="202" spans="10:11" x14ac:dyDescent="0.35">
      <c r="J202">
        <v>2817</v>
      </c>
      <c r="K202">
        <v>1</v>
      </c>
    </row>
    <row r="203" spans="10:11" x14ac:dyDescent="0.35">
      <c r="J203">
        <v>2820</v>
      </c>
      <c r="K203">
        <v>1</v>
      </c>
    </row>
    <row r="204" spans="10:11" x14ac:dyDescent="0.35">
      <c r="J204">
        <v>2821</v>
      </c>
      <c r="K204">
        <v>1</v>
      </c>
    </row>
    <row r="205" spans="10:11" x14ac:dyDescent="0.35">
      <c r="J205">
        <v>2842</v>
      </c>
      <c r="K205">
        <v>1</v>
      </c>
    </row>
    <row r="206" spans="10:11" x14ac:dyDescent="0.35">
      <c r="J206">
        <v>2864</v>
      </c>
      <c r="K206">
        <v>1</v>
      </c>
    </row>
    <row r="207" spans="10:11" x14ac:dyDescent="0.35">
      <c r="J207">
        <v>2918</v>
      </c>
      <c r="K207">
        <v>1</v>
      </c>
    </row>
    <row r="208" spans="10:11" x14ac:dyDescent="0.35">
      <c r="J208">
        <v>2953</v>
      </c>
      <c r="K208">
        <v>1</v>
      </c>
    </row>
    <row r="209" spans="10:11" x14ac:dyDescent="0.35">
      <c r="J209">
        <v>3008</v>
      </c>
      <c r="K209">
        <v>1</v>
      </c>
    </row>
    <row r="210" spans="10:11" x14ac:dyDescent="0.35">
      <c r="J210">
        <v>3047</v>
      </c>
      <c r="K210">
        <v>1</v>
      </c>
    </row>
    <row r="211" spans="10:11" x14ac:dyDescent="0.35">
      <c r="J211">
        <v>3103</v>
      </c>
      <c r="K211">
        <v>1</v>
      </c>
    </row>
    <row r="212" spans="10:11" x14ac:dyDescent="0.35">
      <c r="J212">
        <v>3105</v>
      </c>
      <c r="K212">
        <v>1</v>
      </c>
    </row>
    <row r="213" spans="10:11" x14ac:dyDescent="0.35">
      <c r="J213">
        <v>3111</v>
      </c>
      <c r="K213">
        <v>1</v>
      </c>
    </row>
    <row r="214" spans="10:11" x14ac:dyDescent="0.35">
      <c r="J214">
        <v>1052</v>
      </c>
      <c r="K214">
        <v>1</v>
      </c>
    </row>
    <row r="215" spans="10:11" x14ac:dyDescent="0.35">
      <c r="J215">
        <v>2347</v>
      </c>
      <c r="K215">
        <v>1</v>
      </c>
    </row>
    <row r="216" spans="10:11" x14ac:dyDescent="0.35">
      <c r="J216">
        <v>3133</v>
      </c>
      <c r="K216">
        <v>1</v>
      </c>
    </row>
    <row r="217" spans="10:11" x14ac:dyDescent="0.35">
      <c r="J217">
        <v>1999</v>
      </c>
      <c r="K217">
        <v>1</v>
      </c>
    </row>
    <row r="218" spans="10:11" x14ac:dyDescent="0.35">
      <c r="J218">
        <v>2844</v>
      </c>
      <c r="K218">
        <v>1</v>
      </c>
    </row>
    <row r="219" spans="10:11" x14ac:dyDescent="0.35">
      <c r="J219">
        <v>2921</v>
      </c>
      <c r="K219">
        <v>1</v>
      </c>
    </row>
    <row r="220" spans="10:11" x14ac:dyDescent="0.35">
      <c r="J220">
        <v>2931</v>
      </c>
      <c r="K220">
        <v>1</v>
      </c>
    </row>
    <row r="221" spans="10:11" x14ac:dyDescent="0.35">
      <c r="J221">
        <v>3144</v>
      </c>
      <c r="K221">
        <v>1</v>
      </c>
    </row>
    <row r="222" spans="10:11" x14ac:dyDescent="0.35">
      <c r="J222">
        <v>3152</v>
      </c>
      <c r="K222">
        <v>1</v>
      </c>
    </row>
    <row r="223" spans="10:11" x14ac:dyDescent="0.35">
      <c r="J223">
        <v>2655</v>
      </c>
      <c r="K223">
        <v>1</v>
      </c>
    </row>
    <row r="224" spans="10:11" x14ac:dyDescent="0.35">
      <c r="J224">
        <v>2683</v>
      </c>
      <c r="K224">
        <v>1</v>
      </c>
    </row>
    <row r="225" spans="10:11" x14ac:dyDescent="0.35">
      <c r="J225">
        <v>2677</v>
      </c>
      <c r="K225">
        <v>1</v>
      </c>
    </row>
    <row r="226" spans="10:11" x14ac:dyDescent="0.35">
      <c r="J226">
        <v>2252</v>
      </c>
      <c r="K226">
        <v>1</v>
      </c>
    </row>
    <row r="227" spans="10:11" x14ac:dyDescent="0.35">
      <c r="J227">
        <v>3154</v>
      </c>
      <c r="K227">
        <v>1</v>
      </c>
    </row>
    <row r="228" spans="10:11" x14ac:dyDescent="0.35">
      <c r="J228">
        <v>3156</v>
      </c>
      <c r="K228">
        <v>1</v>
      </c>
    </row>
    <row r="229" spans="10:11" x14ac:dyDescent="0.35">
      <c r="J229">
        <v>3170</v>
      </c>
      <c r="K229">
        <v>1</v>
      </c>
    </row>
    <row r="230" spans="10:11" x14ac:dyDescent="0.35">
      <c r="J230">
        <v>3182</v>
      </c>
      <c r="K230">
        <v>1</v>
      </c>
    </row>
    <row r="231" spans="10:11" x14ac:dyDescent="0.35">
      <c r="J231">
        <v>3188</v>
      </c>
      <c r="K231">
        <v>1</v>
      </c>
    </row>
    <row r="232" spans="10:11" x14ac:dyDescent="0.35">
      <c r="J232">
        <v>3190</v>
      </c>
      <c r="K232">
        <v>1</v>
      </c>
    </row>
    <row r="233" spans="10:11" x14ac:dyDescent="0.35">
      <c r="J233">
        <v>3200</v>
      </c>
      <c r="K233">
        <v>1</v>
      </c>
    </row>
    <row r="234" spans="10:11" x14ac:dyDescent="0.35">
      <c r="J234">
        <v>3196</v>
      </c>
      <c r="K234">
        <v>1</v>
      </c>
    </row>
    <row r="235" spans="10:11" x14ac:dyDescent="0.35">
      <c r="J235">
        <v>3212</v>
      </c>
      <c r="K235">
        <v>1</v>
      </c>
    </row>
    <row r="236" spans="10:11" x14ac:dyDescent="0.35">
      <c r="J236">
        <v>3216</v>
      </c>
      <c r="K236">
        <v>1</v>
      </c>
    </row>
    <row r="237" spans="10:11" x14ac:dyDescent="0.35">
      <c r="J237">
        <v>3215</v>
      </c>
      <c r="K237">
        <v>1</v>
      </c>
    </row>
    <row r="238" spans="10:11" x14ac:dyDescent="0.35">
      <c r="J238">
        <v>2909</v>
      </c>
      <c r="K238">
        <v>1</v>
      </c>
    </row>
    <row r="239" spans="10:11" x14ac:dyDescent="0.35">
      <c r="J239">
        <v>3027</v>
      </c>
      <c r="K239">
        <v>1</v>
      </c>
    </row>
    <row r="240" spans="10:11" x14ac:dyDescent="0.35">
      <c r="J240">
        <v>3113</v>
      </c>
      <c r="K240">
        <v>1</v>
      </c>
    </row>
    <row r="241" spans="10:11" x14ac:dyDescent="0.35">
      <c r="J241">
        <v>2011</v>
      </c>
      <c r="K241">
        <v>1</v>
      </c>
    </row>
    <row r="242" spans="10:11" x14ac:dyDescent="0.35">
      <c r="J242">
        <v>3141</v>
      </c>
      <c r="K242">
        <v>1</v>
      </c>
    </row>
    <row r="243" spans="10:11" x14ac:dyDescent="0.35">
      <c r="J243">
        <v>2883</v>
      </c>
      <c r="K243">
        <v>1</v>
      </c>
    </row>
    <row r="244" spans="10:11" x14ac:dyDescent="0.35">
      <c r="J244">
        <v>3146</v>
      </c>
      <c r="K244">
        <v>1</v>
      </c>
    </row>
    <row r="245" spans="10:11" x14ac:dyDescent="0.35">
      <c r="J245">
        <v>3138</v>
      </c>
      <c r="K245">
        <v>1</v>
      </c>
    </row>
    <row r="246" spans="10:11" x14ac:dyDescent="0.35">
      <c r="J246">
        <v>2224</v>
      </c>
      <c r="K246">
        <v>1</v>
      </c>
    </row>
    <row r="247" spans="10:11" x14ac:dyDescent="0.35">
      <c r="J247">
        <v>2679</v>
      </c>
      <c r="K247">
        <v>1</v>
      </c>
    </row>
    <row r="248" spans="10:11" x14ac:dyDescent="0.35">
      <c r="J248">
        <v>3163</v>
      </c>
      <c r="K248">
        <v>1</v>
      </c>
    </row>
    <row r="249" spans="10:11" x14ac:dyDescent="0.35">
      <c r="J249">
        <v>3166</v>
      </c>
      <c r="K249">
        <v>1</v>
      </c>
    </row>
    <row r="250" spans="10:11" x14ac:dyDescent="0.35">
      <c r="J250">
        <v>3178</v>
      </c>
      <c r="K250">
        <v>1</v>
      </c>
    </row>
    <row r="251" spans="10:11" x14ac:dyDescent="0.35">
      <c r="J251">
        <v>3179</v>
      </c>
      <c r="K251">
        <v>1</v>
      </c>
    </row>
    <row r="252" spans="10:11" x14ac:dyDescent="0.35">
      <c r="J252">
        <v>3220</v>
      </c>
      <c r="K252">
        <v>1</v>
      </c>
    </row>
    <row r="253" spans="10:11" x14ac:dyDescent="0.35">
      <c r="J253">
        <v>3226</v>
      </c>
      <c r="K253">
        <v>1</v>
      </c>
    </row>
    <row r="254" spans="10:11" x14ac:dyDescent="0.35">
      <c r="J254">
        <v>3225</v>
      </c>
      <c r="K254">
        <v>1</v>
      </c>
    </row>
    <row r="255" spans="10:11" x14ac:dyDescent="0.35">
      <c r="J255">
        <v>3230</v>
      </c>
      <c r="K255">
        <v>1</v>
      </c>
    </row>
    <row r="256" spans="10:11" x14ac:dyDescent="0.35">
      <c r="J256">
        <v>3229</v>
      </c>
      <c r="K256">
        <v>1</v>
      </c>
    </row>
    <row r="257" spans="10:11" x14ac:dyDescent="0.35">
      <c r="J257">
        <v>3228</v>
      </c>
      <c r="K257">
        <v>1</v>
      </c>
    </row>
    <row r="258" spans="10:11" x14ac:dyDescent="0.35">
      <c r="J258">
        <v>2808</v>
      </c>
      <c r="K258">
        <v>1</v>
      </c>
    </row>
    <row r="259" spans="10:11" x14ac:dyDescent="0.35">
      <c r="J259">
        <v>1665</v>
      </c>
      <c r="K259">
        <v>1</v>
      </c>
    </row>
    <row r="260" spans="10:11" x14ac:dyDescent="0.35">
      <c r="J260">
        <v>3112</v>
      </c>
      <c r="K260">
        <v>1</v>
      </c>
    </row>
    <row r="261" spans="10:11" x14ac:dyDescent="0.35">
      <c r="J261">
        <v>3062</v>
      </c>
      <c r="K261">
        <v>1</v>
      </c>
    </row>
    <row r="262" spans="10:11" x14ac:dyDescent="0.35">
      <c r="J262">
        <v>2942</v>
      </c>
      <c r="K262">
        <v>1</v>
      </c>
    </row>
    <row r="263" spans="10:11" x14ac:dyDescent="0.35">
      <c r="J263">
        <v>2650</v>
      </c>
      <c r="K263">
        <v>1</v>
      </c>
    </row>
    <row r="264" spans="10:11" x14ac:dyDescent="0.35">
      <c r="J264">
        <v>2964</v>
      </c>
      <c r="K264">
        <v>1</v>
      </c>
    </row>
    <row r="265" spans="10:11" x14ac:dyDescent="0.35">
      <c r="J265">
        <v>3077</v>
      </c>
      <c r="K265">
        <v>1</v>
      </c>
    </row>
    <row r="266" spans="10:11" x14ac:dyDescent="0.35">
      <c r="J266">
        <v>16</v>
      </c>
      <c r="K266">
        <v>1</v>
      </c>
    </row>
    <row r="267" spans="10:11" x14ac:dyDescent="0.35">
      <c r="J267">
        <v>3005</v>
      </c>
      <c r="K267">
        <v>1</v>
      </c>
    </row>
    <row r="268" spans="10:11" x14ac:dyDescent="0.35">
      <c r="J268">
        <v>3003</v>
      </c>
      <c r="K268">
        <v>1</v>
      </c>
    </row>
    <row r="269" spans="10:11" x14ac:dyDescent="0.35">
      <c r="J269">
        <v>2490</v>
      </c>
      <c r="K269">
        <v>1</v>
      </c>
    </row>
    <row r="270" spans="10:11" x14ac:dyDescent="0.35">
      <c r="J270">
        <v>2173</v>
      </c>
      <c r="K270">
        <v>1</v>
      </c>
    </row>
    <row r="271" spans="10:11" x14ac:dyDescent="0.35">
      <c r="J271">
        <v>3118</v>
      </c>
      <c r="K271">
        <v>1</v>
      </c>
    </row>
    <row r="272" spans="10:11" x14ac:dyDescent="0.35">
      <c r="J272">
        <v>2613</v>
      </c>
      <c r="K272">
        <v>1</v>
      </c>
    </row>
    <row r="273" spans="10:11" x14ac:dyDescent="0.35">
      <c r="J273">
        <v>2881</v>
      </c>
      <c r="K273">
        <v>1</v>
      </c>
    </row>
    <row r="274" spans="10:11" x14ac:dyDescent="0.35">
      <c r="J274">
        <v>2417</v>
      </c>
      <c r="K274">
        <v>1</v>
      </c>
    </row>
    <row r="275" spans="10:11" x14ac:dyDescent="0.35">
      <c r="J275">
        <v>2902</v>
      </c>
      <c r="K275">
        <v>1</v>
      </c>
    </row>
    <row r="276" spans="10:11" x14ac:dyDescent="0.35">
      <c r="J276">
        <v>1669</v>
      </c>
      <c r="K276">
        <v>1</v>
      </c>
    </row>
    <row r="277" spans="10:11" x14ac:dyDescent="0.35">
      <c r="J277">
        <v>3137</v>
      </c>
      <c r="K277">
        <v>1</v>
      </c>
    </row>
    <row r="278" spans="10:11" x14ac:dyDescent="0.35">
      <c r="J278">
        <v>3109</v>
      </c>
      <c r="K278">
        <v>1</v>
      </c>
    </row>
    <row r="279" spans="10:11" x14ac:dyDescent="0.35">
      <c r="J279">
        <v>3086</v>
      </c>
      <c r="K279">
        <v>1</v>
      </c>
    </row>
    <row r="280" spans="10:11" x14ac:dyDescent="0.35">
      <c r="J280">
        <v>3240</v>
      </c>
      <c r="K280">
        <v>1</v>
      </c>
    </row>
    <row r="281" spans="10:11" x14ac:dyDescent="0.35">
      <c r="J281">
        <v>3239</v>
      </c>
      <c r="K281">
        <v>1</v>
      </c>
    </row>
    <row r="282" spans="10:11" x14ac:dyDescent="0.35">
      <c r="J282">
        <v>3245</v>
      </c>
      <c r="K282">
        <v>1</v>
      </c>
    </row>
    <row r="283" spans="10:11" x14ac:dyDescent="0.35">
      <c r="J283">
        <v>3250</v>
      </c>
      <c r="K283">
        <v>1</v>
      </c>
    </row>
    <row r="284" spans="10:11" x14ac:dyDescent="0.35">
      <c r="J284">
        <v>3253</v>
      </c>
      <c r="K284">
        <v>1</v>
      </c>
    </row>
    <row r="285" spans="10:11" x14ac:dyDescent="0.35">
      <c r="J285">
        <v>3258</v>
      </c>
      <c r="K285">
        <v>1</v>
      </c>
    </row>
    <row r="286" spans="10:11" x14ac:dyDescent="0.35">
      <c r="J286">
        <v>3259</v>
      </c>
      <c r="K286">
        <v>1</v>
      </c>
    </row>
    <row r="287" spans="10:11" x14ac:dyDescent="0.35">
      <c r="J287">
        <v>3264</v>
      </c>
      <c r="K287">
        <v>1</v>
      </c>
    </row>
    <row r="288" spans="10:11" x14ac:dyDescent="0.35">
      <c r="J288">
        <v>2904</v>
      </c>
      <c r="K288">
        <v>1</v>
      </c>
    </row>
    <row r="289" spans="10:11" x14ac:dyDescent="0.35">
      <c r="J289">
        <v>2934</v>
      </c>
      <c r="K289">
        <v>1</v>
      </c>
    </row>
    <row r="290" spans="10:11" x14ac:dyDescent="0.35">
      <c r="J290">
        <v>3269</v>
      </c>
      <c r="K290">
        <v>1</v>
      </c>
    </row>
    <row r="291" spans="10:11" x14ac:dyDescent="0.35">
      <c r="J291">
        <v>3270</v>
      </c>
      <c r="K291">
        <v>1</v>
      </c>
    </row>
    <row r="292" spans="10:11" x14ac:dyDescent="0.35">
      <c r="J292">
        <v>3273</v>
      </c>
      <c r="K292">
        <v>1</v>
      </c>
    </row>
    <row r="293" spans="10:11" x14ac:dyDescent="0.35">
      <c r="J293">
        <v>3274</v>
      </c>
      <c r="K293">
        <v>1</v>
      </c>
    </row>
    <row r="294" spans="10:11" x14ac:dyDescent="0.35">
      <c r="J294">
        <v>3276</v>
      </c>
      <c r="K294">
        <v>1</v>
      </c>
    </row>
    <row r="295" spans="10:11" x14ac:dyDescent="0.35">
      <c r="J295">
        <v>3277</v>
      </c>
      <c r="K295">
        <v>1</v>
      </c>
    </row>
    <row r="296" spans="10:11" x14ac:dyDescent="0.35">
      <c r="J296">
        <v>3280</v>
      </c>
      <c r="K296">
        <v>1</v>
      </c>
    </row>
    <row r="297" spans="10:11" x14ac:dyDescent="0.35">
      <c r="J297">
        <v>3284</v>
      </c>
      <c r="K297">
        <v>1</v>
      </c>
    </row>
    <row r="298" spans="10:11" x14ac:dyDescent="0.35">
      <c r="J298">
        <v>3281</v>
      </c>
      <c r="K298">
        <v>1</v>
      </c>
    </row>
    <row r="299" spans="10:11" x14ac:dyDescent="0.35">
      <c r="J299">
        <v>3286</v>
      </c>
      <c r="K299">
        <v>1</v>
      </c>
    </row>
    <row r="300" spans="10:11" x14ac:dyDescent="0.35">
      <c r="J300">
        <v>3285</v>
      </c>
      <c r="K300">
        <v>1</v>
      </c>
    </row>
    <row r="301" spans="10:11" x14ac:dyDescent="0.35">
      <c r="J301">
        <v>2764</v>
      </c>
      <c r="K301">
        <v>1</v>
      </c>
    </row>
    <row r="302" spans="10:11" x14ac:dyDescent="0.35">
      <c r="J302">
        <v>1117</v>
      </c>
      <c r="K302">
        <v>1</v>
      </c>
    </row>
    <row r="303" spans="10:11" x14ac:dyDescent="0.35">
      <c r="J303">
        <v>3290</v>
      </c>
      <c r="K303">
        <v>1</v>
      </c>
    </row>
    <row r="304" spans="10:11" x14ac:dyDescent="0.35">
      <c r="J304">
        <v>3292</v>
      </c>
      <c r="K304">
        <v>1</v>
      </c>
    </row>
    <row r="305" spans="10:11" x14ac:dyDescent="0.35">
      <c r="J305">
        <v>3294</v>
      </c>
      <c r="K305">
        <v>1</v>
      </c>
    </row>
    <row r="306" spans="10:11" x14ac:dyDescent="0.35">
      <c r="J306">
        <v>3296</v>
      </c>
      <c r="K306">
        <v>1</v>
      </c>
    </row>
    <row r="307" spans="10:11" x14ac:dyDescent="0.35">
      <c r="J307">
        <v>3302</v>
      </c>
      <c r="K307">
        <v>1</v>
      </c>
    </row>
    <row r="308" spans="10:11" x14ac:dyDescent="0.35">
      <c r="J308">
        <v>3301</v>
      </c>
      <c r="K308">
        <v>1</v>
      </c>
    </row>
    <row r="309" spans="10:11" x14ac:dyDescent="0.35">
      <c r="J309">
        <v>3300</v>
      </c>
      <c r="K309">
        <v>1</v>
      </c>
    </row>
    <row r="310" spans="10:11" x14ac:dyDescent="0.35">
      <c r="J310">
        <v>3304</v>
      </c>
      <c r="K310">
        <v>1</v>
      </c>
    </row>
    <row r="311" spans="10:11" x14ac:dyDescent="0.35">
      <c r="J311">
        <v>3312</v>
      </c>
      <c r="K311">
        <v>1</v>
      </c>
    </row>
    <row r="312" spans="10:11" x14ac:dyDescent="0.35">
      <c r="J312">
        <v>3309</v>
      </c>
      <c r="K312">
        <v>1</v>
      </c>
    </row>
    <row r="313" spans="10:11" x14ac:dyDescent="0.35">
      <c r="J313">
        <v>3307</v>
      </c>
      <c r="K313">
        <v>1</v>
      </c>
    </row>
    <row r="314" spans="10:11" x14ac:dyDescent="0.35">
      <c r="J314">
        <v>3308</v>
      </c>
      <c r="K314">
        <v>1</v>
      </c>
    </row>
    <row r="315" spans="10:11" x14ac:dyDescent="0.35">
      <c r="J315">
        <v>3318</v>
      </c>
      <c r="K315">
        <v>1</v>
      </c>
    </row>
    <row r="316" spans="10:11" x14ac:dyDescent="0.35">
      <c r="J316">
        <v>1647</v>
      </c>
      <c r="K316">
        <v>1</v>
      </c>
    </row>
    <row r="317" spans="10:11" x14ac:dyDescent="0.35">
      <c r="J317">
        <v>2318</v>
      </c>
      <c r="K317">
        <v>1</v>
      </c>
    </row>
    <row r="318" spans="10:11" x14ac:dyDescent="0.35">
      <c r="J318">
        <v>2755</v>
      </c>
      <c r="K318">
        <v>1</v>
      </c>
    </row>
    <row r="319" spans="10:11" x14ac:dyDescent="0.35">
      <c r="J319">
        <v>2638</v>
      </c>
      <c r="K319">
        <v>1</v>
      </c>
    </row>
    <row r="320" spans="10:11" x14ac:dyDescent="0.35">
      <c r="J320">
        <v>2985</v>
      </c>
      <c r="K320">
        <v>1</v>
      </c>
    </row>
    <row r="321" spans="10:11" x14ac:dyDescent="0.35">
      <c r="J321">
        <v>2372</v>
      </c>
      <c r="K321">
        <v>1</v>
      </c>
    </row>
    <row r="322" spans="10:11" x14ac:dyDescent="0.35">
      <c r="J322">
        <v>3323</v>
      </c>
      <c r="K322">
        <v>1</v>
      </c>
    </row>
    <row r="323" spans="10:11" x14ac:dyDescent="0.35">
      <c r="J323">
        <v>3320</v>
      </c>
      <c r="K323">
        <v>1</v>
      </c>
    </row>
    <row r="324" spans="10:11" x14ac:dyDescent="0.35">
      <c r="J324">
        <v>3324</v>
      </c>
      <c r="K324">
        <v>1</v>
      </c>
    </row>
    <row r="325" spans="10:11" x14ac:dyDescent="0.35">
      <c r="J325">
        <v>3322</v>
      </c>
      <c r="K325">
        <v>1</v>
      </c>
    </row>
    <row r="326" spans="10:11" x14ac:dyDescent="0.35">
      <c r="J326">
        <v>3325</v>
      </c>
      <c r="K326">
        <v>1</v>
      </c>
    </row>
    <row r="327" spans="10:11" x14ac:dyDescent="0.35">
      <c r="J327">
        <v>3331</v>
      </c>
      <c r="K327">
        <v>1</v>
      </c>
    </row>
    <row r="328" spans="10:11" x14ac:dyDescent="0.35">
      <c r="J328">
        <v>3333</v>
      </c>
      <c r="K328">
        <v>1</v>
      </c>
    </row>
    <row r="329" spans="10:11" x14ac:dyDescent="0.35">
      <c r="J329">
        <v>3334</v>
      </c>
      <c r="K329">
        <v>1</v>
      </c>
    </row>
    <row r="330" spans="10:11" x14ac:dyDescent="0.35">
      <c r="J330">
        <v>2525</v>
      </c>
      <c r="K330">
        <v>1</v>
      </c>
    </row>
    <row r="331" spans="10:11" x14ac:dyDescent="0.35">
      <c r="J331">
        <v>2541</v>
      </c>
      <c r="K331">
        <v>1</v>
      </c>
    </row>
    <row r="332" spans="10:11" x14ac:dyDescent="0.35">
      <c r="J332">
        <v>2664</v>
      </c>
      <c r="K332">
        <v>1</v>
      </c>
    </row>
    <row r="333" spans="10:11" x14ac:dyDescent="0.35">
      <c r="J333">
        <v>2686</v>
      </c>
      <c r="K333">
        <v>1</v>
      </c>
    </row>
    <row r="334" spans="10:11" x14ac:dyDescent="0.35">
      <c r="J334">
        <v>2797</v>
      </c>
      <c r="K334">
        <v>1</v>
      </c>
    </row>
    <row r="335" spans="10:11" x14ac:dyDescent="0.35">
      <c r="J335">
        <v>2874</v>
      </c>
      <c r="K335">
        <v>1</v>
      </c>
    </row>
    <row r="336" spans="10:11" x14ac:dyDescent="0.35">
      <c r="J336">
        <v>3343</v>
      </c>
      <c r="K336">
        <v>1</v>
      </c>
    </row>
    <row r="337" spans="10:11" x14ac:dyDescent="0.35">
      <c r="J337">
        <v>3346</v>
      </c>
      <c r="K337">
        <v>1</v>
      </c>
    </row>
    <row r="338" spans="10:11" x14ac:dyDescent="0.35">
      <c r="J338">
        <v>3347</v>
      </c>
      <c r="K338">
        <v>1</v>
      </c>
    </row>
    <row r="339" spans="10:11" x14ac:dyDescent="0.35">
      <c r="J339">
        <v>3350</v>
      </c>
      <c r="K339">
        <v>1</v>
      </c>
    </row>
    <row r="340" spans="10:11" x14ac:dyDescent="0.35">
      <c r="J340">
        <v>3351</v>
      </c>
      <c r="K340">
        <v>1</v>
      </c>
    </row>
    <row r="341" spans="10:11" x14ac:dyDescent="0.35">
      <c r="J341">
        <v>3352</v>
      </c>
      <c r="K341">
        <v>1</v>
      </c>
    </row>
    <row r="342" spans="10:11" x14ac:dyDescent="0.35">
      <c r="J342">
        <v>3364</v>
      </c>
      <c r="K342">
        <v>1</v>
      </c>
    </row>
    <row r="343" spans="10:11" x14ac:dyDescent="0.35">
      <c r="J343">
        <v>3363</v>
      </c>
      <c r="K343">
        <v>1</v>
      </c>
    </row>
    <row r="344" spans="10:11" x14ac:dyDescent="0.35">
      <c r="J344">
        <v>3362</v>
      </c>
      <c r="K344">
        <v>1</v>
      </c>
    </row>
    <row r="345" spans="10:11" x14ac:dyDescent="0.35">
      <c r="J345">
        <v>3358</v>
      </c>
      <c r="K345">
        <v>1</v>
      </c>
    </row>
    <row r="346" spans="10:11" x14ac:dyDescent="0.35">
      <c r="J346">
        <v>3356</v>
      </c>
      <c r="K346">
        <v>1</v>
      </c>
    </row>
    <row r="347" spans="10:11" x14ac:dyDescent="0.35">
      <c r="J347">
        <v>3361</v>
      </c>
      <c r="K347">
        <v>1</v>
      </c>
    </row>
    <row r="348" spans="10:11" x14ac:dyDescent="0.35">
      <c r="J348">
        <v>3366</v>
      </c>
      <c r="K348">
        <v>1</v>
      </c>
    </row>
    <row r="349" spans="10:11" x14ac:dyDescent="0.35">
      <c r="J349">
        <v>3365</v>
      </c>
      <c r="K349">
        <v>1</v>
      </c>
    </row>
    <row r="350" spans="10:11" x14ac:dyDescent="0.35">
      <c r="J350">
        <v>3371</v>
      </c>
      <c r="K350">
        <v>1</v>
      </c>
    </row>
    <row r="351" spans="10:11" x14ac:dyDescent="0.35">
      <c r="J351">
        <v>3369</v>
      </c>
      <c r="K351">
        <v>1</v>
      </c>
    </row>
    <row r="352" spans="10:11" x14ac:dyDescent="0.35">
      <c r="J352">
        <v>3090</v>
      </c>
      <c r="K352">
        <v>1</v>
      </c>
    </row>
    <row r="353" spans="10:11" x14ac:dyDescent="0.35">
      <c r="J353">
        <v>1873</v>
      </c>
      <c r="K353">
        <v>1</v>
      </c>
    </row>
    <row r="354" spans="10:11" x14ac:dyDescent="0.35">
      <c r="J354">
        <v>2737</v>
      </c>
      <c r="K354">
        <v>1</v>
      </c>
    </row>
    <row r="355" spans="10:11" x14ac:dyDescent="0.35">
      <c r="J355">
        <v>3266</v>
      </c>
      <c r="K355">
        <v>1</v>
      </c>
    </row>
    <row r="356" spans="10:11" x14ac:dyDescent="0.35">
      <c r="J356">
        <v>3272</v>
      </c>
      <c r="K356">
        <v>1</v>
      </c>
    </row>
    <row r="357" spans="10:11" x14ac:dyDescent="0.35">
      <c r="J357">
        <v>2889</v>
      </c>
      <c r="K357">
        <v>1</v>
      </c>
    </row>
    <row r="358" spans="10:11" x14ac:dyDescent="0.35">
      <c r="J358">
        <v>3265</v>
      </c>
      <c r="K358">
        <v>1</v>
      </c>
    </row>
    <row r="359" spans="10:11" x14ac:dyDescent="0.35">
      <c r="J359">
        <v>1332</v>
      </c>
      <c r="K359">
        <v>1</v>
      </c>
    </row>
    <row r="360" spans="10:11" x14ac:dyDescent="0.35">
      <c r="J360">
        <v>3211</v>
      </c>
      <c r="K360">
        <v>1</v>
      </c>
    </row>
    <row r="361" spans="10:11" x14ac:dyDescent="0.35">
      <c r="J361">
        <v>1496</v>
      </c>
      <c r="K361">
        <v>1</v>
      </c>
    </row>
    <row r="362" spans="10:11" x14ac:dyDescent="0.35">
      <c r="J362">
        <v>3267</v>
      </c>
      <c r="K362">
        <v>1</v>
      </c>
    </row>
    <row r="363" spans="10:11" x14ac:dyDescent="0.35">
      <c r="J363">
        <v>1916</v>
      </c>
      <c r="K363">
        <v>1</v>
      </c>
    </row>
    <row r="364" spans="10:11" x14ac:dyDescent="0.35">
      <c r="J364">
        <v>3219</v>
      </c>
      <c r="K364">
        <v>1</v>
      </c>
    </row>
    <row r="365" spans="10:11" x14ac:dyDescent="0.35">
      <c r="J365">
        <v>2724</v>
      </c>
      <c r="K365">
        <v>1</v>
      </c>
    </row>
    <row r="366" spans="10:11" x14ac:dyDescent="0.35">
      <c r="J366">
        <v>2868</v>
      </c>
      <c r="K366">
        <v>1</v>
      </c>
    </row>
    <row r="367" spans="10:11" x14ac:dyDescent="0.35">
      <c r="J367">
        <v>3210</v>
      </c>
      <c r="K367">
        <v>1</v>
      </c>
    </row>
    <row r="368" spans="10:11" x14ac:dyDescent="0.35">
      <c r="J368">
        <v>2824</v>
      </c>
      <c r="K368">
        <v>1</v>
      </c>
    </row>
    <row r="369" spans="10:11" x14ac:dyDescent="0.35">
      <c r="J369">
        <v>1871</v>
      </c>
      <c r="K369">
        <v>1</v>
      </c>
    </row>
    <row r="370" spans="10:11" x14ac:dyDescent="0.35">
      <c r="J370">
        <v>3132</v>
      </c>
      <c r="K370">
        <v>1</v>
      </c>
    </row>
    <row r="371" spans="10:11" x14ac:dyDescent="0.35">
      <c r="J371">
        <v>3012</v>
      </c>
      <c r="K371">
        <v>1</v>
      </c>
    </row>
    <row r="372" spans="10:11" x14ac:dyDescent="0.35">
      <c r="J372">
        <v>3251</v>
      </c>
      <c r="K372">
        <v>1</v>
      </c>
    </row>
    <row r="373" spans="10:11" x14ac:dyDescent="0.35">
      <c r="J373">
        <v>3183</v>
      </c>
      <c r="K373">
        <v>1</v>
      </c>
    </row>
    <row r="374" spans="10:11" x14ac:dyDescent="0.35">
      <c r="J374">
        <v>3117</v>
      </c>
      <c r="K374">
        <v>1</v>
      </c>
    </row>
    <row r="375" spans="10:11" x14ac:dyDescent="0.35">
      <c r="J375">
        <v>2977</v>
      </c>
      <c r="K375">
        <v>1</v>
      </c>
    </row>
    <row r="376" spans="10:11" x14ac:dyDescent="0.35">
      <c r="J376">
        <v>2984</v>
      </c>
      <c r="K376">
        <v>1</v>
      </c>
    </row>
    <row r="377" spans="10:11" x14ac:dyDescent="0.35">
      <c r="J377">
        <v>3214</v>
      </c>
      <c r="K377">
        <v>1</v>
      </c>
    </row>
    <row r="378" spans="10:11" x14ac:dyDescent="0.35">
      <c r="J378">
        <v>829</v>
      </c>
      <c r="K378">
        <v>1</v>
      </c>
    </row>
    <row r="379" spans="10:11" x14ac:dyDescent="0.35">
      <c r="J379">
        <v>2263</v>
      </c>
      <c r="K379">
        <v>1</v>
      </c>
    </row>
    <row r="380" spans="10:11" x14ac:dyDescent="0.35">
      <c r="J380">
        <v>2911</v>
      </c>
      <c r="K380">
        <v>1</v>
      </c>
    </row>
    <row r="381" spans="10:11" x14ac:dyDescent="0.35">
      <c r="J381">
        <v>1004236</v>
      </c>
      <c r="K381">
        <v>1</v>
      </c>
    </row>
    <row r="382" spans="10:11" x14ac:dyDescent="0.35">
      <c r="J382">
        <v>1004241</v>
      </c>
      <c r="K382">
        <v>1</v>
      </c>
    </row>
    <row r="383" spans="10:11" x14ac:dyDescent="0.35">
      <c r="J383">
        <v>1004251</v>
      </c>
      <c r="K383">
        <v>1</v>
      </c>
    </row>
    <row r="384" spans="10:11" x14ac:dyDescent="0.35">
      <c r="J384">
        <v>1004247</v>
      </c>
      <c r="K384">
        <v>1</v>
      </c>
    </row>
    <row r="385" spans="10:11" x14ac:dyDescent="0.35">
      <c r="J385">
        <v>1004271</v>
      </c>
      <c r="K385">
        <v>1</v>
      </c>
    </row>
    <row r="386" spans="10:11" x14ac:dyDescent="0.35">
      <c r="J386">
        <v>1004279</v>
      </c>
      <c r="K386">
        <v>1</v>
      </c>
    </row>
    <row r="387" spans="10:11" x14ac:dyDescent="0.35">
      <c r="J387">
        <v>1004277</v>
      </c>
      <c r="K387">
        <v>1</v>
      </c>
    </row>
    <row r="388" spans="10:11" x14ac:dyDescent="0.35">
      <c r="J388">
        <v>1004276</v>
      </c>
      <c r="K388">
        <v>1</v>
      </c>
    </row>
    <row r="389" spans="10:11" x14ac:dyDescent="0.35">
      <c r="J389">
        <v>1004275</v>
      </c>
      <c r="K389">
        <v>1</v>
      </c>
    </row>
    <row r="390" spans="10:11" x14ac:dyDescent="0.35">
      <c r="J390">
        <v>3355</v>
      </c>
      <c r="K390">
        <v>1</v>
      </c>
    </row>
    <row r="391" spans="10:11" x14ac:dyDescent="0.35">
      <c r="J391">
        <v>2644</v>
      </c>
      <c r="K391">
        <v>1</v>
      </c>
    </row>
    <row r="392" spans="10:11" x14ac:dyDescent="0.35">
      <c r="J392">
        <v>2871</v>
      </c>
      <c r="K392">
        <v>1</v>
      </c>
    </row>
    <row r="393" spans="10:11" x14ac:dyDescent="0.35">
      <c r="J393">
        <v>2748</v>
      </c>
      <c r="K393">
        <v>1</v>
      </c>
    </row>
    <row r="394" spans="10:11" x14ac:dyDescent="0.35">
      <c r="J394">
        <v>3238</v>
      </c>
      <c r="K394">
        <v>1</v>
      </c>
    </row>
    <row r="395" spans="10:11" x14ac:dyDescent="0.35">
      <c r="J395">
        <v>2843</v>
      </c>
      <c r="K395">
        <v>1</v>
      </c>
    </row>
    <row r="396" spans="10:11" x14ac:dyDescent="0.35">
      <c r="J396">
        <v>3063</v>
      </c>
      <c r="K396">
        <v>1</v>
      </c>
    </row>
    <row r="397" spans="10:11" x14ac:dyDescent="0.35">
      <c r="J397">
        <v>2772</v>
      </c>
      <c r="K397">
        <v>1</v>
      </c>
    </row>
    <row r="398" spans="10:11" x14ac:dyDescent="0.35">
      <c r="J398">
        <v>3235</v>
      </c>
      <c r="K398">
        <v>1</v>
      </c>
    </row>
    <row r="399" spans="10:11" x14ac:dyDescent="0.35">
      <c r="J399">
        <v>1149</v>
      </c>
      <c r="K399">
        <v>1</v>
      </c>
    </row>
    <row r="400" spans="10:11" x14ac:dyDescent="0.35">
      <c r="J400">
        <v>3227</v>
      </c>
      <c r="K400">
        <v>1</v>
      </c>
    </row>
    <row r="401" spans="10:11" x14ac:dyDescent="0.35">
      <c r="J401">
        <v>3263</v>
      </c>
      <c r="K401">
        <v>1</v>
      </c>
    </row>
    <row r="402" spans="10:11" x14ac:dyDescent="0.35">
      <c r="J402">
        <v>3234</v>
      </c>
      <c r="K402">
        <v>1</v>
      </c>
    </row>
    <row r="403" spans="10:11" x14ac:dyDescent="0.35">
      <c r="J403">
        <v>3268</v>
      </c>
      <c r="K403">
        <v>1</v>
      </c>
    </row>
    <row r="404" spans="10:11" x14ac:dyDescent="0.35">
      <c r="J404">
        <v>3021</v>
      </c>
      <c r="K404">
        <v>1</v>
      </c>
    </row>
    <row r="405" spans="10:11" x14ac:dyDescent="0.35">
      <c r="J405">
        <v>1664</v>
      </c>
      <c r="K405">
        <v>1</v>
      </c>
    </row>
    <row r="406" spans="10:11" x14ac:dyDescent="0.35">
      <c r="J406">
        <v>1004283</v>
      </c>
      <c r="K406">
        <v>1</v>
      </c>
    </row>
    <row r="407" spans="10:11" x14ac:dyDescent="0.35">
      <c r="J407">
        <v>1004296</v>
      </c>
      <c r="K407">
        <v>1</v>
      </c>
    </row>
    <row r="408" spans="10:11" x14ac:dyDescent="0.35">
      <c r="J408">
        <v>1004298</v>
      </c>
      <c r="K408">
        <v>1</v>
      </c>
    </row>
    <row r="409" spans="10:11" x14ac:dyDescent="0.35">
      <c r="J409">
        <v>1004307</v>
      </c>
      <c r="K409">
        <v>1</v>
      </c>
    </row>
    <row r="410" spans="10:11" x14ac:dyDescent="0.35">
      <c r="J410">
        <v>1004316</v>
      </c>
      <c r="K410">
        <v>1</v>
      </c>
    </row>
    <row r="411" spans="10:11" x14ac:dyDescent="0.35">
      <c r="J411">
        <v>1004322</v>
      </c>
      <c r="K411">
        <v>1</v>
      </c>
    </row>
    <row r="412" spans="10:11" x14ac:dyDescent="0.35">
      <c r="J412">
        <v>1004323</v>
      </c>
      <c r="K412">
        <v>1</v>
      </c>
    </row>
    <row r="413" spans="10:11" x14ac:dyDescent="0.35">
      <c r="J413">
        <v>3353</v>
      </c>
      <c r="K413">
        <v>1</v>
      </c>
    </row>
    <row r="414" spans="10:11" x14ac:dyDescent="0.35">
      <c r="J414">
        <v>1000498</v>
      </c>
      <c r="K414">
        <v>1</v>
      </c>
    </row>
    <row r="415" spans="10:11" x14ac:dyDescent="0.35">
      <c r="J415">
        <v>1001111</v>
      </c>
      <c r="K415">
        <v>1</v>
      </c>
    </row>
    <row r="416" spans="10:11" x14ac:dyDescent="0.35">
      <c r="J416">
        <v>1002232</v>
      </c>
      <c r="K416">
        <v>1</v>
      </c>
    </row>
    <row r="417" spans="10:11" x14ac:dyDescent="0.35">
      <c r="J417">
        <v>1002175</v>
      </c>
      <c r="K417">
        <v>1</v>
      </c>
    </row>
    <row r="418" spans="10:11" x14ac:dyDescent="0.35">
      <c r="J418">
        <v>1001922</v>
      </c>
      <c r="K418">
        <v>1</v>
      </c>
    </row>
    <row r="419" spans="10:11" x14ac:dyDescent="0.35">
      <c r="J419">
        <v>1000921</v>
      </c>
      <c r="K419">
        <v>1</v>
      </c>
    </row>
    <row r="420" spans="10:11" x14ac:dyDescent="0.35">
      <c r="J420">
        <v>1001497</v>
      </c>
      <c r="K420">
        <v>1</v>
      </c>
    </row>
    <row r="421" spans="10:11" x14ac:dyDescent="0.35">
      <c r="J421">
        <v>1000565</v>
      </c>
      <c r="K421">
        <v>1</v>
      </c>
    </row>
    <row r="422" spans="10:11" x14ac:dyDescent="0.35">
      <c r="J422">
        <v>1000624</v>
      </c>
      <c r="K422">
        <v>1</v>
      </c>
    </row>
    <row r="423" spans="10:11" x14ac:dyDescent="0.35">
      <c r="J423">
        <v>1000032</v>
      </c>
      <c r="K423">
        <v>1</v>
      </c>
    </row>
    <row r="424" spans="10:11" x14ac:dyDescent="0.35">
      <c r="J424">
        <v>1000282</v>
      </c>
      <c r="K424">
        <v>1</v>
      </c>
    </row>
    <row r="425" spans="10:11" x14ac:dyDescent="0.35">
      <c r="J425">
        <v>1000401</v>
      </c>
      <c r="K425">
        <v>1</v>
      </c>
    </row>
    <row r="426" spans="10:11" x14ac:dyDescent="0.35">
      <c r="J426">
        <v>1000205</v>
      </c>
      <c r="K426">
        <v>1</v>
      </c>
    </row>
    <row r="427" spans="10:11" x14ac:dyDescent="0.35">
      <c r="J427">
        <v>1001012</v>
      </c>
      <c r="K427">
        <v>1</v>
      </c>
    </row>
    <row r="428" spans="10:11" x14ac:dyDescent="0.35">
      <c r="J428">
        <v>1002341</v>
      </c>
      <c r="K428">
        <v>1</v>
      </c>
    </row>
    <row r="429" spans="10:11" x14ac:dyDescent="0.35">
      <c r="J429">
        <v>1000344</v>
      </c>
      <c r="K429">
        <v>1</v>
      </c>
    </row>
    <row r="430" spans="10:11" x14ac:dyDescent="0.35">
      <c r="J430">
        <v>1001171</v>
      </c>
      <c r="K430">
        <v>1</v>
      </c>
    </row>
    <row r="431" spans="10:11" x14ac:dyDescent="0.35">
      <c r="J431">
        <v>1001310</v>
      </c>
      <c r="K431">
        <v>1</v>
      </c>
    </row>
    <row r="432" spans="10:11" x14ac:dyDescent="0.35">
      <c r="J432">
        <v>1000255</v>
      </c>
      <c r="K432">
        <v>1</v>
      </c>
    </row>
    <row r="433" spans="10:11" x14ac:dyDescent="0.35">
      <c r="J433">
        <v>1002343</v>
      </c>
      <c r="K433">
        <v>1</v>
      </c>
    </row>
    <row r="434" spans="10:11" x14ac:dyDescent="0.35">
      <c r="J434">
        <v>1002860</v>
      </c>
      <c r="K434">
        <v>1</v>
      </c>
    </row>
    <row r="435" spans="10:11" x14ac:dyDescent="0.35">
      <c r="J435">
        <v>1003544</v>
      </c>
      <c r="K435">
        <v>1</v>
      </c>
    </row>
    <row r="436" spans="10:11" x14ac:dyDescent="0.35">
      <c r="J436">
        <v>1000646</v>
      </c>
      <c r="K436">
        <v>1</v>
      </c>
    </row>
    <row r="437" spans="10:11" x14ac:dyDescent="0.35">
      <c r="J437">
        <v>1002092</v>
      </c>
      <c r="K437">
        <v>1</v>
      </c>
    </row>
    <row r="438" spans="10:11" x14ac:dyDescent="0.35">
      <c r="J438">
        <v>1002192</v>
      </c>
      <c r="K438">
        <v>1</v>
      </c>
    </row>
    <row r="439" spans="10:11" x14ac:dyDescent="0.35">
      <c r="J439">
        <v>1001351</v>
      </c>
      <c r="K439">
        <v>1</v>
      </c>
    </row>
    <row r="440" spans="10:11" x14ac:dyDescent="0.35">
      <c r="J440">
        <v>1001352</v>
      </c>
      <c r="K440">
        <v>1</v>
      </c>
    </row>
    <row r="441" spans="10:11" x14ac:dyDescent="0.35">
      <c r="J441">
        <v>1003524</v>
      </c>
      <c r="K441">
        <v>1</v>
      </c>
    </row>
    <row r="442" spans="10:11" x14ac:dyDescent="0.35">
      <c r="J442">
        <v>1003151</v>
      </c>
      <c r="K442">
        <v>1</v>
      </c>
    </row>
    <row r="443" spans="10:11" x14ac:dyDescent="0.35">
      <c r="J443">
        <v>1003227</v>
      </c>
      <c r="K443">
        <v>1</v>
      </c>
    </row>
    <row r="444" spans="10:11" x14ac:dyDescent="0.35">
      <c r="J444">
        <v>1000144</v>
      </c>
      <c r="K444">
        <v>1</v>
      </c>
    </row>
    <row r="445" spans="10:11" x14ac:dyDescent="0.35">
      <c r="J445">
        <v>1000599</v>
      </c>
      <c r="K445">
        <v>1</v>
      </c>
    </row>
    <row r="446" spans="10:11" x14ac:dyDescent="0.35">
      <c r="J446">
        <v>1003279</v>
      </c>
      <c r="K446">
        <v>1</v>
      </c>
    </row>
    <row r="447" spans="10:11" x14ac:dyDescent="0.35">
      <c r="J447">
        <v>1000669</v>
      </c>
      <c r="K447">
        <v>1</v>
      </c>
    </row>
    <row r="448" spans="10:11" x14ac:dyDescent="0.35">
      <c r="J448">
        <v>1001890</v>
      </c>
      <c r="K448">
        <v>1</v>
      </c>
    </row>
    <row r="449" spans="10:11" x14ac:dyDescent="0.35">
      <c r="J449">
        <v>1001927</v>
      </c>
      <c r="K449">
        <v>1</v>
      </c>
    </row>
    <row r="450" spans="10:11" x14ac:dyDescent="0.35">
      <c r="J450">
        <v>1000843</v>
      </c>
      <c r="K450">
        <v>1</v>
      </c>
    </row>
    <row r="451" spans="10:11" x14ac:dyDescent="0.35">
      <c r="J451">
        <v>1000284</v>
      </c>
      <c r="K451">
        <v>1</v>
      </c>
    </row>
    <row r="452" spans="10:11" x14ac:dyDescent="0.35">
      <c r="J452">
        <v>1002728</v>
      </c>
      <c r="K452">
        <v>1</v>
      </c>
    </row>
    <row r="453" spans="10:11" x14ac:dyDescent="0.35">
      <c r="J453">
        <v>1002875</v>
      </c>
      <c r="K453">
        <v>1</v>
      </c>
    </row>
    <row r="454" spans="10:11" x14ac:dyDescent="0.35">
      <c r="J454">
        <v>1000456</v>
      </c>
      <c r="K454">
        <v>1</v>
      </c>
    </row>
    <row r="455" spans="10:11" x14ac:dyDescent="0.35">
      <c r="J455">
        <v>1001594</v>
      </c>
      <c r="K455">
        <v>1</v>
      </c>
    </row>
    <row r="456" spans="10:11" x14ac:dyDescent="0.35">
      <c r="J456">
        <v>1003211</v>
      </c>
      <c r="K456">
        <v>1</v>
      </c>
    </row>
    <row r="457" spans="10:11" x14ac:dyDescent="0.35">
      <c r="J457">
        <v>1003241</v>
      </c>
      <c r="K457">
        <v>1</v>
      </c>
    </row>
    <row r="458" spans="10:11" x14ac:dyDescent="0.35">
      <c r="J458">
        <v>1000642</v>
      </c>
      <c r="K458">
        <v>1</v>
      </c>
    </row>
    <row r="459" spans="10:11" x14ac:dyDescent="0.35">
      <c r="J459">
        <v>1000996</v>
      </c>
      <c r="K459">
        <v>1</v>
      </c>
    </row>
    <row r="460" spans="10:11" x14ac:dyDescent="0.35">
      <c r="J460">
        <v>1001157</v>
      </c>
      <c r="K460">
        <v>1</v>
      </c>
    </row>
    <row r="461" spans="10:11" x14ac:dyDescent="0.35">
      <c r="J461">
        <v>1002562</v>
      </c>
      <c r="K461">
        <v>1</v>
      </c>
    </row>
    <row r="462" spans="10:11" x14ac:dyDescent="0.35">
      <c r="J462">
        <v>1001173</v>
      </c>
      <c r="K462">
        <v>1</v>
      </c>
    </row>
    <row r="463" spans="10:11" x14ac:dyDescent="0.35">
      <c r="J463">
        <v>1001671</v>
      </c>
      <c r="K463">
        <v>1</v>
      </c>
    </row>
    <row r="464" spans="10:11" x14ac:dyDescent="0.35">
      <c r="J464">
        <v>1000517</v>
      </c>
      <c r="K464">
        <v>1</v>
      </c>
    </row>
    <row r="465" spans="10:11" x14ac:dyDescent="0.35">
      <c r="J465">
        <v>1000518</v>
      </c>
      <c r="K465">
        <v>1</v>
      </c>
    </row>
    <row r="466" spans="10:11" x14ac:dyDescent="0.35">
      <c r="J466">
        <v>1001750</v>
      </c>
      <c r="K466">
        <v>1</v>
      </c>
    </row>
    <row r="467" spans="10:11" x14ac:dyDescent="0.35">
      <c r="J467">
        <v>1001751</v>
      </c>
      <c r="K467">
        <v>1</v>
      </c>
    </row>
    <row r="468" spans="10:11" x14ac:dyDescent="0.35">
      <c r="J468">
        <v>1000572</v>
      </c>
      <c r="K468">
        <v>1</v>
      </c>
    </row>
    <row r="469" spans="10:11" x14ac:dyDescent="0.35">
      <c r="J469">
        <v>1001873</v>
      </c>
      <c r="K469">
        <v>1</v>
      </c>
    </row>
    <row r="470" spans="10:11" x14ac:dyDescent="0.35">
      <c r="J470">
        <v>1000868</v>
      </c>
      <c r="K470">
        <v>1</v>
      </c>
    </row>
    <row r="471" spans="10:11" x14ac:dyDescent="0.35">
      <c r="J471">
        <v>1000231</v>
      </c>
      <c r="K471">
        <v>1</v>
      </c>
    </row>
    <row r="472" spans="10:11" x14ac:dyDescent="0.35">
      <c r="J472">
        <v>1002212</v>
      </c>
      <c r="K472">
        <v>1</v>
      </c>
    </row>
    <row r="473" spans="10:11" x14ac:dyDescent="0.35">
      <c r="J473">
        <v>1002491</v>
      </c>
      <c r="K473">
        <v>1</v>
      </c>
    </row>
    <row r="474" spans="10:11" x14ac:dyDescent="0.35">
      <c r="J474">
        <v>1003198</v>
      </c>
      <c r="K474">
        <v>1</v>
      </c>
    </row>
    <row r="475" spans="10:11" x14ac:dyDescent="0.35">
      <c r="J475">
        <v>1000654</v>
      </c>
      <c r="K475">
        <v>1</v>
      </c>
    </row>
    <row r="476" spans="10:11" x14ac:dyDescent="0.35">
      <c r="J476">
        <v>1001845</v>
      </c>
      <c r="K476">
        <v>1</v>
      </c>
    </row>
    <row r="477" spans="10:11" x14ac:dyDescent="0.35">
      <c r="J477">
        <v>1000698</v>
      </c>
      <c r="K477">
        <v>1</v>
      </c>
    </row>
    <row r="478" spans="10:11" x14ac:dyDescent="0.35">
      <c r="J478">
        <v>1000221</v>
      </c>
      <c r="K478">
        <v>1</v>
      </c>
    </row>
    <row r="479" spans="10:11" x14ac:dyDescent="0.35">
      <c r="J479">
        <v>1003387</v>
      </c>
      <c r="K479">
        <v>1</v>
      </c>
    </row>
    <row r="480" spans="10:11" x14ac:dyDescent="0.35">
      <c r="J480">
        <v>1001082</v>
      </c>
      <c r="K480">
        <v>1</v>
      </c>
    </row>
    <row r="481" spans="10:11" x14ac:dyDescent="0.35">
      <c r="J481">
        <v>1003410</v>
      </c>
      <c r="K481">
        <v>1</v>
      </c>
    </row>
    <row r="482" spans="10:11" x14ac:dyDescent="0.35">
      <c r="J482">
        <v>1003462</v>
      </c>
      <c r="K482">
        <v>1</v>
      </c>
    </row>
    <row r="483" spans="10:11" x14ac:dyDescent="0.35">
      <c r="J483">
        <v>1001322</v>
      </c>
      <c r="K483">
        <v>1</v>
      </c>
    </row>
    <row r="484" spans="10:11" x14ac:dyDescent="0.35">
      <c r="J484">
        <v>1001387</v>
      </c>
      <c r="K484">
        <v>1</v>
      </c>
    </row>
    <row r="485" spans="10:11" x14ac:dyDescent="0.35">
      <c r="J485">
        <v>1003516</v>
      </c>
      <c r="K485">
        <v>1</v>
      </c>
    </row>
    <row r="486" spans="10:11" x14ac:dyDescent="0.35">
      <c r="J486">
        <v>1003515</v>
      </c>
      <c r="K486">
        <v>1</v>
      </c>
    </row>
    <row r="487" spans="10:11" x14ac:dyDescent="0.35">
      <c r="J487">
        <v>1001560</v>
      </c>
      <c r="K487">
        <v>1</v>
      </c>
    </row>
    <row r="488" spans="10:11" x14ac:dyDescent="0.35">
      <c r="J488">
        <v>1003192</v>
      </c>
      <c r="K488">
        <v>1</v>
      </c>
    </row>
    <row r="489" spans="10:11" x14ac:dyDescent="0.35">
      <c r="J489">
        <v>1003229</v>
      </c>
      <c r="K489">
        <v>1</v>
      </c>
    </row>
    <row r="490" spans="10:11" x14ac:dyDescent="0.35">
      <c r="J490">
        <v>1001735</v>
      </c>
      <c r="K490">
        <v>1</v>
      </c>
    </row>
    <row r="491" spans="10:11" x14ac:dyDescent="0.35">
      <c r="J491">
        <v>1000109</v>
      </c>
      <c r="K491">
        <v>1</v>
      </c>
    </row>
    <row r="492" spans="10:11" x14ac:dyDescent="0.35">
      <c r="J492">
        <v>1001822</v>
      </c>
      <c r="K492">
        <v>1</v>
      </c>
    </row>
    <row r="493" spans="10:11" x14ac:dyDescent="0.35">
      <c r="J493">
        <v>1001973</v>
      </c>
      <c r="K493">
        <v>1</v>
      </c>
    </row>
    <row r="494" spans="10:11" x14ac:dyDescent="0.35">
      <c r="J494">
        <v>1002065</v>
      </c>
      <c r="K494">
        <v>1</v>
      </c>
    </row>
    <row r="495" spans="10:11" x14ac:dyDescent="0.35">
      <c r="J495">
        <v>1002167</v>
      </c>
      <c r="K495">
        <v>1</v>
      </c>
    </row>
    <row r="496" spans="10:11" x14ac:dyDescent="0.35">
      <c r="J496">
        <v>1000991</v>
      </c>
      <c r="K496">
        <v>1</v>
      </c>
    </row>
    <row r="497" spans="10:11" x14ac:dyDescent="0.35">
      <c r="J497">
        <v>1003381</v>
      </c>
      <c r="K497">
        <v>1</v>
      </c>
    </row>
    <row r="498" spans="10:11" x14ac:dyDescent="0.35">
      <c r="J498">
        <v>1003380</v>
      </c>
      <c r="K498">
        <v>1</v>
      </c>
    </row>
    <row r="499" spans="10:11" x14ac:dyDescent="0.35">
      <c r="J499">
        <v>1002366</v>
      </c>
      <c r="K499">
        <v>1</v>
      </c>
    </row>
    <row r="500" spans="10:11" x14ac:dyDescent="0.35">
      <c r="J500">
        <v>1002412</v>
      </c>
      <c r="K500">
        <v>1</v>
      </c>
    </row>
    <row r="501" spans="10:11" x14ac:dyDescent="0.35">
      <c r="J501">
        <v>1002420</v>
      </c>
      <c r="K501">
        <v>1</v>
      </c>
    </row>
    <row r="502" spans="10:11" x14ac:dyDescent="0.35">
      <c r="J502">
        <v>1002463</v>
      </c>
      <c r="K502">
        <v>1</v>
      </c>
    </row>
    <row r="503" spans="10:11" x14ac:dyDescent="0.35">
      <c r="J503">
        <v>1002504</v>
      </c>
      <c r="K503">
        <v>1</v>
      </c>
    </row>
    <row r="504" spans="10:11" x14ac:dyDescent="0.35">
      <c r="J504">
        <v>1003436</v>
      </c>
      <c r="K504">
        <v>1</v>
      </c>
    </row>
    <row r="505" spans="10:11" x14ac:dyDescent="0.35">
      <c r="J505">
        <v>1002613</v>
      </c>
      <c r="K505">
        <v>1</v>
      </c>
    </row>
    <row r="506" spans="10:11" x14ac:dyDescent="0.35">
      <c r="J506">
        <v>1003449</v>
      </c>
      <c r="K506">
        <v>1</v>
      </c>
    </row>
    <row r="507" spans="10:11" x14ac:dyDescent="0.35">
      <c r="J507">
        <v>1002793</v>
      </c>
      <c r="K507">
        <v>1</v>
      </c>
    </row>
    <row r="508" spans="10:11" x14ac:dyDescent="0.35">
      <c r="J508">
        <v>1001364</v>
      </c>
      <c r="K508">
        <v>1</v>
      </c>
    </row>
    <row r="509" spans="10:11" x14ac:dyDescent="0.35">
      <c r="J509">
        <v>1002833</v>
      </c>
      <c r="K509">
        <v>1</v>
      </c>
    </row>
    <row r="510" spans="10:11" x14ac:dyDescent="0.35">
      <c r="J510">
        <v>1000440</v>
      </c>
      <c r="K510">
        <v>1</v>
      </c>
    </row>
    <row r="511" spans="10:11" x14ac:dyDescent="0.35">
      <c r="J511">
        <v>1003036</v>
      </c>
      <c r="K511">
        <v>1</v>
      </c>
    </row>
    <row r="512" spans="10:11" x14ac:dyDescent="0.35">
      <c r="J512">
        <v>1001643</v>
      </c>
      <c r="K512">
        <v>1</v>
      </c>
    </row>
    <row r="513" spans="10:11" x14ac:dyDescent="0.35">
      <c r="J513">
        <v>1003239</v>
      </c>
      <c r="K513">
        <v>1</v>
      </c>
    </row>
    <row r="514" spans="10:11" x14ac:dyDescent="0.35">
      <c r="J514">
        <v>1000149</v>
      </c>
      <c r="K514">
        <v>1</v>
      </c>
    </row>
    <row r="515" spans="10:11" x14ac:dyDescent="0.35">
      <c r="J515">
        <v>1000631</v>
      </c>
      <c r="K515">
        <v>1</v>
      </c>
    </row>
    <row r="516" spans="10:11" x14ac:dyDescent="0.35">
      <c r="J516">
        <v>1001810</v>
      </c>
      <c r="K516">
        <v>1</v>
      </c>
    </row>
    <row r="517" spans="10:11" x14ac:dyDescent="0.35">
      <c r="J517">
        <v>1001819</v>
      </c>
      <c r="K517">
        <v>1</v>
      </c>
    </row>
    <row r="518" spans="10:11" x14ac:dyDescent="0.35">
      <c r="J518">
        <v>1001913</v>
      </c>
      <c r="K518">
        <v>1</v>
      </c>
    </row>
    <row r="519" spans="10:11" x14ac:dyDescent="0.35">
      <c r="J519">
        <v>1001916</v>
      </c>
      <c r="K519">
        <v>1</v>
      </c>
    </row>
    <row r="520" spans="10:11" x14ac:dyDescent="0.35">
      <c r="J520">
        <v>1000733</v>
      </c>
      <c r="K520">
        <v>1</v>
      </c>
    </row>
    <row r="521" spans="10:11" x14ac:dyDescent="0.35">
      <c r="J521">
        <v>1002119</v>
      </c>
      <c r="K521">
        <v>1</v>
      </c>
    </row>
    <row r="522" spans="10:11" x14ac:dyDescent="0.35">
      <c r="J522">
        <v>1000890</v>
      </c>
      <c r="K522">
        <v>1</v>
      </c>
    </row>
    <row r="523" spans="10:11" x14ac:dyDescent="0.35">
      <c r="J523">
        <v>1000229</v>
      </c>
      <c r="K523">
        <v>1</v>
      </c>
    </row>
    <row r="524" spans="10:11" x14ac:dyDescent="0.35">
      <c r="J524">
        <v>1000045</v>
      </c>
      <c r="K524">
        <v>1</v>
      </c>
    </row>
    <row r="525" spans="10:11" x14ac:dyDescent="0.35">
      <c r="J525">
        <v>1000941</v>
      </c>
      <c r="K525">
        <v>1</v>
      </c>
    </row>
    <row r="526" spans="10:11" x14ac:dyDescent="0.35">
      <c r="J526">
        <v>1000971</v>
      </c>
      <c r="K526">
        <v>1</v>
      </c>
    </row>
    <row r="527" spans="10:11" x14ac:dyDescent="0.35">
      <c r="J527">
        <v>1001035</v>
      </c>
      <c r="K527">
        <v>1</v>
      </c>
    </row>
    <row r="528" spans="10:11" x14ac:dyDescent="0.35">
      <c r="J528">
        <v>1002415</v>
      </c>
      <c r="K528">
        <v>1</v>
      </c>
    </row>
    <row r="529" spans="10:11" x14ac:dyDescent="0.35">
      <c r="J529">
        <v>1002466</v>
      </c>
      <c r="K529">
        <v>1</v>
      </c>
    </row>
    <row r="530" spans="10:11" x14ac:dyDescent="0.35">
      <c r="J530">
        <v>1002467</v>
      </c>
      <c r="K530">
        <v>1</v>
      </c>
    </row>
    <row r="531" spans="10:11" x14ac:dyDescent="0.35">
      <c r="J531">
        <v>1002537</v>
      </c>
      <c r="K531">
        <v>1</v>
      </c>
    </row>
    <row r="532" spans="10:11" x14ac:dyDescent="0.35">
      <c r="J532">
        <v>1002545</v>
      </c>
      <c r="K532">
        <v>1</v>
      </c>
    </row>
    <row r="533" spans="10:11" x14ac:dyDescent="0.35">
      <c r="J533">
        <v>1002546</v>
      </c>
      <c r="K533">
        <v>1</v>
      </c>
    </row>
    <row r="534" spans="10:11" x14ac:dyDescent="0.35">
      <c r="J534">
        <v>1002590</v>
      </c>
      <c r="K534">
        <v>1</v>
      </c>
    </row>
    <row r="535" spans="10:11" x14ac:dyDescent="0.35">
      <c r="J535">
        <v>1003430</v>
      </c>
      <c r="K535">
        <v>1</v>
      </c>
    </row>
    <row r="536" spans="10:11" x14ac:dyDescent="0.35">
      <c r="J536">
        <v>1001258</v>
      </c>
      <c r="K536">
        <v>1</v>
      </c>
    </row>
    <row r="537" spans="10:11" x14ac:dyDescent="0.35">
      <c r="J537">
        <v>1001279</v>
      </c>
      <c r="K537">
        <v>1</v>
      </c>
    </row>
    <row r="538" spans="10:11" x14ac:dyDescent="0.35">
      <c r="J538">
        <v>1002781</v>
      </c>
      <c r="K538">
        <v>1</v>
      </c>
    </row>
    <row r="539" spans="10:11" x14ac:dyDescent="0.35">
      <c r="J539">
        <v>1002876</v>
      </c>
      <c r="K539">
        <v>1</v>
      </c>
    </row>
    <row r="540" spans="10:11" x14ac:dyDescent="0.35">
      <c r="J540">
        <v>1001444</v>
      </c>
      <c r="K540">
        <v>1</v>
      </c>
    </row>
    <row r="541" spans="10:11" x14ac:dyDescent="0.35">
      <c r="J541">
        <v>1003113</v>
      </c>
      <c r="K541">
        <v>1</v>
      </c>
    </row>
    <row r="542" spans="10:11" x14ac:dyDescent="0.35">
      <c r="J542">
        <v>1003174</v>
      </c>
      <c r="K542">
        <v>1</v>
      </c>
    </row>
    <row r="543" spans="10:11" x14ac:dyDescent="0.35">
      <c r="J543">
        <v>1003555</v>
      </c>
      <c r="K543">
        <v>1</v>
      </c>
    </row>
    <row r="544" spans="10:11" x14ac:dyDescent="0.35">
      <c r="J544">
        <v>1001766</v>
      </c>
      <c r="K544">
        <v>1</v>
      </c>
    </row>
    <row r="545" spans="10:11" x14ac:dyDescent="0.35">
      <c r="J545">
        <v>1003283</v>
      </c>
      <c r="K545">
        <v>1</v>
      </c>
    </row>
    <row r="546" spans="10:11" x14ac:dyDescent="0.35">
      <c r="J546">
        <v>1001798</v>
      </c>
      <c r="K546">
        <v>1</v>
      </c>
    </row>
    <row r="547" spans="10:11" x14ac:dyDescent="0.35">
      <c r="J547">
        <v>1000653</v>
      </c>
      <c r="K547">
        <v>1</v>
      </c>
    </row>
    <row r="548" spans="10:11" x14ac:dyDescent="0.35">
      <c r="J548">
        <v>1001924</v>
      </c>
      <c r="K548">
        <v>1</v>
      </c>
    </row>
    <row r="549" spans="10:11" x14ac:dyDescent="0.35">
      <c r="J549">
        <v>1000771</v>
      </c>
      <c r="K549">
        <v>1</v>
      </c>
    </row>
    <row r="550" spans="10:11" x14ac:dyDescent="0.35">
      <c r="J550">
        <v>1000834</v>
      </c>
      <c r="K550">
        <v>1</v>
      </c>
    </row>
    <row r="551" spans="10:11" x14ac:dyDescent="0.35">
      <c r="J551">
        <v>1002224</v>
      </c>
      <c r="K551">
        <v>1</v>
      </c>
    </row>
    <row r="552" spans="10:11" x14ac:dyDescent="0.35">
      <c r="J552">
        <v>1002256</v>
      </c>
      <c r="K552">
        <v>1</v>
      </c>
    </row>
    <row r="553" spans="10:11" x14ac:dyDescent="0.35">
      <c r="J553">
        <v>1002377</v>
      </c>
      <c r="K553">
        <v>1</v>
      </c>
    </row>
    <row r="554" spans="10:11" x14ac:dyDescent="0.35">
      <c r="J554">
        <v>1000304</v>
      </c>
      <c r="K554">
        <v>1</v>
      </c>
    </row>
    <row r="555" spans="10:11" x14ac:dyDescent="0.35">
      <c r="J555">
        <v>1000307</v>
      </c>
      <c r="K555">
        <v>1</v>
      </c>
    </row>
    <row r="556" spans="10:11" x14ac:dyDescent="0.35">
      <c r="J556">
        <v>1002469</v>
      </c>
      <c r="K556">
        <v>1</v>
      </c>
    </row>
    <row r="557" spans="10:11" x14ac:dyDescent="0.35">
      <c r="J557">
        <v>1003423</v>
      </c>
      <c r="K557">
        <v>1</v>
      </c>
    </row>
    <row r="558" spans="10:11" x14ac:dyDescent="0.35">
      <c r="J558">
        <v>1001225</v>
      </c>
      <c r="K558">
        <v>1</v>
      </c>
    </row>
    <row r="559" spans="10:11" x14ac:dyDescent="0.35">
      <c r="J559">
        <v>1000357</v>
      </c>
      <c r="K559">
        <v>1</v>
      </c>
    </row>
    <row r="560" spans="10:11" x14ac:dyDescent="0.35">
      <c r="J560">
        <v>1002681</v>
      </c>
      <c r="K560">
        <v>1</v>
      </c>
    </row>
    <row r="561" spans="10:11" x14ac:dyDescent="0.35">
      <c r="J561">
        <v>1003517</v>
      </c>
      <c r="K561">
        <v>1</v>
      </c>
    </row>
    <row r="562" spans="10:11" x14ac:dyDescent="0.35">
      <c r="J562">
        <v>1002163</v>
      </c>
      <c r="K562">
        <v>1</v>
      </c>
    </row>
    <row r="563" spans="10:11" x14ac:dyDescent="0.35">
      <c r="J563">
        <v>1003355</v>
      </c>
      <c r="K563">
        <v>1</v>
      </c>
    </row>
    <row r="564" spans="10:11" x14ac:dyDescent="0.35">
      <c r="J564">
        <v>1001194</v>
      </c>
      <c r="K564">
        <v>1</v>
      </c>
    </row>
    <row r="565" spans="10:11" x14ac:dyDescent="0.35">
      <c r="J565">
        <v>1002695</v>
      </c>
      <c r="K565">
        <v>1</v>
      </c>
    </row>
    <row r="566" spans="10:11" x14ac:dyDescent="0.35">
      <c r="J566">
        <v>1002667</v>
      </c>
      <c r="K566">
        <v>1</v>
      </c>
    </row>
    <row r="567" spans="10:11" x14ac:dyDescent="0.35">
      <c r="J567">
        <v>1001282</v>
      </c>
      <c r="K567">
        <v>1</v>
      </c>
    </row>
    <row r="568" spans="10:11" x14ac:dyDescent="0.35">
      <c r="J568">
        <v>1002747</v>
      </c>
      <c r="K568">
        <v>1</v>
      </c>
    </row>
    <row r="569" spans="10:11" x14ac:dyDescent="0.35">
      <c r="J569">
        <v>1002808</v>
      </c>
      <c r="K569">
        <v>1</v>
      </c>
    </row>
    <row r="570" spans="10:11" x14ac:dyDescent="0.35">
      <c r="J570">
        <v>1002809</v>
      </c>
      <c r="K570">
        <v>1</v>
      </c>
    </row>
    <row r="571" spans="10:11" x14ac:dyDescent="0.35">
      <c r="J571">
        <v>1000784</v>
      </c>
      <c r="K571">
        <v>1</v>
      </c>
    </row>
    <row r="572" spans="10:11" x14ac:dyDescent="0.35">
      <c r="J572">
        <v>1003489</v>
      </c>
      <c r="K572">
        <v>1</v>
      </c>
    </row>
    <row r="573" spans="10:11" x14ac:dyDescent="0.35">
      <c r="J573">
        <v>1002930</v>
      </c>
      <c r="K573">
        <v>1</v>
      </c>
    </row>
    <row r="574" spans="10:11" x14ac:dyDescent="0.35">
      <c r="J574">
        <v>1003503</v>
      </c>
      <c r="K574">
        <v>1</v>
      </c>
    </row>
    <row r="575" spans="10:11" x14ac:dyDescent="0.35">
      <c r="J575">
        <v>1002932</v>
      </c>
      <c r="K575">
        <v>1</v>
      </c>
    </row>
    <row r="576" spans="10:11" x14ac:dyDescent="0.35">
      <c r="J576">
        <v>1002937</v>
      </c>
      <c r="K576">
        <v>1</v>
      </c>
    </row>
    <row r="577" spans="10:11" x14ac:dyDescent="0.35">
      <c r="J577">
        <v>1002950</v>
      </c>
      <c r="K577">
        <v>1</v>
      </c>
    </row>
    <row r="578" spans="10:11" x14ac:dyDescent="0.35">
      <c r="J578">
        <v>1002722</v>
      </c>
      <c r="K578">
        <v>1</v>
      </c>
    </row>
    <row r="579" spans="10:11" x14ac:dyDescent="0.35">
      <c r="J579">
        <v>1003033</v>
      </c>
      <c r="K579">
        <v>1</v>
      </c>
    </row>
    <row r="580" spans="10:11" x14ac:dyDescent="0.35">
      <c r="J580">
        <v>1003089</v>
      </c>
      <c r="K580">
        <v>1</v>
      </c>
    </row>
    <row r="581" spans="10:11" x14ac:dyDescent="0.35">
      <c r="J581">
        <v>1003106</v>
      </c>
      <c r="K581">
        <v>1</v>
      </c>
    </row>
    <row r="582" spans="10:11" x14ac:dyDescent="0.35">
      <c r="J582">
        <v>1003098</v>
      </c>
      <c r="K582">
        <v>1</v>
      </c>
    </row>
    <row r="583" spans="10:11" x14ac:dyDescent="0.35">
      <c r="J583">
        <v>1003140</v>
      </c>
      <c r="K583">
        <v>1</v>
      </c>
    </row>
    <row r="584" spans="10:11" x14ac:dyDescent="0.35">
      <c r="J584">
        <v>1002237</v>
      </c>
      <c r="K584">
        <v>1</v>
      </c>
    </row>
    <row r="585" spans="10:11" x14ac:dyDescent="0.35">
      <c r="J585">
        <v>1000472</v>
      </c>
      <c r="K585">
        <v>1</v>
      </c>
    </row>
    <row r="586" spans="10:11" x14ac:dyDescent="0.35">
      <c r="J586">
        <v>1003179</v>
      </c>
      <c r="K586">
        <v>1</v>
      </c>
    </row>
    <row r="587" spans="10:11" x14ac:dyDescent="0.35">
      <c r="J587">
        <v>1003545</v>
      </c>
      <c r="K587">
        <v>1</v>
      </c>
    </row>
    <row r="588" spans="10:11" x14ac:dyDescent="0.35">
      <c r="J588">
        <v>1001612</v>
      </c>
      <c r="K588">
        <v>1</v>
      </c>
    </row>
    <row r="589" spans="10:11" x14ac:dyDescent="0.35">
      <c r="J589">
        <v>1002811</v>
      </c>
      <c r="K589">
        <v>1</v>
      </c>
    </row>
    <row r="590" spans="10:11" x14ac:dyDescent="0.35">
      <c r="J590">
        <v>1003451</v>
      </c>
      <c r="K590">
        <v>1</v>
      </c>
    </row>
    <row r="591" spans="10:11" x14ac:dyDescent="0.35">
      <c r="J591">
        <v>1001717</v>
      </c>
      <c r="K591">
        <v>1</v>
      </c>
    </row>
    <row r="592" spans="10:11" x14ac:dyDescent="0.35">
      <c r="J592">
        <v>1000557</v>
      </c>
      <c r="K592">
        <v>1</v>
      </c>
    </row>
    <row r="593" spans="10:11" x14ac:dyDescent="0.35">
      <c r="J593">
        <v>1001468</v>
      </c>
      <c r="K593">
        <v>1</v>
      </c>
    </row>
    <row r="594" spans="10:11" x14ac:dyDescent="0.35">
      <c r="J594">
        <v>1000305</v>
      </c>
      <c r="K594">
        <v>1</v>
      </c>
    </row>
    <row r="595" spans="10:11" x14ac:dyDescent="0.35">
      <c r="J595">
        <v>1003293</v>
      </c>
      <c r="K595">
        <v>1</v>
      </c>
    </row>
    <row r="596" spans="10:11" x14ac:dyDescent="0.35">
      <c r="J596">
        <v>1002620</v>
      </c>
      <c r="K596">
        <v>1</v>
      </c>
    </row>
    <row r="597" spans="10:11" x14ac:dyDescent="0.35">
      <c r="J597">
        <v>1003529</v>
      </c>
      <c r="K597">
        <v>1</v>
      </c>
    </row>
    <row r="598" spans="10:11" x14ac:dyDescent="0.35">
      <c r="J598">
        <v>1003245</v>
      </c>
      <c r="K598">
        <v>1</v>
      </c>
    </row>
    <row r="599" spans="10:11" x14ac:dyDescent="0.35">
      <c r="J599">
        <v>1003035</v>
      </c>
      <c r="K599">
        <v>1</v>
      </c>
    </row>
    <row r="600" spans="10:11" x14ac:dyDescent="0.35">
      <c r="J600">
        <v>1003244</v>
      </c>
      <c r="K600">
        <v>1</v>
      </c>
    </row>
    <row r="601" spans="10:11" x14ac:dyDescent="0.35">
      <c r="J601">
        <v>1001899</v>
      </c>
      <c r="K601">
        <v>1</v>
      </c>
    </row>
    <row r="602" spans="10:11" x14ac:dyDescent="0.35">
      <c r="J602">
        <v>1000786</v>
      </c>
      <c r="K602">
        <v>1</v>
      </c>
    </row>
    <row r="603" spans="10:11" x14ac:dyDescent="0.35">
      <c r="J603">
        <v>1002455</v>
      </c>
      <c r="K603">
        <v>1</v>
      </c>
    </row>
    <row r="604" spans="10:11" x14ac:dyDescent="0.35">
      <c r="J604">
        <v>1002580</v>
      </c>
      <c r="K604">
        <v>1</v>
      </c>
    </row>
    <row r="605" spans="10:11" x14ac:dyDescent="0.35">
      <c r="J605">
        <v>1002598</v>
      </c>
      <c r="K605">
        <v>1</v>
      </c>
    </row>
    <row r="606" spans="10:11" x14ac:dyDescent="0.35">
      <c r="J606">
        <v>1002593</v>
      </c>
      <c r="K606">
        <v>1</v>
      </c>
    </row>
    <row r="607" spans="10:11" x14ac:dyDescent="0.35">
      <c r="J607">
        <v>1002671</v>
      </c>
      <c r="K607">
        <v>1</v>
      </c>
    </row>
    <row r="608" spans="10:11" x14ac:dyDescent="0.35">
      <c r="J608">
        <v>1002813</v>
      </c>
      <c r="K608">
        <v>1</v>
      </c>
    </row>
    <row r="609" spans="10:11" x14ac:dyDescent="0.35">
      <c r="J609">
        <v>1001720</v>
      </c>
      <c r="K609">
        <v>1</v>
      </c>
    </row>
    <row r="610" spans="10:11" x14ac:dyDescent="0.35">
      <c r="J610">
        <v>1001885</v>
      </c>
      <c r="K610">
        <v>1</v>
      </c>
    </row>
    <row r="611" spans="10:11" x14ac:dyDescent="0.35">
      <c r="J611">
        <v>1002444</v>
      </c>
      <c r="K611">
        <v>1</v>
      </c>
    </row>
    <row r="612" spans="10:11" x14ac:dyDescent="0.35">
      <c r="J612">
        <v>1002807</v>
      </c>
      <c r="K612">
        <v>1</v>
      </c>
    </row>
    <row r="613" spans="10:11" x14ac:dyDescent="0.35">
      <c r="J613">
        <v>1003273</v>
      </c>
      <c r="K613">
        <v>1</v>
      </c>
    </row>
    <row r="614" spans="10:11" x14ac:dyDescent="0.35">
      <c r="J614">
        <v>1001768</v>
      </c>
      <c r="K614">
        <v>1</v>
      </c>
    </row>
    <row r="615" spans="10:11" x14ac:dyDescent="0.35">
      <c r="J615">
        <v>1001804</v>
      </c>
      <c r="K615">
        <v>1</v>
      </c>
    </row>
    <row r="616" spans="10:11" x14ac:dyDescent="0.35">
      <c r="J616">
        <v>1003337</v>
      </c>
      <c r="K616">
        <v>1</v>
      </c>
    </row>
    <row r="617" spans="10:11" x14ac:dyDescent="0.35">
      <c r="J617">
        <v>1003172</v>
      </c>
      <c r="K617">
        <v>1</v>
      </c>
    </row>
    <row r="618" spans="10:11" x14ac:dyDescent="0.35">
      <c r="J618">
        <v>1001948</v>
      </c>
      <c r="K618">
        <v>1</v>
      </c>
    </row>
    <row r="619" spans="10:11" x14ac:dyDescent="0.35">
      <c r="J619">
        <v>1000841</v>
      </c>
      <c r="K619">
        <v>1</v>
      </c>
    </row>
    <row r="620" spans="10:11" x14ac:dyDescent="0.35">
      <c r="J620">
        <v>1002670</v>
      </c>
      <c r="K620">
        <v>1</v>
      </c>
    </row>
    <row r="621" spans="10:11" x14ac:dyDescent="0.35">
      <c r="J621">
        <v>1000559</v>
      </c>
      <c r="K621">
        <v>1</v>
      </c>
    </row>
    <row r="622" spans="10:11" x14ac:dyDescent="0.35">
      <c r="J622">
        <v>1000581</v>
      </c>
      <c r="K622">
        <v>1</v>
      </c>
    </row>
    <row r="623" spans="10:11" x14ac:dyDescent="0.35">
      <c r="J623">
        <v>1000874</v>
      </c>
      <c r="K623">
        <v>1</v>
      </c>
    </row>
    <row r="624" spans="10:11" x14ac:dyDescent="0.35">
      <c r="J624">
        <v>1001812</v>
      </c>
      <c r="K624">
        <v>1</v>
      </c>
    </row>
    <row r="625" spans="10:11" x14ac:dyDescent="0.35">
      <c r="J625">
        <v>1001915</v>
      </c>
      <c r="K625">
        <v>1</v>
      </c>
    </row>
    <row r="626" spans="10:11" x14ac:dyDescent="0.35">
      <c r="J626">
        <v>1001914</v>
      </c>
      <c r="K626">
        <v>1</v>
      </c>
    </row>
    <row r="627" spans="10:11" x14ac:dyDescent="0.35">
      <c r="J627">
        <v>1000301</v>
      </c>
      <c r="K627">
        <v>1</v>
      </c>
    </row>
    <row r="628" spans="10:11" x14ac:dyDescent="0.35">
      <c r="J628">
        <v>1000922</v>
      </c>
      <c r="K628">
        <v>1</v>
      </c>
    </row>
    <row r="629" spans="10:11" x14ac:dyDescent="0.35">
      <c r="J629">
        <v>1002169</v>
      </c>
      <c r="K629">
        <v>1</v>
      </c>
    </row>
    <row r="630" spans="10:11" x14ac:dyDescent="0.35">
      <c r="J630">
        <v>1002244</v>
      </c>
      <c r="K630">
        <v>1</v>
      </c>
    </row>
    <row r="631" spans="10:11" x14ac:dyDescent="0.35">
      <c r="J631">
        <v>1001040</v>
      </c>
      <c r="K631">
        <v>1</v>
      </c>
    </row>
    <row r="632" spans="10:11" x14ac:dyDescent="0.35">
      <c r="J632">
        <v>1002307</v>
      </c>
      <c r="K632">
        <v>1</v>
      </c>
    </row>
    <row r="633" spans="10:11" x14ac:dyDescent="0.35">
      <c r="J633">
        <v>1001081</v>
      </c>
      <c r="K633">
        <v>1</v>
      </c>
    </row>
    <row r="634" spans="10:11" x14ac:dyDescent="0.35">
      <c r="J634">
        <v>1002401</v>
      </c>
      <c r="K634">
        <v>1</v>
      </c>
    </row>
    <row r="635" spans="10:11" x14ac:dyDescent="0.35">
      <c r="J635">
        <v>1002399</v>
      </c>
      <c r="K635">
        <v>1</v>
      </c>
    </row>
    <row r="636" spans="10:11" x14ac:dyDescent="0.35">
      <c r="J636">
        <v>1002422</v>
      </c>
      <c r="K636">
        <v>1</v>
      </c>
    </row>
    <row r="637" spans="10:11" x14ac:dyDescent="0.35">
      <c r="J637">
        <v>1003414</v>
      </c>
      <c r="K637">
        <v>1</v>
      </c>
    </row>
    <row r="638" spans="10:11" x14ac:dyDescent="0.35">
      <c r="J638">
        <v>1003415</v>
      </c>
      <c r="K638">
        <v>1</v>
      </c>
    </row>
    <row r="639" spans="10:11" x14ac:dyDescent="0.35">
      <c r="J639">
        <v>1003226</v>
      </c>
      <c r="K639">
        <v>1</v>
      </c>
    </row>
    <row r="640" spans="10:11" x14ac:dyDescent="0.35">
      <c r="J640">
        <v>1002617</v>
      </c>
      <c r="K640">
        <v>1</v>
      </c>
    </row>
    <row r="641" spans="10:11" x14ac:dyDescent="0.35">
      <c r="J641">
        <v>1003287</v>
      </c>
      <c r="K641">
        <v>1</v>
      </c>
    </row>
    <row r="642" spans="10:11" x14ac:dyDescent="0.35">
      <c r="J642">
        <v>1002176</v>
      </c>
      <c r="K642">
        <v>1</v>
      </c>
    </row>
    <row r="643" spans="10:11" x14ac:dyDescent="0.35">
      <c r="J643">
        <v>1003326</v>
      </c>
      <c r="K643">
        <v>1</v>
      </c>
    </row>
    <row r="644" spans="10:11" x14ac:dyDescent="0.35">
      <c r="J644">
        <v>1002999</v>
      </c>
      <c r="K644">
        <v>1</v>
      </c>
    </row>
    <row r="645" spans="10:11" x14ac:dyDescent="0.35">
      <c r="J645">
        <v>1003342</v>
      </c>
      <c r="K645">
        <v>1</v>
      </c>
    </row>
    <row r="646" spans="10:11" x14ac:dyDescent="0.35">
      <c r="J646">
        <v>1000767</v>
      </c>
      <c r="K646">
        <v>1</v>
      </c>
    </row>
    <row r="647" spans="10:11" x14ac:dyDescent="0.35">
      <c r="J647">
        <v>1000240</v>
      </c>
      <c r="K647">
        <v>1</v>
      </c>
    </row>
    <row r="648" spans="10:11" x14ac:dyDescent="0.35">
      <c r="J648">
        <v>1000721</v>
      </c>
      <c r="K648">
        <v>1</v>
      </c>
    </row>
    <row r="649" spans="10:11" x14ac:dyDescent="0.35">
      <c r="J649">
        <v>1000978</v>
      </c>
      <c r="K649">
        <v>1</v>
      </c>
    </row>
    <row r="650" spans="10:11" x14ac:dyDescent="0.35">
      <c r="J650">
        <v>1000998</v>
      </c>
      <c r="K650">
        <v>1</v>
      </c>
    </row>
    <row r="651" spans="10:11" x14ac:dyDescent="0.35">
      <c r="J651">
        <v>1002278</v>
      </c>
      <c r="K651">
        <v>1</v>
      </c>
    </row>
    <row r="652" spans="10:11" x14ac:dyDescent="0.35">
      <c r="J652">
        <v>1001023</v>
      </c>
      <c r="K652">
        <v>1</v>
      </c>
    </row>
    <row r="653" spans="10:11" x14ac:dyDescent="0.35">
      <c r="J653">
        <v>1002527</v>
      </c>
      <c r="K653">
        <v>1</v>
      </c>
    </row>
    <row r="654" spans="10:11" x14ac:dyDescent="0.35">
      <c r="J654">
        <v>1003433</v>
      </c>
      <c r="K654">
        <v>1</v>
      </c>
    </row>
    <row r="655" spans="10:11" x14ac:dyDescent="0.35">
      <c r="J655">
        <v>1003434</v>
      </c>
      <c r="K655">
        <v>1</v>
      </c>
    </row>
    <row r="656" spans="10:11" x14ac:dyDescent="0.35">
      <c r="J656">
        <v>1002630</v>
      </c>
      <c r="K656">
        <v>1</v>
      </c>
    </row>
    <row r="657" spans="10:11" x14ac:dyDescent="0.35">
      <c r="J657">
        <v>1002629</v>
      </c>
      <c r="K657">
        <v>1</v>
      </c>
    </row>
    <row r="658" spans="10:11" x14ac:dyDescent="0.35">
      <c r="J658">
        <v>1002632</v>
      </c>
      <c r="K658">
        <v>1</v>
      </c>
    </row>
    <row r="659" spans="10:11" x14ac:dyDescent="0.35">
      <c r="J659">
        <v>1002582</v>
      </c>
      <c r="K659">
        <v>1</v>
      </c>
    </row>
    <row r="660" spans="10:11" x14ac:dyDescent="0.35">
      <c r="J660">
        <v>1002276</v>
      </c>
      <c r="K660">
        <v>1</v>
      </c>
    </row>
    <row r="661" spans="10:11" x14ac:dyDescent="0.35">
      <c r="J661">
        <v>1000640</v>
      </c>
      <c r="K661">
        <v>1</v>
      </c>
    </row>
    <row r="662" spans="10:11" x14ac:dyDescent="0.35">
      <c r="J662">
        <v>1001447</v>
      </c>
      <c r="K662">
        <v>1</v>
      </c>
    </row>
    <row r="663" spans="10:11" x14ac:dyDescent="0.35">
      <c r="J663">
        <v>1000633</v>
      </c>
      <c r="K663">
        <v>1</v>
      </c>
    </row>
    <row r="664" spans="10:11" x14ac:dyDescent="0.35">
      <c r="J664">
        <v>1003284</v>
      </c>
      <c r="K664">
        <v>1</v>
      </c>
    </row>
    <row r="665" spans="10:11" x14ac:dyDescent="0.35">
      <c r="J665">
        <v>1003323</v>
      </c>
      <c r="K665">
        <v>1</v>
      </c>
    </row>
    <row r="666" spans="10:11" x14ac:dyDescent="0.35">
      <c r="J666">
        <v>1003536</v>
      </c>
      <c r="K666">
        <v>1</v>
      </c>
    </row>
    <row r="667" spans="10:11" x14ac:dyDescent="0.35">
      <c r="J667">
        <v>1000053</v>
      </c>
      <c r="K667">
        <v>1</v>
      </c>
    </row>
    <row r="668" spans="10:11" x14ac:dyDescent="0.35">
      <c r="J668">
        <v>1002378</v>
      </c>
      <c r="K668">
        <v>1</v>
      </c>
    </row>
    <row r="669" spans="10:11" x14ac:dyDescent="0.35">
      <c r="J669">
        <v>1002419</v>
      </c>
      <c r="K669">
        <v>1</v>
      </c>
    </row>
    <row r="670" spans="10:11" x14ac:dyDescent="0.35">
      <c r="J670">
        <v>1003557</v>
      </c>
      <c r="K670">
        <v>1</v>
      </c>
    </row>
    <row r="671" spans="10:11" x14ac:dyDescent="0.35">
      <c r="J671">
        <v>1001836</v>
      </c>
      <c r="K671">
        <v>1</v>
      </c>
    </row>
    <row r="672" spans="10:11" x14ac:dyDescent="0.35">
      <c r="J672">
        <v>1001651</v>
      </c>
      <c r="K672">
        <v>1</v>
      </c>
    </row>
    <row r="673" spans="10:11" x14ac:dyDescent="0.35">
      <c r="J673">
        <v>1001445</v>
      </c>
      <c r="K673">
        <v>1</v>
      </c>
    </row>
    <row r="674" spans="10:11" x14ac:dyDescent="0.35">
      <c r="J674">
        <v>1003316</v>
      </c>
      <c r="K674">
        <v>1</v>
      </c>
    </row>
    <row r="675" spans="10:11" x14ac:dyDescent="0.35">
      <c r="J675">
        <v>1002298</v>
      </c>
      <c r="K675">
        <v>1</v>
      </c>
    </row>
    <row r="676" spans="10:11" x14ac:dyDescent="0.35">
      <c r="J676">
        <v>1001949</v>
      </c>
      <c r="K676">
        <v>1</v>
      </c>
    </row>
    <row r="677" spans="10:11" x14ac:dyDescent="0.35">
      <c r="J677">
        <v>1000614</v>
      </c>
      <c r="K677">
        <v>1</v>
      </c>
    </row>
    <row r="678" spans="10:11" x14ac:dyDescent="0.35">
      <c r="J678">
        <v>1000482</v>
      </c>
      <c r="K678">
        <v>1</v>
      </c>
    </row>
    <row r="679" spans="10:11" x14ac:dyDescent="0.35">
      <c r="J679">
        <v>1001264</v>
      </c>
      <c r="K679">
        <v>1</v>
      </c>
    </row>
    <row r="680" spans="10:11" x14ac:dyDescent="0.35">
      <c r="J680">
        <v>1002692</v>
      </c>
      <c r="K680">
        <v>1</v>
      </c>
    </row>
    <row r="681" spans="10:11" x14ac:dyDescent="0.35">
      <c r="J681">
        <v>1002703</v>
      </c>
      <c r="K681">
        <v>1</v>
      </c>
    </row>
    <row r="682" spans="10:11" x14ac:dyDescent="0.35">
      <c r="J682">
        <v>1002714</v>
      </c>
      <c r="K682">
        <v>1</v>
      </c>
    </row>
    <row r="683" spans="10:11" x14ac:dyDescent="0.35">
      <c r="J683">
        <v>1001318</v>
      </c>
      <c r="K683">
        <v>1</v>
      </c>
    </row>
    <row r="684" spans="10:11" x14ac:dyDescent="0.35">
      <c r="J684">
        <v>1002800</v>
      </c>
      <c r="K684">
        <v>1</v>
      </c>
    </row>
    <row r="685" spans="10:11" x14ac:dyDescent="0.35">
      <c r="J685">
        <v>1003485</v>
      </c>
      <c r="K685">
        <v>1</v>
      </c>
    </row>
    <row r="686" spans="10:11" x14ac:dyDescent="0.35">
      <c r="J686">
        <v>1003220</v>
      </c>
      <c r="K686">
        <v>1</v>
      </c>
    </row>
    <row r="687" spans="10:11" x14ac:dyDescent="0.35">
      <c r="J687">
        <v>1001371</v>
      </c>
      <c r="K687">
        <v>1</v>
      </c>
    </row>
    <row r="688" spans="10:11" x14ac:dyDescent="0.35">
      <c r="J688">
        <v>1002863</v>
      </c>
      <c r="K688">
        <v>1</v>
      </c>
    </row>
    <row r="689" spans="10:11" x14ac:dyDescent="0.35">
      <c r="J689">
        <v>1001409</v>
      </c>
      <c r="K689">
        <v>1</v>
      </c>
    </row>
    <row r="690" spans="10:11" x14ac:dyDescent="0.35">
      <c r="J690">
        <v>1001412</v>
      </c>
      <c r="K690">
        <v>1</v>
      </c>
    </row>
    <row r="691" spans="10:11" x14ac:dyDescent="0.35">
      <c r="J691">
        <v>1003499</v>
      </c>
      <c r="K691">
        <v>1</v>
      </c>
    </row>
    <row r="692" spans="10:11" x14ac:dyDescent="0.35">
      <c r="J692">
        <v>1002906</v>
      </c>
      <c r="K692">
        <v>1</v>
      </c>
    </row>
    <row r="693" spans="10:11" x14ac:dyDescent="0.35">
      <c r="J693">
        <v>1001440</v>
      </c>
      <c r="K693">
        <v>1</v>
      </c>
    </row>
    <row r="694" spans="10:11" x14ac:dyDescent="0.35">
      <c r="J694">
        <v>1001439</v>
      </c>
      <c r="K694">
        <v>1</v>
      </c>
    </row>
    <row r="695" spans="10:11" x14ac:dyDescent="0.35">
      <c r="J695">
        <v>1003506</v>
      </c>
      <c r="K695">
        <v>1</v>
      </c>
    </row>
    <row r="696" spans="10:11" x14ac:dyDescent="0.35">
      <c r="J696">
        <v>1002964</v>
      </c>
      <c r="K696">
        <v>1</v>
      </c>
    </row>
    <row r="697" spans="10:11" x14ac:dyDescent="0.35">
      <c r="J697">
        <v>1001448</v>
      </c>
      <c r="K697">
        <v>1</v>
      </c>
    </row>
    <row r="698" spans="10:11" x14ac:dyDescent="0.35">
      <c r="J698">
        <v>1002416</v>
      </c>
      <c r="K698">
        <v>1</v>
      </c>
    </row>
    <row r="699" spans="10:11" x14ac:dyDescent="0.35">
      <c r="J699">
        <v>1001257</v>
      </c>
      <c r="K699">
        <v>1</v>
      </c>
    </row>
    <row r="700" spans="10:11" x14ac:dyDescent="0.35">
      <c r="J700">
        <v>1001477</v>
      </c>
      <c r="K700">
        <v>1</v>
      </c>
    </row>
    <row r="701" spans="10:11" x14ac:dyDescent="0.35">
      <c r="J701">
        <v>1003022</v>
      </c>
      <c r="K701">
        <v>1</v>
      </c>
    </row>
    <row r="702" spans="10:11" x14ac:dyDescent="0.35">
      <c r="J702">
        <v>1001495</v>
      </c>
      <c r="K702">
        <v>1</v>
      </c>
    </row>
    <row r="703" spans="10:11" x14ac:dyDescent="0.35">
      <c r="J703">
        <v>1003038</v>
      </c>
      <c r="K703">
        <v>1</v>
      </c>
    </row>
    <row r="704" spans="10:11" x14ac:dyDescent="0.35">
      <c r="J704">
        <v>1003525</v>
      </c>
      <c r="K704">
        <v>1</v>
      </c>
    </row>
    <row r="705" spans="10:11" x14ac:dyDescent="0.35">
      <c r="J705">
        <v>1003075</v>
      </c>
      <c r="K705">
        <v>1</v>
      </c>
    </row>
    <row r="706" spans="10:11" x14ac:dyDescent="0.35">
      <c r="J706">
        <v>1003074</v>
      </c>
      <c r="K706">
        <v>1</v>
      </c>
    </row>
    <row r="707" spans="10:11" x14ac:dyDescent="0.35">
      <c r="J707">
        <v>1003095</v>
      </c>
      <c r="K707">
        <v>1</v>
      </c>
    </row>
    <row r="708" spans="10:11" x14ac:dyDescent="0.35">
      <c r="J708">
        <v>1004101</v>
      </c>
      <c r="K708">
        <v>1</v>
      </c>
    </row>
    <row r="709" spans="10:11" x14ac:dyDescent="0.35">
      <c r="J709">
        <v>1004052</v>
      </c>
      <c r="K709">
        <v>1</v>
      </c>
    </row>
    <row r="710" spans="10:11" x14ac:dyDescent="0.35">
      <c r="J710">
        <v>1004069</v>
      </c>
      <c r="K710">
        <v>1</v>
      </c>
    </row>
    <row r="711" spans="10:11" x14ac:dyDescent="0.35">
      <c r="J711">
        <v>1004051</v>
      </c>
      <c r="K711">
        <v>1</v>
      </c>
    </row>
    <row r="712" spans="10:11" x14ac:dyDescent="0.35">
      <c r="J712">
        <v>1004002</v>
      </c>
      <c r="K712">
        <v>1</v>
      </c>
    </row>
    <row r="713" spans="10:11" x14ac:dyDescent="0.35">
      <c r="J713">
        <v>1002077</v>
      </c>
      <c r="K713">
        <v>1</v>
      </c>
    </row>
    <row r="714" spans="10:11" x14ac:dyDescent="0.35">
      <c r="J714">
        <v>1002878</v>
      </c>
      <c r="K714">
        <v>1</v>
      </c>
    </row>
    <row r="715" spans="10:11" x14ac:dyDescent="0.35">
      <c r="J715">
        <v>1000281</v>
      </c>
      <c r="K715">
        <v>1</v>
      </c>
    </row>
    <row r="716" spans="10:11" x14ac:dyDescent="0.35">
      <c r="J716">
        <v>1000150</v>
      </c>
      <c r="K716">
        <v>1</v>
      </c>
    </row>
    <row r="717" spans="10:11" x14ac:dyDescent="0.35">
      <c r="J717">
        <v>1000959</v>
      </c>
      <c r="K717">
        <v>1</v>
      </c>
    </row>
    <row r="718" spans="10:11" x14ac:dyDescent="0.35">
      <c r="J718">
        <v>1000574</v>
      </c>
      <c r="K718">
        <v>1</v>
      </c>
    </row>
    <row r="719" spans="10:11" x14ac:dyDescent="0.35">
      <c r="J719">
        <v>1004102</v>
      </c>
      <c r="K719">
        <v>1</v>
      </c>
    </row>
    <row r="720" spans="10:11" x14ac:dyDescent="0.35">
      <c r="J720">
        <v>1004072</v>
      </c>
      <c r="K720">
        <v>1</v>
      </c>
    </row>
    <row r="721" spans="10:11" x14ac:dyDescent="0.35">
      <c r="J721">
        <v>1004073</v>
      </c>
      <c r="K721">
        <v>1</v>
      </c>
    </row>
    <row r="722" spans="10:11" x14ac:dyDescent="0.35">
      <c r="J722">
        <v>1004075</v>
      </c>
      <c r="K722">
        <v>1</v>
      </c>
    </row>
    <row r="723" spans="10:11" x14ac:dyDescent="0.35">
      <c r="J723">
        <v>1004080</v>
      </c>
      <c r="K723">
        <v>1</v>
      </c>
    </row>
    <row r="724" spans="10:11" x14ac:dyDescent="0.35">
      <c r="J724">
        <v>1004081</v>
      </c>
      <c r="K724">
        <v>1</v>
      </c>
    </row>
    <row r="725" spans="10:11" x14ac:dyDescent="0.35">
      <c r="J725">
        <v>1004082</v>
      </c>
      <c r="K725">
        <v>1</v>
      </c>
    </row>
    <row r="726" spans="10:11" x14ac:dyDescent="0.35">
      <c r="J726">
        <v>1001270</v>
      </c>
      <c r="K726">
        <v>1</v>
      </c>
    </row>
    <row r="727" spans="10:11" x14ac:dyDescent="0.35">
      <c r="J727">
        <v>1001356</v>
      </c>
      <c r="K727">
        <v>1</v>
      </c>
    </row>
    <row r="728" spans="10:11" x14ac:dyDescent="0.35">
      <c r="J728">
        <v>1000666</v>
      </c>
      <c r="K728">
        <v>1</v>
      </c>
    </row>
    <row r="729" spans="10:11" x14ac:dyDescent="0.35">
      <c r="J729">
        <v>1000727</v>
      </c>
      <c r="K729">
        <v>1</v>
      </c>
    </row>
    <row r="730" spans="10:11" x14ac:dyDescent="0.35">
      <c r="J730">
        <v>1001182</v>
      </c>
      <c r="K730">
        <v>1</v>
      </c>
    </row>
    <row r="731" spans="10:11" x14ac:dyDescent="0.35">
      <c r="J731">
        <v>1001384</v>
      </c>
      <c r="K731">
        <v>1</v>
      </c>
    </row>
    <row r="732" spans="10:11" x14ac:dyDescent="0.35">
      <c r="J732">
        <v>1004113</v>
      </c>
      <c r="K732">
        <v>1</v>
      </c>
    </row>
    <row r="733" spans="10:11" x14ac:dyDescent="0.35">
      <c r="J733">
        <v>1004126</v>
      </c>
      <c r="K733">
        <v>1</v>
      </c>
    </row>
    <row r="734" spans="10:11" x14ac:dyDescent="0.35">
      <c r="J734">
        <v>1004114</v>
      </c>
      <c r="K734">
        <v>1</v>
      </c>
    </row>
    <row r="735" spans="10:11" x14ac:dyDescent="0.35">
      <c r="J735">
        <v>1004142</v>
      </c>
      <c r="K735">
        <v>1</v>
      </c>
    </row>
    <row r="736" spans="10:11" x14ac:dyDescent="0.35">
      <c r="J736">
        <v>1004196</v>
      </c>
      <c r="K736">
        <v>1</v>
      </c>
    </row>
    <row r="737" spans="10:11" x14ac:dyDescent="0.35">
      <c r="J737">
        <v>1004145</v>
      </c>
      <c r="K737">
        <v>1</v>
      </c>
    </row>
    <row r="738" spans="10:11" x14ac:dyDescent="0.35">
      <c r="J738">
        <v>1004181</v>
      </c>
      <c r="K738">
        <v>1</v>
      </c>
    </row>
    <row r="739" spans="10:11" x14ac:dyDescent="0.35">
      <c r="J739">
        <v>1004182</v>
      </c>
      <c r="K739">
        <v>1</v>
      </c>
    </row>
    <row r="740" spans="10:11" x14ac:dyDescent="0.35">
      <c r="J740">
        <v>1004183</v>
      </c>
      <c r="K740">
        <v>1</v>
      </c>
    </row>
    <row r="741" spans="10:11" x14ac:dyDescent="0.35">
      <c r="J741">
        <v>1004184</v>
      </c>
      <c r="K741">
        <v>1</v>
      </c>
    </row>
    <row r="742" spans="10:11" x14ac:dyDescent="0.35">
      <c r="J742">
        <v>1004187</v>
      </c>
      <c r="K742">
        <v>1</v>
      </c>
    </row>
    <row r="743" spans="10:11" x14ac:dyDescent="0.35">
      <c r="J743">
        <v>1004205</v>
      </c>
      <c r="K743">
        <v>1</v>
      </c>
    </row>
    <row r="744" spans="10:11" x14ac:dyDescent="0.35">
      <c r="J744">
        <v>1004200</v>
      </c>
      <c r="K744">
        <v>1</v>
      </c>
    </row>
    <row r="745" spans="10:11" x14ac:dyDescent="0.35">
      <c r="J745">
        <v>1004203</v>
      </c>
      <c r="K745">
        <v>1</v>
      </c>
    </row>
    <row r="746" spans="10:11" x14ac:dyDescent="0.35">
      <c r="J746">
        <v>1004213</v>
      </c>
      <c r="K746">
        <v>1</v>
      </c>
    </row>
    <row r="747" spans="10:11" x14ac:dyDescent="0.35">
      <c r="J747">
        <v>1004214</v>
      </c>
      <c r="K747">
        <v>1</v>
      </c>
    </row>
    <row r="748" spans="10:11" x14ac:dyDescent="0.35">
      <c r="J748">
        <v>1001748</v>
      </c>
      <c r="K748">
        <v>1</v>
      </c>
    </row>
    <row r="749" spans="10:11" x14ac:dyDescent="0.35">
      <c r="J749">
        <v>1002240</v>
      </c>
      <c r="K749">
        <v>1</v>
      </c>
    </row>
    <row r="750" spans="10:11" x14ac:dyDescent="0.35">
      <c r="J750">
        <v>1002834</v>
      </c>
      <c r="K750">
        <v>1</v>
      </c>
    </row>
    <row r="751" spans="10:11" x14ac:dyDescent="0.35">
      <c r="J751">
        <v>1002909</v>
      </c>
      <c r="K751">
        <v>1</v>
      </c>
    </row>
    <row r="752" spans="10:11" x14ac:dyDescent="0.35">
      <c r="J752">
        <v>1001492</v>
      </c>
      <c r="K752">
        <v>1</v>
      </c>
    </row>
    <row r="753" spans="10:11" x14ac:dyDescent="0.35">
      <c r="J753">
        <v>1003482</v>
      </c>
      <c r="K753">
        <v>1</v>
      </c>
    </row>
    <row r="754" spans="10:11" x14ac:dyDescent="0.35">
      <c r="J754">
        <v>1001013</v>
      </c>
      <c r="K754">
        <v>1</v>
      </c>
    </row>
    <row r="755" spans="10:11" x14ac:dyDescent="0.35">
      <c r="J755">
        <v>1003407</v>
      </c>
      <c r="K755">
        <v>1</v>
      </c>
    </row>
    <row r="756" spans="10:11" x14ac:dyDescent="0.35">
      <c r="J756">
        <v>1003081</v>
      </c>
      <c r="K756">
        <v>1</v>
      </c>
    </row>
    <row r="757" spans="10:11" x14ac:dyDescent="0.35">
      <c r="J757">
        <v>1003483</v>
      </c>
      <c r="K757">
        <v>1</v>
      </c>
    </row>
    <row r="758" spans="10:11" x14ac:dyDescent="0.35">
      <c r="J758">
        <v>1003294</v>
      </c>
      <c r="K758">
        <v>1</v>
      </c>
    </row>
    <row r="759" spans="10:11" x14ac:dyDescent="0.35">
      <c r="J759">
        <v>1003420</v>
      </c>
      <c r="K759">
        <v>1</v>
      </c>
    </row>
    <row r="760" spans="10:11" x14ac:dyDescent="0.35">
      <c r="J760">
        <v>1002180</v>
      </c>
      <c r="K760">
        <v>1</v>
      </c>
    </row>
    <row r="761" spans="10:11" x14ac:dyDescent="0.35">
      <c r="J761">
        <v>1002595</v>
      </c>
      <c r="K761">
        <v>1</v>
      </c>
    </row>
    <row r="762" spans="10:11" x14ac:dyDescent="0.35">
      <c r="J762">
        <v>1003269</v>
      </c>
      <c r="K762">
        <v>1</v>
      </c>
    </row>
    <row r="763" spans="10:11" x14ac:dyDescent="0.35">
      <c r="J763">
        <v>1001953</v>
      </c>
      <c r="K763">
        <v>1</v>
      </c>
    </row>
    <row r="764" spans="10:11" x14ac:dyDescent="0.35">
      <c r="J764">
        <v>1002533</v>
      </c>
      <c r="K764">
        <v>1</v>
      </c>
    </row>
    <row r="765" spans="10:11" x14ac:dyDescent="0.35">
      <c r="J765">
        <v>1003467</v>
      </c>
      <c r="K765">
        <v>1</v>
      </c>
    </row>
    <row r="766" spans="10:11" x14ac:dyDescent="0.35">
      <c r="J766">
        <v>1002315</v>
      </c>
      <c r="K766">
        <v>1</v>
      </c>
    </row>
    <row r="767" spans="10:11" x14ac:dyDescent="0.35">
      <c r="J767">
        <v>1001835</v>
      </c>
      <c r="K767">
        <v>1</v>
      </c>
    </row>
    <row r="768" spans="10:11" x14ac:dyDescent="0.35">
      <c r="J768">
        <v>1000913</v>
      </c>
      <c r="K768">
        <v>1</v>
      </c>
    </row>
    <row r="769" spans="10:11" x14ac:dyDescent="0.35">
      <c r="J769">
        <v>1002205</v>
      </c>
      <c r="K769">
        <v>1</v>
      </c>
    </row>
    <row r="770" spans="10:11" x14ac:dyDescent="0.35">
      <c r="J770">
        <v>1002477</v>
      </c>
      <c r="K770">
        <v>1</v>
      </c>
    </row>
    <row r="771" spans="10:11" x14ac:dyDescent="0.35">
      <c r="J771">
        <v>1002970</v>
      </c>
      <c r="K771">
        <v>1</v>
      </c>
    </row>
    <row r="772" spans="10:11" x14ac:dyDescent="0.35">
      <c r="J772">
        <v>1001142</v>
      </c>
      <c r="K772">
        <v>1</v>
      </c>
    </row>
    <row r="773" spans="10:11" x14ac:dyDescent="0.35">
      <c r="J773">
        <v>1003238</v>
      </c>
      <c r="K773">
        <v>1</v>
      </c>
    </row>
    <row r="774" spans="10:11" x14ac:dyDescent="0.35">
      <c r="J774">
        <v>1004186</v>
      </c>
      <c r="K774">
        <v>1</v>
      </c>
    </row>
    <row r="775" spans="10:11" x14ac:dyDescent="0.35">
      <c r="J775">
        <v>1000622</v>
      </c>
      <c r="K775">
        <v>1</v>
      </c>
    </row>
    <row r="776" spans="10:11" x14ac:dyDescent="0.35">
      <c r="J776">
        <v>1002844</v>
      </c>
      <c r="K776">
        <v>1</v>
      </c>
    </row>
    <row r="777" spans="10:11" x14ac:dyDescent="0.35">
      <c r="J777">
        <v>1002273</v>
      </c>
      <c r="K777">
        <v>1</v>
      </c>
    </row>
    <row r="778" spans="10:11" x14ac:dyDescent="0.35">
      <c r="J778">
        <v>1002691</v>
      </c>
      <c r="K778">
        <v>1</v>
      </c>
    </row>
    <row r="779" spans="10:11" x14ac:dyDescent="0.35">
      <c r="J779">
        <v>1002672</v>
      </c>
      <c r="K779">
        <v>1</v>
      </c>
    </row>
    <row r="780" spans="10:11" x14ac:dyDescent="0.35">
      <c r="J780">
        <v>1002992</v>
      </c>
      <c r="K780">
        <v>1</v>
      </c>
    </row>
    <row r="781" spans="10:11" x14ac:dyDescent="0.35">
      <c r="J781">
        <v>1002454</v>
      </c>
      <c r="K781">
        <v>1</v>
      </c>
    </row>
    <row r="782" spans="10:11" x14ac:dyDescent="0.35">
      <c r="J782">
        <v>1001233</v>
      </c>
      <c r="K782">
        <v>1</v>
      </c>
    </row>
    <row r="783" spans="10:11" x14ac:dyDescent="0.35">
      <c r="J783">
        <v>1002933</v>
      </c>
      <c r="K783">
        <v>1</v>
      </c>
    </row>
    <row r="784" spans="10:11" x14ac:dyDescent="0.35">
      <c r="J784">
        <v>1003444</v>
      </c>
      <c r="K784">
        <v>1</v>
      </c>
    </row>
    <row r="785" spans="10:11" x14ac:dyDescent="0.35">
      <c r="J785">
        <v>1003477</v>
      </c>
      <c r="K785">
        <v>1</v>
      </c>
    </row>
    <row r="786" spans="10:11" x14ac:dyDescent="0.35">
      <c r="J786">
        <v>1001222</v>
      </c>
      <c r="K786">
        <v>1</v>
      </c>
    </row>
    <row r="787" spans="10:11" x14ac:dyDescent="0.35">
      <c r="J787">
        <v>1003486</v>
      </c>
      <c r="K787">
        <v>1</v>
      </c>
    </row>
    <row r="788" spans="10:11" x14ac:dyDescent="0.35">
      <c r="J788">
        <v>1001191</v>
      </c>
      <c r="K788">
        <v>1</v>
      </c>
    </row>
    <row r="789" spans="10:11" x14ac:dyDescent="0.35">
      <c r="J789">
        <v>1003385</v>
      </c>
      <c r="K789">
        <v>1</v>
      </c>
    </row>
    <row r="790" spans="10:11" x14ac:dyDescent="0.35">
      <c r="J790">
        <v>1004206</v>
      </c>
      <c r="K790">
        <v>1</v>
      </c>
    </row>
    <row r="791" spans="10:11" x14ac:dyDescent="0.35">
      <c r="J791">
        <v>1004482</v>
      </c>
      <c r="K791">
        <v>1</v>
      </c>
    </row>
    <row r="792" spans="10:11" x14ac:dyDescent="0.35">
      <c r="J792">
        <v>1002666</v>
      </c>
      <c r="K792">
        <v>1</v>
      </c>
    </row>
    <row r="793" spans="10:11" x14ac:dyDescent="0.35">
      <c r="J793">
        <v>1004353</v>
      </c>
      <c r="K793">
        <v>1</v>
      </c>
    </row>
    <row r="794" spans="10:11" x14ac:dyDescent="0.35">
      <c r="J794">
        <v>1000270</v>
      </c>
      <c r="K794">
        <v>1</v>
      </c>
    </row>
    <row r="795" spans="10:11" x14ac:dyDescent="0.35">
      <c r="J795">
        <v>1002283</v>
      </c>
      <c r="K795">
        <v>1</v>
      </c>
    </row>
    <row r="796" spans="10:11" x14ac:dyDescent="0.35">
      <c r="J796">
        <v>1002704</v>
      </c>
      <c r="K796">
        <v>1</v>
      </c>
    </row>
    <row r="797" spans="10:11" x14ac:dyDescent="0.35">
      <c r="J797">
        <v>1002338</v>
      </c>
      <c r="K797">
        <v>1</v>
      </c>
    </row>
    <row r="798" spans="10:11" x14ac:dyDescent="0.35">
      <c r="J798">
        <v>1003466</v>
      </c>
      <c r="K798">
        <v>1</v>
      </c>
    </row>
    <row r="799" spans="10:11" x14ac:dyDescent="0.35">
      <c r="J799">
        <v>1004087</v>
      </c>
      <c r="K799">
        <v>1</v>
      </c>
    </row>
    <row r="800" spans="10:11" x14ac:dyDescent="0.35">
      <c r="J800">
        <v>1003492</v>
      </c>
      <c r="K800">
        <v>1</v>
      </c>
    </row>
    <row r="801" spans="10:11" x14ac:dyDescent="0.35">
      <c r="J801">
        <v>1002874</v>
      </c>
      <c r="K801">
        <v>1</v>
      </c>
    </row>
    <row r="802" spans="10:11" x14ac:dyDescent="0.35">
      <c r="J802">
        <v>1000278</v>
      </c>
      <c r="K802">
        <v>1</v>
      </c>
    </row>
    <row r="803" spans="10:11" x14ac:dyDescent="0.35">
      <c r="J803">
        <v>1004460</v>
      </c>
      <c r="K803">
        <v>1</v>
      </c>
    </row>
    <row r="804" spans="10:11" x14ac:dyDescent="0.35">
      <c r="J804">
        <v>1004448</v>
      </c>
      <c r="K804">
        <v>1</v>
      </c>
    </row>
    <row r="805" spans="10:11" x14ac:dyDescent="0.35">
      <c r="J805">
        <v>1004484</v>
      </c>
      <c r="K805">
        <v>1</v>
      </c>
    </row>
    <row r="806" spans="10:11" x14ac:dyDescent="0.35">
      <c r="J806">
        <v>1001878</v>
      </c>
      <c r="K806">
        <v>1</v>
      </c>
    </row>
    <row r="807" spans="10:11" x14ac:dyDescent="0.35">
      <c r="J807">
        <v>1003014</v>
      </c>
      <c r="K807">
        <v>1</v>
      </c>
    </row>
    <row r="808" spans="10:11" x14ac:dyDescent="0.35">
      <c r="J808">
        <v>1003437</v>
      </c>
      <c r="K808">
        <v>1</v>
      </c>
    </row>
    <row r="809" spans="10:11" x14ac:dyDescent="0.35">
      <c r="J809">
        <v>1001266</v>
      </c>
      <c r="K809">
        <v>1</v>
      </c>
    </row>
    <row r="810" spans="10:11" x14ac:dyDescent="0.35">
      <c r="J810">
        <v>1001747</v>
      </c>
      <c r="K810">
        <v>1</v>
      </c>
    </row>
    <row r="811" spans="10:11" x14ac:dyDescent="0.35">
      <c r="J811">
        <v>1003147</v>
      </c>
      <c r="K811">
        <v>1</v>
      </c>
    </row>
    <row r="812" spans="10:11" x14ac:dyDescent="0.35">
      <c r="J812">
        <v>1002309</v>
      </c>
      <c r="K812">
        <v>1</v>
      </c>
    </row>
    <row r="813" spans="10:11" x14ac:dyDescent="0.35">
      <c r="J813">
        <v>1004514</v>
      </c>
      <c r="K813">
        <v>1</v>
      </c>
    </row>
    <row r="814" spans="10:11" x14ac:dyDescent="0.35">
      <c r="J814">
        <v>1000283</v>
      </c>
      <c r="K814">
        <v>1</v>
      </c>
    </row>
    <row r="815" spans="10:11" x14ac:dyDescent="0.35">
      <c r="J815">
        <v>1001273</v>
      </c>
      <c r="K815">
        <v>1</v>
      </c>
    </row>
    <row r="816" spans="10:11" x14ac:dyDescent="0.35">
      <c r="J816">
        <v>1004638</v>
      </c>
      <c r="K816">
        <v>1</v>
      </c>
    </row>
    <row r="817" spans="10:11" x14ac:dyDescent="0.35">
      <c r="J817">
        <v>1002154</v>
      </c>
      <c r="K817">
        <v>1</v>
      </c>
    </row>
    <row r="818" spans="10:11" x14ac:dyDescent="0.35">
      <c r="J818">
        <v>1004577</v>
      </c>
      <c r="K818">
        <v>1</v>
      </c>
    </row>
    <row r="819" spans="10:11" x14ac:dyDescent="0.35">
      <c r="J819">
        <v>1002935</v>
      </c>
      <c r="K819">
        <v>1</v>
      </c>
    </row>
    <row r="820" spans="10:11" x14ac:dyDescent="0.35">
      <c r="J820">
        <v>1004141</v>
      </c>
      <c r="K820">
        <v>1</v>
      </c>
    </row>
    <row r="821" spans="10:11" x14ac:dyDescent="0.35">
      <c r="J821">
        <v>1004493</v>
      </c>
      <c r="K821">
        <v>1</v>
      </c>
    </row>
    <row r="822" spans="10:11" x14ac:dyDescent="0.35">
      <c r="J822">
        <v>1000852</v>
      </c>
      <c r="K822">
        <v>1</v>
      </c>
    </row>
    <row r="823" spans="10:11" x14ac:dyDescent="0.35">
      <c r="J823">
        <v>1004455</v>
      </c>
      <c r="K823">
        <v>1</v>
      </c>
    </row>
    <row r="824" spans="10:11" x14ac:dyDescent="0.35">
      <c r="J824">
        <v>1004544</v>
      </c>
      <c r="K824">
        <v>1</v>
      </c>
    </row>
    <row r="825" spans="10:11" x14ac:dyDescent="0.35">
      <c r="J825">
        <v>1003264</v>
      </c>
      <c r="K825">
        <v>1</v>
      </c>
    </row>
    <row r="826" spans="10:11" x14ac:dyDescent="0.35">
      <c r="J826">
        <v>1004199</v>
      </c>
      <c r="K826">
        <v>1</v>
      </c>
    </row>
    <row r="827" spans="10:11" x14ac:dyDescent="0.35">
      <c r="J827">
        <v>1004457</v>
      </c>
      <c r="K827">
        <v>1</v>
      </c>
    </row>
    <row r="828" spans="10:11" x14ac:dyDescent="0.35">
      <c r="J828">
        <v>1004600</v>
      </c>
      <c r="K828">
        <v>1</v>
      </c>
    </row>
    <row r="829" spans="10:11" x14ac:dyDescent="0.35">
      <c r="J829">
        <v>1004652</v>
      </c>
      <c r="K829">
        <v>1</v>
      </c>
    </row>
    <row r="830" spans="10:11" x14ac:dyDescent="0.35">
      <c r="J830">
        <v>1001315</v>
      </c>
      <c r="K830">
        <v>1</v>
      </c>
    </row>
    <row r="831" spans="10:11" x14ac:dyDescent="0.35">
      <c r="J831">
        <v>1004576</v>
      </c>
      <c r="K831">
        <v>1</v>
      </c>
    </row>
    <row r="832" spans="10:11" x14ac:dyDescent="0.35">
      <c r="J832">
        <v>1004615</v>
      </c>
      <c r="K832">
        <v>1</v>
      </c>
    </row>
    <row r="833" spans="10:11" x14ac:dyDescent="0.35">
      <c r="J833">
        <v>1002317</v>
      </c>
      <c r="K833">
        <v>1</v>
      </c>
    </row>
    <row r="834" spans="10:11" x14ac:dyDescent="0.35">
      <c r="J834">
        <v>1002597</v>
      </c>
      <c r="K834">
        <v>1</v>
      </c>
    </row>
    <row r="835" spans="10:11" x14ac:dyDescent="0.35">
      <c r="J835">
        <v>1001933</v>
      </c>
      <c r="K835">
        <v>1</v>
      </c>
    </row>
    <row r="836" spans="10:11" x14ac:dyDescent="0.35">
      <c r="J836">
        <v>1002189</v>
      </c>
      <c r="K836">
        <v>1</v>
      </c>
    </row>
    <row r="837" spans="10:11" x14ac:dyDescent="0.35">
      <c r="J837">
        <v>1004351</v>
      </c>
      <c r="K837">
        <v>1</v>
      </c>
    </row>
    <row r="838" spans="10:11" x14ac:dyDescent="0.35">
      <c r="J838">
        <v>1002284</v>
      </c>
      <c r="K838">
        <v>1</v>
      </c>
    </row>
    <row r="839" spans="10:11" x14ac:dyDescent="0.35">
      <c r="J839">
        <v>1003550</v>
      </c>
      <c r="K839">
        <v>1</v>
      </c>
    </row>
    <row r="840" spans="10:11" x14ac:dyDescent="0.35">
      <c r="J840">
        <v>1002985</v>
      </c>
      <c r="K840">
        <v>1</v>
      </c>
    </row>
    <row r="841" spans="10:11" x14ac:dyDescent="0.35">
      <c r="J841">
        <v>1002931</v>
      </c>
      <c r="K841">
        <v>1</v>
      </c>
    </row>
    <row r="842" spans="10:11" x14ac:dyDescent="0.35">
      <c r="J842">
        <v>1003265</v>
      </c>
      <c r="K842">
        <v>1</v>
      </c>
    </row>
    <row r="843" spans="10:11" x14ac:dyDescent="0.35">
      <c r="J843">
        <v>1004594</v>
      </c>
      <c r="K843">
        <v>1</v>
      </c>
    </row>
    <row r="844" spans="10:11" x14ac:dyDescent="0.35">
      <c r="J844">
        <v>1004335</v>
      </c>
      <c r="K844">
        <v>1</v>
      </c>
    </row>
    <row r="845" spans="10:11" x14ac:dyDescent="0.35">
      <c r="J845">
        <v>1004374</v>
      </c>
      <c r="K845">
        <v>1</v>
      </c>
    </row>
    <row r="846" spans="10:11" x14ac:dyDescent="0.35">
      <c r="J846">
        <v>1004373</v>
      </c>
      <c r="K846">
        <v>1</v>
      </c>
    </row>
    <row r="847" spans="10:11" x14ac:dyDescent="0.35">
      <c r="J847">
        <v>1004390</v>
      </c>
      <c r="K847">
        <v>1</v>
      </c>
    </row>
    <row r="848" spans="10:11" x14ac:dyDescent="0.35">
      <c r="J848">
        <v>1004412</v>
      </c>
      <c r="K848">
        <v>1</v>
      </c>
    </row>
    <row r="849" spans="10:11" x14ac:dyDescent="0.35">
      <c r="J849">
        <v>1004413</v>
      </c>
      <c r="K849">
        <v>1</v>
      </c>
    </row>
    <row r="850" spans="10:11" x14ac:dyDescent="0.35">
      <c r="J850">
        <v>1000765</v>
      </c>
      <c r="K850">
        <v>1</v>
      </c>
    </row>
    <row r="851" spans="10:11" x14ac:dyDescent="0.35">
      <c r="J851">
        <v>1004473</v>
      </c>
      <c r="K851">
        <v>1</v>
      </c>
    </row>
    <row r="852" spans="10:11" x14ac:dyDescent="0.35">
      <c r="J852">
        <v>1004472</v>
      </c>
      <c r="K852">
        <v>1</v>
      </c>
    </row>
    <row r="853" spans="10:11" x14ac:dyDescent="0.35">
      <c r="J853">
        <v>1004494</v>
      </c>
      <c r="K853">
        <v>1</v>
      </c>
    </row>
    <row r="854" spans="10:11" x14ac:dyDescent="0.35">
      <c r="J854">
        <v>1004498</v>
      </c>
      <c r="K854">
        <v>1</v>
      </c>
    </row>
    <row r="855" spans="10:11" x14ac:dyDescent="0.35">
      <c r="J855">
        <v>1004447</v>
      </c>
      <c r="K855">
        <v>1</v>
      </c>
    </row>
    <row r="856" spans="10:11" x14ac:dyDescent="0.35">
      <c r="J856">
        <v>1004680</v>
      </c>
      <c r="K856">
        <v>1</v>
      </c>
    </row>
    <row r="857" spans="10:11" x14ac:dyDescent="0.35">
      <c r="J857">
        <v>1004653</v>
      </c>
      <c r="K857">
        <v>1</v>
      </c>
    </row>
    <row r="858" spans="10:11" x14ac:dyDescent="0.35">
      <c r="J858">
        <v>1004723</v>
      </c>
      <c r="K858">
        <v>1</v>
      </c>
    </row>
    <row r="859" spans="10:11" x14ac:dyDescent="0.35">
      <c r="J859">
        <v>1004688</v>
      </c>
      <c r="K859">
        <v>1</v>
      </c>
    </row>
    <row r="860" spans="10:11" x14ac:dyDescent="0.35">
      <c r="J860">
        <v>1004698</v>
      </c>
      <c r="K860">
        <v>1</v>
      </c>
    </row>
    <row r="861" spans="10:11" x14ac:dyDescent="0.35">
      <c r="J861">
        <v>1001814</v>
      </c>
      <c r="K861">
        <v>1</v>
      </c>
    </row>
    <row r="862" spans="10:11" x14ac:dyDescent="0.35">
      <c r="J862">
        <v>1004692</v>
      </c>
      <c r="K862">
        <v>1</v>
      </c>
    </row>
    <row r="863" spans="10:11" x14ac:dyDescent="0.35">
      <c r="J863">
        <v>1004837</v>
      </c>
      <c r="K863">
        <v>1</v>
      </c>
    </row>
    <row r="864" spans="10:11" x14ac:dyDescent="0.35">
      <c r="J864">
        <v>1004810</v>
      </c>
      <c r="K864">
        <v>1</v>
      </c>
    </row>
    <row r="865" spans="10:11" x14ac:dyDescent="0.35">
      <c r="J865">
        <v>1004787</v>
      </c>
      <c r="K865">
        <v>1</v>
      </c>
    </row>
    <row r="866" spans="10:11" x14ac:dyDescent="0.35">
      <c r="J866">
        <v>1004134</v>
      </c>
      <c r="K866">
        <v>1</v>
      </c>
    </row>
    <row r="867" spans="10:11" x14ac:dyDescent="0.35">
      <c r="J867">
        <v>1003096</v>
      </c>
      <c r="K867">
        <v>1</v>
      </c>
    </row>
    <row r="868" spans="10:11" x14ac:dyDescent="0.35">
      <c r="J868">
        <v>1004227</v>
      </c>
      <c r="K868">
        <v>1</v>
      </c>
    </row>
    <row r="869" spans="10:11" x14ac:dyDescent="0.35">
      <c r="J869">
        <v>1002305</v>
      </c>
      <c r="K869">
        <v>1</v>
      </c>
    </row>
    <row r="870" spans="10:11" x14ac:dyDescent="0.35">
      <c r="J870">
        <v>1002585</v>
      </c>
      <c r="K870">
        <v>1</v>
      </c>
    </row>
    <row r="871" spans="10:11" x14ac:dyDescent="0.35">
      <c r="J871">
        <v>1004693</v>
      </c>
      <c r="K871">
        <v>1</v>
      </c>
    </row>
    <row r="872" spans="10:11" x14ac:dyDescent="0.35">
      <c r="J872">
        <v>1004791</v>
      </c>
      <c r="K872">
        <v>1</v>
      </c>
    </row>
    <row r="873" spans="10:11" x14ac:dyDescent="0.35">
      <c r="J873">
        <v>1004863</v>
      </c>
      <c r="K873">
        <v>1</v>
      </c>
    </row>
    <row r="874" spans="10:11" x14ac:dyDescent="0.35">
      <c r="J874">
        <v>1004793</v>
      </c>
      <c r="K874">
        <v>1</v>
      </c>
    </row>
    <row r="875" spans="10:11" x14ac:dyDescent="0.35">
      <c r="J875">
        <v>1004786</v>
      </c>
      <c r="K875">
        <v>1</v>
      </c>
    </row>
    <row r="876" spans="10:11" x14ac:dyDescent="0.35">
      <c r="J876">
        <v>1004790</v>
      </c>
      <c r="K876">
        <v>1</v>
      </c>
    </row>
    <row r="877" spans="10:11" x14ac:dyDescent="0.35">
      <c r="J877">
        <v>1004797</v>
      </c>
      <c r="K877">
        <v>1</v>
      </c>
    </row>
    <row r="878" spans="10:11" x14ac:dyDescent="0.35">
      <c r="J878">
        <v>1004901</v>
      </c>
      <c r="K878">
        <v>1</v>
      </c>
    </row>
    <row r="879" spans="10:11" x14ac:dyDescent="0.35">
      <c r="J879">
        <v>1004905</v>
      </c>
      <c r="K879">
        <v>1</v>
      </c>
    </row>
    <row r="880" spans="10:11" x14ac:dyDescent="0.35">
      <c r="J880">
        <v>1002579</v>
      </c>
      <c r="K880">
        <v>1</v>
      </c>
    </row>
    <row r="881" spans="10:11" x14ac:dyDescent="0.35">
      <c r="J881">
        <v>1002386</v>
      </c>
      <c r="K881">
        <v>1</v>
      </c>
    </row>
    <row r="882" spans="10:11" x14ac:dyDescent="0.35">
      <c r="J882">
        <v>1002601</v>
      </c>
      <c r="K882">
        <v>1</v>
      </c>
    </row>
    <row r="883" spans="10:11" x14ac:dyDescent="0.35">
      <c r="J883">
        <v>1004294</v>
      </c>
      <c r="K883">
        <v>1</v>
      </c>
    </row>
    <row r="884" spans="10:11" x14ac:dyDescent="0.35">
      <c r="J884">
        <v>1004076</v>
      </c>
      <c r="K884">
        <v>1</v>
      </c>
    </row>
    <row r="885" spans="10:11" x14ac:dyDescent="0.35">
      <c r="J885">
        <v>1004099</v>
      </c>
      <c r="K885">
        <v>1</v>
      </c>
    </row>
    <row r="886" spans="10:11" x14ac:dyDescent="0.35">
      <c r="J886">
        <v>1004050</v>
      </c>
      <c r="K886">
        <v>1</v>
      </c>
    </row>
    <row r="887" spans="10:11" x14ac:dyDescent="0.35">
      <c r="J887">
        <v>1002591</v>
      </c>
      <c r="K887">
        <v>1</v>
      </c>
    </row>
    <row r="888" spans="10:11" x14ac:dyDescent="0.35">
      <c r="J888">
        <v>1004904</v>
      </c>
      <c r="K888">
        <v>1</v>
      </c>
    </row>
    <row r="889" spans="10:11" x14ac:dyDescent="0.35">
      <c r="J889">
        <v>1004983</v>
      </c>
      <c r="K889">
        <v>1</v>
      </c>
    </row>
    <row r="890" spans="10:11" x14ac:dyDescent="0.35">
      <c r="J890">
        <v>1004987</v>
      </c>
      <c r="K890">
        <v>1</v>
      </c>
    </row>
    <row r="891" spans="10:11" x14ac:dyDescent="0.35">
      <c r="J891">
        <v>1004909</v>
      </c>
      <c r="K891">
        <v>1</v>
      </c>
    </row>
    <row r="892" spans="10:11" x14ac:dyDescent="0.35">
      <c r="J892">
        <v>1004792</v>
      </c>
      <c r="K892">
        <v>1</v>
      </c>
    </row>
    <row r="893" spans="10:11" x14ac:dyDescent="0.35">
      <c r="J893">
        <v>1004944</v>
      </c>
      <c r="K893">
        <v>1</v>
      </c>
    </row>
    <row r="894" spans="10:11" x14ac:dyDescent="0.35">
      <c r="J894">
        <v>1004906</v>
      </c>
      <c r="K894">
        <v>1</v>
      </c>
    </row>
    <row r="895" spans="10:11" x14ac:dyDescent="0.35">
      <c r="J895">
        <v>1004914</v>
      </c>
      <c r="K895">
        <v>1</v>
      </c>
    </row>
    <row r="896" spans="10:11" x14ac:dyDescent="0.35">
      <c r="J896">
        <v>1000569</v>
      </c>
      <c r="K896">
        <v>1</v>
      </c>
    </row>
    <row r="897" spans="10:11" x14ac:dyDescent="0.35">
      <c r="J897">
        <v>1002289</v>
      </c>
      <c r="K897">
        <v>1</v>
      </c>
    </row>
    <row r="898" spans="10:11" x14ac:dyDescent="0.35">
      <c r="J898">
        <v>1002274</v>
      </c>
      <c r="K898">
        <v>1</v>
      </c>
    </row>
    <row r="899" spans="10:11" x14ac:dyDescent="0.35">
      <c r="J899">
        <v>1002452</v>
      </c>
      <c r="K899">
        <v>1</v>
      </c>
    </row>
    <row r="900" spans="10:11" x14ac:dyDescent="0.35">
      <c r="J900">
        <v>1002596</v>
      </c>
      <c r="K900">
        <v>1</v>
      </c>
    </row>
    <row r="901" spans="10:11" x14ac:dyDescent="0.35">
      <c r="J901">
        <v>1002534</v>
      </c>
      <c r="K901">
        <v>1</v>
      </c>
    </row>
    <row r="902" spans="10:11" x14ac:dyDescent="0.35">
      <c r="J902">
        <v>1005007</v>
      </c>
      <c r="K902">
        <v>1</v>
      </c>
    </row>
    <row r="903" spans="10:11" x14ac:dyDescent="0.35">
      <c r="J903">
        <v>1005003</v>
      </c>
      <c r="K903">
        <v>1</v>
      </c>
    </row>
    <row r="904" spans="10:11" x14ac:dyDescent="0.35">
      <c r="J904">
        <v>1005031</v>
      </c>
      <c r="K904">
        <v>1</v>
      </c>
    </row>
    <row r="905" spans="10:11" x14ac:dyDescent="0.35">
      <c r="J905">
        <v>1005041</v>
      </c>
      <c r="K905">
        <v>1</v>
      </c>
    </row>
    <row r="906" spans="10:11" x14ac:dyDescent="0.35">
      <c r="J906">
        <v>1004990</v>
      </c>
      <c r="K906">
        <v>1</v>
      </c>
    </row>
    <row r="907" spans="10:11" x14ac:dyDescent="0.35">
      <c r="J907">
        <v>1005067</v>
      </c>
      <c r="K907">
        <v>1</v>
      </c>
    </row>
    <row r="908" spans="10:11" x14ac:dyDescent="0.35">
      <c r="J908">
        <v>1005043</v>
      </c>
      <c r="K908">
        <v>1</v>
      </c>
    </row>
    <row r="909" spans="10:11" x14ac:dyDescent="0.35">
      <c r="J909">
        <v>1005068</v>
      </c>
      <c r="K909">
        <v>1</v>
      </c>
    </row>
    <row r="910" spans="10:11" x14ac:dyDescent="0.35">
      <c r="J910">
        <v>1005045</v>
      </c>
      <c r="K910">
        <v>1</v>
      </c>
    </row>
    <row r="911" spans="10:11" x14ac:dyDescent="0.35">
      <c r="J911">
        <v>1005064</v>
      </c>
      <c r="K911">
        <v>1</v>
      </c>
    </row>
    <row r="912" spans="10:11" x14ac:dyDescent="0.35">
      <c r="J912">
        <v>1005050</v>
      </c>
      <c r="K912">
        <v>1</v>
      </c>
    </row>
    <row r="913" spans="10:11" x14ac:dyDescent="0.35">
      <c r="J913">
        <v>1004456</v>
      </c>
      <c r="K913">
        <v>1</v>
      </c>
    </row>
    <row r="914" spans="10:11" x14ac:dyDescent="0.35">
      <c r="J914">
        <v>1002277</v>
      </c>
      <c r="K914">
        <v>1</v>
      </c>
    </row>
    <row r="915" spans="10:11" x14ac:dyDescent="0.35">
      <c r="J915">
        <v>1005008</v>
      </c>
      <c r="K915">
        <v>1</v>
      </c>
    </row>
    <row r="916" spans="10:11" x14ac:dyDescent="0.35">
      <c r="J916">
        <v>1002689</v>
      </c>
      <c r="K916">
        <v>1</v>
      </c>
    </row>
    <row r="917" spans="10:11" x14ac:dyDescent="0.35">
      <c r="J917">
        <v>1002202</v>
      </c>
      <c r="K917">
        <v>1</v>
      </c>
    </row>
    <row r="918" spans="10:11" x14ac:dyDescent="0.35">
      <c r="J918">
        <v>1002019</v>
      </c>
      <c r="K918">
        <v>1</v>
      </c>
    </row>
    <row r="919" spans="10:11" x14ac:dyDescent="0.35">
      <c r="J919">
        <v>1001359</v>
      </c>
      <c r="K919">
        <v>1</v>
      </c>
    </row>
    <row r="920" spans="10:11" x14ac:dyDescent="0.35">
      <c r="J920">
        <v>1003291</v>
      </c>
      <c r="K920">
        <v>1</v>
      </c>
    </row>
    <row r="921" spans="10:11" x14ac:dyDescent="0.35">
      <c r="J921">
        <v>1002345</v>
      </c>
      <c r="K921">
        <v>1</v>
      </c>
    </row>
    <row r="922" spans="10:11" x14ac:dyDescent="0.35">
      <c r="J922">
        <v>1001189</v>
      </c>
      <c r="K922">
        <v>1</v>
      </c>
    </row>
    <row r="923" spans="10:11" x14ac:dyDescent="0.35">
      <c r="J923">
        <v>1004188</v>
      </c>
      <c r="K923">
        <v>1</v>
      </c>
    </row>
    <row r="924" spans="10:11" x14ac:dyDescent="0.35">
      <c r="J924">
        <v>1001099</v>
      </c>
      <c r="K924">
        <v>1</v>
      </c>
    </row>
    <row r="925" spans="10:11" x14ac:dyDescent="0.35">
      <c r="J925">
        <v>1005129</v>
      </c>
      <c r="K925">
        <v>1</v>
      </c>
    </row>
    <row r="926" spans="10:11" x14ac:dyDescent="0.35">
      <c r="J926">
        <v>1004739</v>
      </c>
      <c r="K926">
        <v>1</v>
      </c>
    </row>
    <row r="927" spans="10:11" x14ac:dyDescent="0.35">
      <c r="J927">
        <v>1005164</v>
      </c>
      <c r="K927">
        <v>1</v>
      </c>
    </row>
    <row r="928" spans="10:11" x14ac:dyDescent="0.35">
      <c r="J928">
        <v>1000218</v>
      </c>
      <c r="K928">
        <v>1</v>
      </c>
    </row>
    <row r="929" spans="10:11" x14ac:dyDescent="0.35">
      <c r="J929">
        <v>1002218</v>
      </c>
      <c r="K929">
        <v>1</v>
      </c>
    </row>
  </sheetData>
  <autoFilter ref="J6:K790" xr:uid="{00000000-0009-0000-0000-000003000000}"/>
  <conditionalFormatting sqref="J1:J1048576">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K33"/>
  <sheetViews>
    <sheetView zoomScale="80" zoomScaleNormal="80" workbookViewId="0">
      <pane xSplit="2" ySplit="4" topLeftCell="C5" activePane="bottomRight" state="frozen"/>
      <selection activeCell="E10" sqref="E10"/>
      <selection pane="topRight" activeCell="E10" sqref="E10"/>
      <selection pane="bottomLeft" activeCell="E10" sqref="E10"/>
      <selection pane="bottomRight" activeCell="E31" sqref="E31"/>
    </sheetView>
  </sheetViews>
  <sheetFormatPr defaultColWidth="9.1796875" defaultRowHeight="14.5" outlineLevelRow="1" x14ac:dyDescent="0.35"/>
  <cols>
    <col min="1" max="1" width="9.1796875" style="1"/>
    <col min="2" max="2" width="52.453125" style="1" bestFit="1" customWidth="1"/>
    <col min="3" max="3" width="10.81640625" style="1" bestFit="1" customWidth="1"/>
    <col min="4" max="4" width="13.1796875" style="1" bestFit="1" customWidth="1"/>
    <col min="5" max="5" width="12" style="1" customWidth="1"/>
    <col min="6" max="6" width="10.453125" style="1" bestFit="1" customWidth="1"/>
    <col min="7" max="7" width="10.453125" style="1" customWidth="1"/>
    <col min="8" max="8" width="11.81640625" style="1" bestFit="1" customWidth="1"/>
    <col min="9" max="10" width="10.453125" style="1" customWidth="1"/>
    <col min="11" max="11" width="55" style="1" customWidth="1"/>
    <col min="12" max="16384" width="9.1796875" style="1"/>
  </cols>
  <sheetData>
    <row r="2" spans="1:11" ht="15" thickBot="1" x14ac:dyDescent="0.4">
      <c r="B2" s="2" t="s">
        <v>16</v>
      </c>
    </row>
    <row r="3" spans="1:11" ht="15" thickBot="1" x14ac:dyDescent="0.4">
      <c r="B3" s="2"/>
      <c r="C3" s="144" t="s">
        <v>200</v>
      </c>
      <c r="D3" s="145"/>
      <c r="E3" s="145"/>
      <c r="F3" s="146"/>
      <c r="G3" s="161" t="s">
        <v>201</v>
      </c>
      <c r="H3" s="147"/>
      <c r="I3" s="147"/>
      <c r="J3" s="148"/>
    </row>
    <row r="4" spans="1:11" ht="29.5" thickBot="1" x14ac:dyDescent="0.4">
      <c r="A4" s="108" t="s">
        <v>43</v>
      </c>
      <c r="B4" s="109" t="s">
        <v>40</v>
      </c>
      <c r="C4" s="108" t="s">
        <v>17</v>
      </c>
      <c r="D4" s="110" t="s">
        <v>18</v>
      </c>
      <c r="E4" s="111" t="s">
        <v>127</v>
      </c>
      <c r="F4" s="112" t="s">
        <v>127</v>
      </c>
      <c r="G4" s="108" t="s">
        <v>17</v>
      </c>
      <c r="H4" s="110" t="s">
        <v>18</v>
      </c>
      <c r="I4" s="111" t="s">
        <v>127</v>
      </c>
      <c r="J4" s="112" t="s">
        <v>127</v>
      </c>
      <c r="K4" s="113" t="s">
        <v>145</v>
      </c>
    </row>
    <row r="5" spans="1:11" x14ac:dyDescent="0.35">
      <c r="A5" s="114"/>
      <c r="B5" s="104" t="s">
        <v>49</v>
      </c>
      <c r="C5" s="105"/>
      <c r="D5" s="106"/>
      <c r="E5" s="106"/>
      <c r="F5" s="107"/>
      <c r="G5" s="105"/>
      <c r="H5" s="106"/>
      <c r="I5" s="106"/>
      <c r="J5" s="107"/>
      <c r="K5" s="115"/>
    </row>
    <row r="6" spans="1:11" outlineLevel="1" x14ac:dyDescent="0.35">
      <c r="A6" s="77">
        <v>1</v>
      </c>
      <c r="B6" s="43" t="s">
        <v>0</v>
      </c>
      <c r="C6" s="68">
        <f>'Base Salary Structure'!G9</f>
        <v>82500</v>
      </c>
      <c r="D6" s="69">
        <f>C6*12</f>
        <v>990000</v>
      </c>
      <c r="E6" s="6"/>
      <c r="F6" s="94"/>
      <c r="G6" s="68">
        <f>'Base Salary Structure'!G9</f>
        <v>82500</v>
      </c>
      <c r="H6" s="69">
        <f>G6*12</f>
        <v>990000</v>
      </c>
      <c r="I6" s="6"/>
      <c r="J6" s="94"/>
      <c r="K6" s="116"/>
    </row>
    <row r="7" spans="1:11" outlineLevel="1" x14ac:dyDescent="0.35">
      <c r="A7" s="77">
        <f>A6+1</f>
        <v>2</v>
      </c>
      <c r="B7" s="43" t="s">
        <v>13</v>
      </c>
      <c r="C7" s="68">
        <f>'Base Salary Structure'!G12</f>
        <v>3000</v>
      </c>
      <c r="D7" s="69">
        <f>C7*12</f>
        <v>36000</v>
      </c>
      <c r="E7" s="6"/>
      <c r="F7" s="94"/>
      <c r="G7" s="68">
        <f>'Base Salary Structure'!G12</f>
        <v>3000</v>
      </c>
      <c r="H7" s="69">
        <f>G7*12</f>
        <v>36000</v>
      </c>
      <c r="I7" s="6"/>
      <c r="J7" s="94"/>
      <c r="K7" s="116"/>
    </row>
    <row r="8" spans="1:11" outlineLevel="1" x14ac:dyDescent="0.35">
      <c r="A8" s="77">
        <f t="shared" ref="A8" si="0">A7+1</f>
        <v>3</v>
      </c>
      <c r="B8" s="43" t="s">
        <v>2</v>
      </c>
      <c r="C8" s="68">
        <f>'Base Salary Structure'!G13</f>
        <v>33000</v>
      </c>
      <c r="D8" s="69">
        <f t="shared" ref="D8:D9" si="1">C8*12</f>
        <v>396000</v>
      </c>
      <c r="E8" s="6"/>
      <c r="F8" s="94"/>
      <c r="G8" s="68">
        <f>'Base Salary Structure'!G13</f>
        <v>33000</v>
      </c>
      <c r="H8" s="69">
        <f t="shared" ref="H8:H9" si="2">G8*12</f>
        <v>396000</v>
      </c>
      <c r="I8" s="6"/>
      <c r="J8" s="94"/>
      <c r="K8" s="116"/>
    </row>
    <row r="9" spans="1:11" outlineLevel="1" x14ac:dyDescent="0.35">
      <c r="A9" s="77">
        <v>4</v>
      </c>
      <c r="B9" s="43" t="s">
        <v>48</v>
      </c>
      <c r="C9" s="68">
        <f>'Base Salary Structure'!G21</f>
        <v>46683.333333333343</v>
      </c>
      <c r="D9" s="69">
        <f t="shared" si="1"/>
        <v>560200.00000000012</v>
      </c>
      <c r="E9" s="95"/>
      <c r="F9" s="94"/>
      <c r="G9" s="68">
        <f>'Base Salary Structure'!G21</f>
        <v>46683.333333333343</v>
      </c>
      <c r="H9" s="69">
        <f t="shared" si="2"/>
        <v>560200.00000000012</v>
      </c>
      <c r="I9" s="95"/>
      <c r="J9" s="94"/>
      <c r="K9" s="116"/>
    </row>
    <row r="10" spans="1:11" x14ac:dyDescent="0.35">
      <c r="A10" s="77"/>
      <c r="B10" s="42" t="s">
        <v>101</v>
      </c>
      <c r="C10" s="70">
        <f>SUM(C6:C9)</f>
        <v>165183.33333333334</v>
      </c>
      <c r="D10" s="71">
        <f>SUM(D6:D9)</f>
        <v>1982200</v>
      </c>
      <c r="E10" s="95"/>
      <c r="F10" s="96"/>
      <c r="G10" s="70">
        <f>SUM(G6:G9)</f>
        <v>165183.33333333334</v>
      </c>
      <c r="H10" s="71">
        <f>SUM(H6:H9)</f>
        <v>1982200</v>
      </c>
      <c r="I10" s="95"/>
      <c r="J10" s="96"/>
      <c r="K10" s="116"/>
    </row>
    <row r="11" spans="1:11" x14ac:dyDescent="0.35">
      <c r="A11" s="77"/>
      <c r="B11" s="43"/>
      <c r="C11" s="68"/>
      <c r="D11" s="69"/>
      <c r="E11" s="95"/>
      <c r="F11" s="94"/>
      <c r="G11" s="68"/>
      <c r="H11" s="69"/>
      <c r="I11" s="95"/>
      <c r="J11" s="94"/>
      <c r="K11" s="116"/>
    </row>
    <row r="12" spans="1:11" x14ac:dyDescent="0.35">
      <c r="A12" s="77"/>
      <c r="B12" s="42" t="s">
        <v>20</v>
      </c>
      <c r="C12" s="68"/>
      <c r="D12" s="69"/>
      <c r="E12" s="95"/>
      <c r="F12" s="94"/>
      <c r="G12" s="68"/>
      <c r="H12" s="69"/>
      <c r="I12" s="95"/>
      <c r="J12" s="94"/>
      <c r="K12" s="116"/>
    </row>
    <row r="13" spans="1:11" outlineLevel="1" x14ac:dyDescent="0.35">
      <c r="A13" s="77">
        <v>5</v>
      </c>
      <c r="B13" s="43" t="s">
        <v>202</v>
      </c>
      <c r="C13" s="68">
        <f>'Base Salary Structure'!G15</f>
        <v>0</v>
      </c>
      <c r="D13" s="69">
        <f t="shared" ref="D13:D15" si="3">C13*12</f>
        <v>0</v>
      </c>
      <c r="E13" s="95"/>
      <c r="F13" s="94"/>
      <c r="G13" s="68">
        <f>'Base Salary Structure'!G15</f>
        <v>0</v>
      </c>
      <c r="H13" s="69">
        <f t="shared" ref="H13:H15" si="4">G13*12</f>
        <v>0</v>
      </c>
      <c r="I13" s="95"/>
      <c r="J13" s="94"/>
      <c r="K13" s="116"/>
    </row>
    <row r="14" spans="1:11" outlineLevel="1" x14ac:dyDescent="0.35">
      <c r="A14" s="77">
        <f t="shared" ref="A14:A15" si="5">A13+1</f>
        <v>6</v>
      </c>
      <c r="B14" s="43" t="s">
        <v>203</v>
      </c>
      <c r="C14" s="68">
        <f>'Base Salary Structure'!G16</f>
        <v>0</v>
      </c>
      <c r="D14" s="69">
        <f t="shared" si="3"/>
        <v>0</v>
      </c>
      <c r="E14" s="95"/>
      <c r="F14" s="94"/>
      <c r="G14" s="68">
        <f>'Base Salary Structure'!G16</f>
        <v>0</v>
      </c>
      <c r="H14" s="69">
        <f t="shared" si="4"/>
        <v>0</v>
      </c>
      <c r="I14" s="95"/>
      <c r="J14" s="94"/>
      <c r="K14" s="116"/>
    </row>
    <row r="15" spans="1:11" outlineLevel="1" x14ac:dyDescent="0.35">
      <c r="A15" s="77">
        <f t="shared" si="5"/>
        <v>7</v>
      </c>
      <c r="B15" s="43" t="s">
        <v>19</v>
      </c>
      <c r="C15" s="68">
        <f>'Base Salary Structure'!G17</f>
        <v>0</v>
      </c>
      <c r="D15" s="69">
        <f t="shared" si="3"/>
        <v>0</v>
      </c>
      <c r="E15" s="95"/>
      <c r="F15" s="94"/>
      <c r="G15" s="68">
        <f>'Base Salary Structure'!G17</f>
        <v>0</v>
      </c>
      <c r="H15" s="69">
        <f t="shared" si="4"/>
        <v>0</v>
      </c>
      <c r="I15" s="95"/>
      <c r="J15" s="94"/>
      <c r="K15" s="116"/>
    </row>
    <row r="16" spans="1:11" x14ac:dyDescent="0.35">
      <c r="A16" s="51"/>
      <c r="B16" s="42" t="s">
        <v>102</v>
      </c>
      <c r="C16" s="70">
        <f>SUM(C13:C15)</f>
        <v>0</v>
      </c>
      <c r="D16" s="71">
        <f>SUM(D13:D15)</f>
        <v>0</v>
      </c>
      <c r="E16" s="95"/>
      <c r="F16" s="96"/>
      <c r="G16" s="70">
        <f>SUM(G13:G15)</f>
        <v>0</v>
      </c>
      <c r="H16" s="71">
        <f>SUM(H13:H15)</f>
        <v>0</v>
      </c>
      <c r="I16" s="95"/>
      <c r="J16" s="96"/>
      <c r="K16" s="116"/>
    </row>
    <row r="17" spans="1:11" x14ac:dyDescent="0.35">
      <c r="A17" s="51"/>
      <c r="B17" s="42"/>
      <c r="C17" s="68"/>
      <c r="D17" s="69"/>
      <c r="E17" s="95"/>
      <c r="F17" s="96"/>
      <c r="G17" s="68"/>
      <c r="H17" s="69"/>
      <c r="I17" s="95"/>
      <c r="J17" s="96"/>
      <c r="K17" s="116"/>
    </row>
    <row r="18" spans="1:11" x14ac:dyDescent="0.35">
      <c r="A18" s="51"/>
      <c r="B18" s="43"/>
      <c r="C18" s="68"/>
      <c r="D18" s="69"/>
      <c r="E18" s="95"/>
      <c r="F18" s="94"/>
      <c r="G18" s="68"/>
      <c r="H18" s="69"/>
      <c r="I18" s="95"/>
      <c r="J18" s="94"/>
      <c r="K18" s="116"/>
    </row>
    <row r="19" spans="1:11" x14ac:dyDescent="0.35">
      <c r="A19" s="51"/>
      <c r="B19" s="42" t="s">
        <v>9</v>
      </c>
      <c r="C19" s="68">
        <f>C10+C16</f>
        <v>165183.33333333334</v>
      </c>
      <c r="D19" s="69">
        <f>D10+D16</f>
        <v>1982200</v>
      </c>
      <c r="E19" s="95"/>
      <c r="F19" s="94"/>
      <c r="G19" s="68">
        <f>G10+G16</f>
        <v>165183.33333333334</v>
      </c>
      <c r="H19" s="69">
        <f>H10+H16</f>
        <v>1982200</v>
      </c>
      <c r="I19" s="95"/>
      <c r="J19" s="94"/>
      <c r="K19" s="116"/>
    </row>
    <row r="20" spans="1:11" x14ac:dyDescent="0.35">
      <c r="A20" s="51"/>
      <c r="B20" s="43"/>
      <c r="C20" s="68"/>
      <c r="D20" s="69"/>
      <c r="E20" s="95"/>
      <c r="F20" s="94"/>
      <c r="G20" s="68"/>
      <c r="H20" s="69"/>
      <c r="I20" s="95"/>
      <c r="J20" s="94"/>
      <c r="K20" s="116"/>
    </row>
    <row r="21" spans="1:11" outlineLevel="1" x14ac:dyDescent="0.35">
      <c r="A21" s="51" t="s">
        <v>10</v>
      </c>
      <c r="B21" s="43" t="s">
        <v>11</v>
      </c>
      <c r="C21" s="68">
        <f>'Base Salary Structure'!G19</f>
        <v>9900</v>
      </c>
      <c r="D21" s="69">
        <f>C21*12</f>
        <v>118800</v>
      </c>
      <c r="E21" s="95"/>
      <c r="F21" s="94"/>
      <c r="G21" s="68">
        <f>'Base Salary Structure'!G19</f>
        <v>9900</v>
      </c>
      <c r="H21" s="69">
        <f>G21*12</f>
        <v>118800</v>
      </c>
      <c r="I21" s="95"/>
      <c r="J21" s="94"/>
      <c r="K21" s="116"/>
    </row>
    <row r="22" spans="1:11" outlineLevel="1" x14ac:dyDescent="0.35">
      <c r="A22" s="51" t="s">
        <v>10</v>
      </c>
      <c r="B22" s="43" t="s">
        <v>12</v>
      </c>
      <c r="C22" s="68">
        <f>IF(C19&lt;6000,0,IF(C19&lt;8999,80,IF(C19&lt;11999,150,200)))</f>
        <v>200</v>
      </c>
      <c r="D22" s="69">
        <f t="shared" ref="D22:D24" si="6">C22*12</f>
        <v>2400</v>
      </c>
      <c r="E22" s="95"/>
      <c r="F22" s="94"/>
      <c r="G22" s="68">
        <f>IF(G19&lt;6000,0,IF(G19&lt;8999,80,IF(G19&lt;11999,150,200)))</f>
        <v>200</v>
      </c>
      <c r="H22" s="69">
        <f t="shared" ref="H22:H24" si="7">G22*12</f>
        <v>2400</v>
      </c>
      <c r="I22" s="95"/>
      <c r="J22" s="94"/>
      <c r="K22" s="116"/>
    </row>
    <row r="23" spans="1:11" outlineLevel="1" x14ac:dyDescent="0.35">
      <c r="A23" s="51" t="s">
        <v>14</v>
      </c>
      <c r="B23" s="43" t="s">
        <v>114</v>
      </c>
      <c r="C23" s="68">
        <f>IF((C10+C16)&lt;21000,(C10+C16)*1.75%,0)</f>
        <v>0</v>
      </c>
      <c r="D23" s="69">
        <f t="shared" si="6"/>
        <v>0</v>
      </c>
      <c r="E23" s="95"/>
      <c r="F23" s="94"/>
      <c r="G23" s="68">
        <f>IF((C10+C16)&lt;21000,(C10+C16)*1.75%,0)</f>
        <v>0</v>
      </c>
      <c r="H23" s="69">
        <f t="shared" si="7"/>
        <v>0</v>
      </c>
      <c r="I23" s="95"/>
      <c r="J23" s="94"/>
      <c r="K23" s="116"/>
    </row>
    <row r="24" spans="1:11" outlineLevel="1" x14ac:dyDescent="0.35">
      <c r="A24" s="51" t="s">
        <v>10</v>
      </c>
      <c r="B24" s="43" t="s">
        <v>35</v>
      </c>
      <c r="C24" s="68">
        <f>'Income Tax-Calculator Old Regim'!G54</f>
        <v>14398.833333333334</v>
      </c>
      <c r="D24" s="69">
        <f t="shared" si="6"/>
        <v>172786</v>
      </c>
      <c r="E24" s="95"/>
      <c r="F24" s="94"/>
      <c r="G24" s="68">
        <f>'Income Tax-Calculator New Resim'!G53</f>
        <v>24237.166666666668</v>
      </c>
      <c r="H24" s="69">
        <f t="shared" si="7"/>
        <v>290846</v>
      </c>
      <c r="I24" s="95"/>
      <c r="J24" s="94"/>
      <c r="K24" s="116"/>
    </row>
    <row r="25" spans="1:11" outlineLevel="1" x14ac:dyDescent="0.35">
      <c r="A25" s="51" t="s">
        <v>10</v>
      </c>
      <c r="B25" s="43" t="s">
        <v>228</v>
      </c>
      <c r="C25" s="68">
        <f>'Base Salary Structure'!G23</f>
        <v>0</v>
      </c>
      <c r="D25" s="69">
        <f>'Base Salary Structure'!H23</f>
        <v>0</v>
      </c>
      <c r="E25" s="95"/>
      <c r="F25" s="94"/>
      <c r="G25" s="68">
        <f>C25</f>
        <v>0</v>
      </c>
      <c r="H25" s="69">
        <f>D25</f>
        <v>0</v>
      </c>
      <c r="I25" s="95"/>
      <c r="J25" s="94"/>
      <c r="K25" s="116"/>
    </row>
    <row r="26" spans="1:11" s="2" customFormat="1" x14ac:dyDescent="0.35">
      <c r="A26" s="61"/>
      <c r="B26" s="42" t="s">
        <v>15</v>
      </c>
      <c r="C26" s="71">
        <f>SUM(C21:C25)</f>
        <v>24498.833333333336</v>
      </c>
      <c r="D26" s="71">
        <f>SUM(D21:D25)</f>
        <v>293986</v>
      </c>
      <c r="E26" s="97"/>
      <c r="F26" s="98">
        <f>D26/D33</f>
        <v>0.13363</v>
      </c>
      <c r="G26" s="71">
        <f>SUM(G21:G25)</f>
        <v>34337.166666666672</v>
      </c>
      <c r="H26" s="71">
        <f>SUM(H21:H25)</f>
        <v>412046</v>
      </c>
      <c r="I26" s="97"/>
      <c r="J26" s="98">
        <f>H26/H33</f>
        <v>0.18729363636363636</v>
      </c>
      <c r="K26" s="117"/>
    </row>
    <row r="27" spans="1:11" x14ac:dyDescent="0.35">
      <c r="A27" s="51"/>
      <c r="B27" s="43"/>
      <c r="C27" s="68"/>
      <c r="D27" s="69"/>
      <c r="E27" s="95"/>
      <c r="F27" s="94"/>
      <c r="G27" s="68"/>
      <c r="H27" s="69"/>
      <c r="I27" s="95"/>
      <c r="J27" s="94"/>
      <c r="K27" s="116"/>
    </row>
    <row r="28" spans="1:11" x14ac:dyDescent="0.35">
      <c r="A28" s="51"/>
      <c r="B28" s="43" t="s">
        <v>39</v>
      </c>
      <c r="C28" s="68">
        <f>C19-C26</f>
        <v>140684.5</v>
      </c>
      <c r="D28" s="69">
        <f>D19-D26</f>
        <v>1688214</v>
      </c>
      <c r="E28" s="95"/>
      <c r="F28" s="96">
        <f>D28/D33</f>
        <v>0.76737</v>
      </c>
      <c r="G28" s="68">
        <f>G19-G26</f>
        <v>130846.16666666667</v>
      </c>
      <c r="H28" s="69">
        <f>H19-H26</f>
        <v>1570154</v>
      </c>
      <c r="I28" s="95"/>
      <c r="J28" s="96">
        <f>H28/H33</f>
        <v>0.71370636363636364</v>
      </c>
      <c r="K28" s="116"/>
    </row>
    <row r="29" spans="1:11" ht="28.5" customHeight="1" x14ac:dyDescent="0.35">
      <c r="A29" s="51"/>
      <c r="B29" s="60" t="s">
        <v>54</v>
      </c>
      <c r="C29" s="68">
        <f>C28-C16</f>
        <v>140684.5</v>
      </c>
      <c r="D29" s="69">
        <f>C29*12</f>
        <v>1688214</v>
      </c>
      <c r="E29" s="99">
        <f>D29/D33</f>
        <v>0.76737</v>
      </c>
      <c r="F29" s="94"/>
      <c r="G29" s="68">
        <f>G28-G16</f>
        <v>130846.16666666667</v>
      </c>
      <c r="H29" s="69">
        <f>G29*12</f>
        <v>1570154</v>
      </c>
      <c r="I29" s="99">
        <f>H29/H33</f>
        <v>0.71370636363636364</v>
      </c>
      <c r="J29" s="94"/>
      <c r="K29" s="116"/>
    </row>
    <row r="30" spans="1:11" x14ac:dyDescent="0.35">
      <c r="A30" s="51"/>
      <c r="B30" s="43"/>
      <c r="C30" s="68"/>
      <c r="D30" s="69"/>
      <c r="E30" s="6"/>
      <c r="F30" s="94"/>
      <c r="G30" s="68"/>
      <c r="H30" s="69"/>
      <c r="I30" s="6"/>
      <c r="J30" s="94"/>
      <c r="K30" s="116"/>
    </row>
    <row r="31" spans="1:11" ht="29" x14ac:dyDescent="0.35">
      <c r="A31" s="51"/>
      <c r="B31" s="60" t="s">
        <v>97</v>
      </c>
      <c r="C31" s="72">
        <f>SUM('Base Salary Structure'!G19:G20)</f>
        <v>18150</v>
      </c>
      <c r="D31" s="73">
        <f>C31*12</f>
        <v>217800</v>
      </c>
      <c r="E31" s="100"/>
      <c r="F31" s="101">
        <f>D31/'Base Salary Structure'!H6</f>
        <v>9.9000000000000005E-2</v>
      </c>
      <c r="G31" s="72">
        <f>SUM('Base Salary Structure'!G19:G20)</f>
        <v>18150</v>
      </c>
      <c r="H31" s="73">
        <f>G31*12</f>
        <v>217800</v>
      </c>
      <c r="I31" s="100"/>
      <c r="J31" s="101">
        <f>D31/'Base Salary Structure'!H6</f>
        <v>9.9000000000000005E-2</v>
      </c>
      <c r="K31" s="116"/>
    </row>
    <row r="32" spans="1:11" x14ac:dyDescent="0.35">
      <c r="A32" s="51"/>
      <c r="B32" s="43"/>
      <c r="C32" s="68"/>
      <c r="D32" s="69"/>
      <c r="E32" s="6"/>
      <c r="F32" s="94"/>
      <c r="G32" s="68"/>
      <c r="H32" s="69"/>
      <c r="I32" s="6"/>
      <c r="J32" s="94"/>
      <c r="K32" s="116"/>
    </row>
    <row r="33" spans="1:11" ht="15" thickBot="1" x14ac:dyDescent="0.4">
      <c r="A33" s="52"/>
      <c r="B33" s="118" t="s">
        <v>44</v>
      </c>
      <c r="C33" s="74">
        <f>C31+C16+C10</f>
        <v>183333.33333333334</v>
      </c>
      <c r="D33" s="75">
        <f>D31+D16+D10</f>
        <v>2200000</v>
      </c>
      <c r="E33" s="102"/>
      <c r="F33" s="103">
        <f>F26+F28+F31</f>
        <v>1</v>
      </c>
      <c r="G33" s="74">
        <f>G31+G16+G10</f>
        <v>183333.33333333334</v>
      </c>
      <c r="H33" s="75">
        <f>H31+H16+H10</f>
        <v>2200000</v>
      </c>
      <c r="I33" s="102"/>
      <c r="J33" s="103">
        <f>J26+J28+J31</f>
        <v>1</v>
      </c>
      <c r="K33" s="119"/>
    </row>
  </sheetData>
  <sheetProtection password="F43A" sheet="1" objects="1" scenarios="1"/>
  <mergeCells count="2">
    <mergeCell ref="C3:F3"/>
    <mergeCell ref="G3:J3"/>
  </mergeCells>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AL56"/>
  <sheetViews>
    <sheetView zoomScale="80" zoomScaleNormal="80" workbookViewId="0">
      <pane xSplit="4" ySplit="7" topLeftCell="E31" activePane="bottomRight" state="frozen"/>
      <selection pane="topRight" activeCell="E1" sqref="E1"/>
      <selection pane="bottomLeft" activeCell="A4" sqref="A4"/>
      <selection pane="bottomRight" activeCell="E16" sqref="E16"/>
    </sheetView>
  </sheetViews>
  <sheetFormatPr defaultColWidth="9.1796875" defaultRowHeight="14.5" x14ac:dyDescent="0.35"/>
  <cols>
    <col min="1" max="1" width="5.81640625" style="1" bestFit="1" customWidth="1"/>
    <col min="2" max="2" width="42.81640625" style="1" bestFit="1" customWidth="1"/>
    <col min="3" max="3" width="13.54296875" style="1" bestFit="1" customWidth="1"/>
    <col min="4" max="5" width="11.1796875" style="1" bestFit="1" customWidth="1"/>
    <col min="6" max="6" width="9" style="1" bestFit="1" customWidth="1"/>
    <col min="7" max="7" width="23.1796875" style="1" bestFit="1" customWidth="1"/>
    <col min="8" max="8" width="37.1796875" style="1" bestFit="1" customWidth="1"/>
    <col min="9" max="9" width="9.1796875" style="1"/>
    <col min="10" max="10" width="10.81640625" style="1" hidden="1" customWidth="1"/>
    <col min="11" max="12" width="11.453125" style="1" hidden="1" customWidth="1"/>
    <col min="13" max="14" width="9.1796875" style="1" hidden="1" customWidth="1"/>
    <col min="15" max="15" width="4.54296875" style="1" hidden="1" customWidth="1"/>
    <col min="16" max="16" width="11.6328125" style="1" hidden="1" customWidth="1"/>
    <col min="17" max="19" width="9.1796875" style="1" hidden="1" customWidth="1"/>
    <col min="20" max="20" width="3" style="1" hidden="1" customWidth="1"/>
    <col min="21" max="21" width="9.90625" style="1" hidden="1" customWidth="1"/>
    <col min="22" max="22" width="5.08984375" style="1" hidden="1" customWidth="1"/>
    <col min="23" max="23" width="10.81640625" style="1" hidden="1" customWidth="1"/>
    <col min="24" max="24" width="9.1796875" style="1" hidden="1" customWidth="1"/>
    <col min="25" max="25" width="3" style="1" hidden="1" customWidth="1"/>
    <col min="26" max="26" width="8.81640625" style="1" hidden="1" customWidth="1"/>
    <col min="27" max="27" width="8.54296875" style="1" hidden="1" customWidth="1"/>
    <col min="28" max="29" width="9.1796875" style="1" hidden="1" customWidth="1"/>
    <col min="30" max="33" width="9.1796875" style="1" customWidth="1"/>
    <col min="34" max="34" width="9.1796875" style="1"/>
    <col min="35" max="36" width="10.81640625" style="1" bestFit="1" customWidth="1"/>
    <col min="37" max="37" width="9.1796875" style="1"/>
    <col min="38" max="38" width="2" style="1" bestFit="1" customWidth="1"/>
    <col min="39" max="16384" width="9.1796875" style="1"/>
  </cols>
  <sheetData>
    <row r="2" spans="1:36" x14ac:dyDescent="0.35">
      <c r="A2" s="2"/>
      <c r="G2" s="162" t="s">
        <v>162</v>
      </c>
      <c r="H2" s="163"/>
    </row>
    <row r="3" spans="1:36" x14ac:dyDescent="0.35">
      <c r="A3" s="2"/>
      <c r="B3" s="164" t="s">
        <v>190</v>
      </c>
      <c r="C3" s="164"/>
      <c r="G3" s="5" t="s">
        <v>163</v>
      </c>
      <c r="H3" s="35">
        <v>400000</v>
      </c>
    </row>
    <row r="4" spans="1:36" x14ac:dyDescent="0.35">
      <c r="A4" s="2"/>
      <c r="B4" s="164" t="s">
        <v>235</v>
      </c>
      <c r="C4" s="164"/>
      <c r="G4" s="5" t="s">
        <v>164</v>
      </c>
      <c r="H4" s="31">
        <f>+E11</f>
        <v>396000</v>
      </c>
    </row>
    <row r="5" spans="1:36" x14ac:dyDescent="0.35">
      <c r="G5" s="4" t="s">
        <v>165</v>
      </c>
      <c r="H5" s="31">
        <f>IF(H3&lt;(G9*10/100),0,MIN(P11,P12,H4))</f>
        <v>301000</v>
      </c>
    </row>
    <row r="6" spans="1:36" ht="15" thickBot="1" x14ac:dyDescent="0.4"/>
    <row r="7" spans="1:36" ht="29" x14ac:dyDescent="0.35">
      <c r="A7" s="120" t="s">
        <v>43</v>
      </c>
      <c r="B7" s="121" t="s">
        <v>40</v>
      </c>
      <c r="C7" s="122"/>
      <c r="D7" s="122"/>
      <c r="E7" s="123" t="s">
        <v>41</v>
      </c>
      <c r="F7" s="121" t="s">
        <v>22</v>
      </c>
      <c r="G7" s="121" t="s">
        <v>24</v>
      </c>
      <c r="H7" s="124" t="s">
        <v>23</v>
      </c>
    </row>
    <row r="8" spans="1:36" x14ac:dyDescent="0.35">
      <c r="A8" s="51"/>
      <c r="B8" s="5"/>
      <c r="C8" s="5"/>
      <c r="D8" s="5"/>
      <c r="E8" s="5"/>
      <c r="F8" s="5"/>
      <c r="G8" s="5"/>
      <c r="H8" s="46"/>
      <c r="T8" s="1">
        <v>4</v>
      </c>
      <c r="U8" s="1" t="s">
        <v>171</v>
      </c>
      <c r="V8" s="1">
        <v>30</v>
      </c>
      <c r="W8" s="25">
        <v>44681</v>
      </c>
      <c r="Y8" s="2">
        <f>IF('Base Salary Structure'!F2=1,31,IF('Base Salary Structure'!F2=2,29,IF('Base Salary Structure'!F2=3,31,IF('Base Salary Structure'!F2=4,30,IF('Base Salary Structure'!F2=5,31,IF('Base Salary Structure'!F2=6,30,IF('Base Salary Structure'!F2=7,31,IF('Base Salary Structure'!F2=8,31,IF('Base Salary Structure'!F2=9,30,IF('Base Salary Structure'!F2=10,31,IF('Base Salary Structure'!F2=11,30,IF('Base Salary Structure'!F2=12,31))))))))))))</f>
        <v>30</v>
      </c>
      <c r="Z8" s="139" t="str">
        <f>'Base Salary Structure'!P1</f>
        <v>4/1/2023</v>
      </c>
      <c r="AA8" s="140">
        <v>44652</v>
      </c>
      <c r="AI8" s="139"/>
      <c r="AJ8" s="139"/>
    </row>
    <row r="9" spans="1:36" x14ac:dyDescent="0.35">
      <c r="A9" s="125">
        <v>1</v>
      </c>
      <c r="B9" s="5" t="s">
        <v>0</v>
      </c>
      <c r="C9" s="5"/>
      <c r="D9" s="5"/>
      <c r="E9" s="31">
        <f>IF(AA9&gt;=0,'Base Salary Structure'!H9,('Base Salary Structure'!G9/'Income Tax-Calculator Old Regim'!Y8*'Income Tax-Calculator Old Regim'!Y9+'Base Salary Structure'!G9*'Income Tax-Calculator Old Regim'!Y10))</f>
        <v>990000</v>
      </c>
      <c r="F9" s="31">
        <v>0</v>
      </c>
      <c r="G9" s="31">
        <f>E9-F9</f>
        <v>990000</v>
      </c>
      <c r="H9" s="46"/>
      <c r="T9" s="1">
        <v>5</v>
      </c>
      <c r="U9" s="1" t="s">
        <v>172</v>
      </c>
      <c r="V9" s="1">
        <v>31</v>
      </c>
      <c r="W9" s="25">
        <v>44712</v>
      </c>
      <c r="Y9" s="2">
        <f>+Y8-'Base Salary Structure'!E2+1</f>
        <v>30</v>
      </c>
      <c r="AA9" s="1">
        <f>+AA8-Z8</f>
        <v>-278</v>
      </c>
    </row>
    <row r="10" spans="1:36" x14ac:dyDescent="0.35">
      <c r="A10" s="125">
        <f>A9+1</f>
        <v>2</v>
      </c>
      <c r="B10" s="5" t="s">
        <v>13</v>
      </c>
      <c r="C10" s="5"/>
      <c r="D10" s="5"/>
      <c r="E10" s="31">
        <f>IF(AA9&gt;=0,'Base Salary Structure'!H12,('Base Salary Structure'!G12/'Income Tax-Calculator Old Regim'!Y8*'Income Tax-Calculator Old Regim'!Y9+'Base Salary Structure'!G12*'Income Tax-Calculator Old Regim'!Y10))</f>
        <v>36000</v>
      </c>
      <c r="F10" s="31">
        <v>0</v>
      </c>
      <c r="G10" s="31">
        <f t="shared" ref="G10:G15" si="0">E10-F10</f>
        <v>36000</v>
      </c>
      <c r="H10" s="46"/>
      <c r="T10" s="1">
        <v>6</v>
      </c>
      <c r="U10" s="1" t="s">
        <v>173</v>
      </c>
      <c r="V10" s="1">
        <v>30</v>
      </c>
      <c r="W10" s="25">
        <v>44742</v>
      </c>
      <c r="Y10" s="1">
        <f>IF('Base Salary Structure'!F2=1,2,IF('Base Salary Structure'!F2=2,1,IF('Base Salary Structure'!F2=3,0,IF('Base Salary Structure'!F2=4,11,IF('Base Salary Structure'!F2=5,10,IF('Base Salary Structure'!F2=6,9,IF('Base Salary Structure'!F2=7,8,IF('Base Salary Structure'!F2=8,7,IF('Base Salary Structure'!F2=9,6,IF('Base Salary Structure'!F2=10,5,IF('Base Salary Structure'!F2=11,4,IF('Base Salary Structure'!F2=12,3))))))))))))</f>
        <v>11</v>
      </c>
    </row>
    <row r="11" spans="1:36" x14ac:dyDescent="0.35">
      <c r="A11" s="125">
        <f t="shared" ref="A11:A15" si="1">A10+1</f>
        <v>3</v>
      </c>
      <c r="B11" s="7" t="s">
        <v>2</v>
      </c>
      <c r="C11" s="5"/>
      <c r="D11" s="5"/>
      <c r="E11" s="34">
        <f>IF(AA9&gt;=0,'Base Salary Structure'!H13,('Base Salary Structure'!G13/'Income Tax-Calculator Old Regim'!Y8*'Income Tax-Calculator Old Regim'!Y9+'Base Salary Structure'!G13*'Income Tax-Calculator Old Regim'!Y10))</f>
        <v>396000</v>
      </c>
      <c r="F11" s="34">
        <f>+H5</f>
        <v>301000</v>
      </c>
      <c r="G11" s="34">
        <f t="shared" si="0"/>
        <v>95000</v>
      </c>
      <c r="H11" s="126"/>
      <c r="P11" s="1">
        <f>H3- (E9*10%)</f>
        <v>301000</v>
      </c>
      <c r="T11" s="1">
        <v>7</v>
      </c>
      <c r="U11" s="1" t="s">
        <v>174</v>
      </c>
      <c r="V11" s="1">
        <v>31</v>
      </c>
      <c r="W11" s="25">
        <v>44773</v>
      </c>
    </row>
    <row r="12" spans="1:36" x14ac:dyDescent="0.35">
      <c r="A12" s="125">
        <v>4</v>
      </c>
      <c r="B12" s="5" t="s">
        <v>48</v>
      </c>
      <c r="C12" s="5"/>
      <c r="D12" s="5"/>
      <c r="E12" s="31">
        <f>IF(AA9&gt;=0,'Base Salary Structure'!H21,('Base Salary Structure'!G21/'Income Tax-Calculator Old Regim'!Y8*'Income Tax-Calculator Old Regim'!Y9+'Base Salary Structure'!G21*'Income Tax-Calculator Old Regim'!Y10))</f>
        <v>560200.00000000012</v>
      </c>
      <c r="F12" s="31">
        <v>0</v>
      </c>
      <c r="G12" s="31">
        <f t="shared" si="0"/>
        <v>560200.00000000012</v>
      </c>
      <c r="H12" s="46"/>
      <c r="O12" s="1">
        <f>IF(OR('Base Salary Structure'!C2="Delhi",'Base Salary Structure'!C2="Mumbai",'Base Salary Structure'!C2="Chennai",'Base Salary Structure'!C2="Kolkata"),50,40)</f>
        <v>40</v>
      </c>
      <c r="P12" s="40">
        <f>(E9*O12)/100</f>
        <v>396000</v>
      </c>
      <c r="T12" s="1">
        <v>8</v>
      </c>
      <c r="U12" s="1" t="s">
        <v>175</v>
      </c>
      <c r="V12" s="1">
        <v>31</v>
      </c>
      <c r="W12" s="25">
        <v>44804</v>
      </c>
      <c r="AA12" s="139"/>
    </row>
    <row r="13" spans="1:36" ht="29" x14ac:dyDescent="0.35">
      <c r="A13" s="125">
        <v>5</v>
      </c>
      <c r="B13" s="7" t="s">
        <v>202</v>
      </c>
      <c r="C13" s="7"/>
      <c r="D13" s="7"/>
      <c r="E13" s="34">
        <f>IF(AA9&gt;=0,'Base Salary Structure'!H15,('Base Salary Structure'!G15/'Income Tax-Calculator Old Regim'!Y8*'Income Tax-Calculator Old Regim'!Y9+'Base Salary Structure'!G15*'Income Tax-Calculator Old Regim'!Y10))</f>
        <v>0</v>
      </c>
      <c r="F13" s="34">
        <f t="shared" ref="F13:F15" si="2">E13</f>
        <v>0</v>
      </c>
      <c r="G13" s="34">
        <f t="shared" si="0"/>
        <v>0</v>
      </c>
      <c r="H13" s="126" t="s">
        <v>50</v>
      </c>
      <c r="T13" s="1">
        <v>9</v>
      </c>
      <c r="U13" s="1" t="s">
        <v>176</v>
      </c>
      <c r="V13" s="1">
        <v>30</v>
      </c>
      <c r="W13" s="25">
        <v>44834</v>
      </c>
    </row>
    <row r="14" spans="1:36" ht="29" x14ac:dyDescent="0.35">
      <c r="A14" s="125">
        <f t="shared" si="1"/>
        <v>6</v>
      </c>
      <c r="B14" s="7" t="s">
        <v>203</v>
      </c>
      <c r="C14" s="7"/>
      <c r="D14" s="7"/>
      <c r="E14" s="34">
        <f>IF(AA9&gt;=0,'Base Salary Structure'!H16,('Base Salary Structure'!G16/'Income Tax-Calculator Old Regim'!Y8*'Income Tax-Calculator Old Regim'!Y9+'Base Salary Structure'!G16*'Income Tax-Calculator Old Regim'!Y10))</f>
        <v>0</v>
      </c>
      <c r="F14" s="34">
        <f t="shared" si="2"/>
        <v>0</v>
      </c>
      <c r="G14" s="34">
        <f t="shared" si="0"/>
        <v>0</v>
      </c>
      <c r="H14" s="126" t="s">
        <v>50</v>
      </c>
      <c r="T14" s="1">
        <v>10</v>
      </c>
      <c r="U14" s="1" t="s">
        <v>177</v>
      </c>
      <c r="V14" s="1">
        <v>31</v>
      </c>
      <c r="W14" s="25">
        <v>44865</v>
      </c>
    </row>
    <row r="15" spans="1:36" ht="29" x14ac:dyDescent="0.35">
      <c r="A15" s="125">
        <f t="shared" si="1"/>
        <v>7</v>
      </c>
      <c r="B15" s="7" t="s">
        <v>19</v>
      </c>
      <c r="C15" s="7"/>
      <c r="D15" s="7"/>
      <c r="E15" s="34">
        <f>IF(AA9&gt;=0,'Base Salary Structure'!H17,('Base Salary Structure'!G17/'Income Tax-Calculator Old Regim'!Y8*'Income Tax-Calculator Old Regim'!Y9+'Base Salary Structure'!G17*'Income Tax-Calculator Old Regim'!Y10))</f>
        <v>0</v>
      </c>
      <c r="F15" s="34">
        <f t="shared" si="2"/>
        <v>0</v>
      </c>
      <c r="G15" s="34">
        <f t="shared" si="0"/>
        <v>0</v>
      </c>
      <c r="H15" s="126" t="s">
        <v>50</v>
      </c>
      <c r="T15" s="1">
        <v>11</v>
      </c>
      <c r="U15" s="1" t="s">
        <v>178</v>
      </c>
      <c r="V15" s="1">
        <v>30</v>
      </c>
      <c r="W15" s="25">
        <v>44895</v>
      </c>
    </row>
    <row r="16" spans="1:36" x14ac:dyDescent="0.35">
      <c r="A16" s="125">
        <v>8</v>
      </c>
      <c r="B16" s="7" t="s">
        <v>211</v>
      </c>
      <c r="C16" s="7"/>
      <c r="D16" s="7"/>
      <c r="E16" s="34">
        <f>+P16</f>
        <v>99000</v>
      </c>
      <c r="F16" s="34">
        <v>0</v>
      </c>
      <c r="G16" s="34">
        <f>E16</f>
        <v>99000</v>
      </c>
      <c r="H16" s="126"/>
      <c r="O16" s="129">
        <f>+'Base Salary Structure'!E20</f>
        <v>10</v>
      </c>
      <c r="P16" s="130">
        <f>+E9*O16/100</f>
        <v>99000</v>
      </c>
      <c r="T16" s="1">
        <v>12</v>
      </c>
      <c r="U16" s="1" t="s">
        <v>179</v>
      </c>
      <c r="V16" s="1">
        <v>31</v>
      </c>
      <c r="W16" s="25">
        <v>44926</v>
      </c>
    </row>
    <row r="17" spans="1:23" x14ac:dyDescent="0.35">
      <c r="A17" s="125">
        <v>9</v>
      </c>
      <c r="B17" s="5" t="s">
        <v>166</v>
      </c>
      <c r="C17" s="5"/>
      <c r="D17" s="5"/>
      <c r="E17" s="35">
        <v>0</v>
      </c>
      <c r="F17" s="34">
        <v>0</v>
      </c>
      <c r="G17" s="34">
        <f>+E17</f>
        <v>0</v>
      </c>
      <c r="H17" s="46"/>
      <c r="T17" s="1">
        <v>1</v>
      </c>
      <c r="U17" s="1" t="s">
        <v>180</v>
      </c>
      <c r="V17" s="1">
        <v>31</v>
      </c>
      <c r="W17" s="25">
        <v>44957</v>
      </c>
    </row>
    <row r="18" spans="1:23" x14ac:dyDescent="0.35">
      <c r="A18" s="125">
        <v>10</v>
      </c>
      <c r="B18" s="5" t="s">
        <v>167</v>
      </c>
      <c r="C18" s="5"/>
      <c r="D18" s="5"/>
      <c r="E18" s="35">
        <v>0</v>
      </c>
      <c r="F18" s="34">
        <v>0</v>
      </c>
      <c r="G18" s="34">
        <f>+E18</f>
        <v>0</v>
      </c>
      <c r="H18" s="46"/>
      <c r="T18" s="1">
        <v>2</v>
      </c>
      <c r="U18" s="1" t="s">
        <v>181</v>
      </c>
      <c r="V18" s="1">
        <v>28</v>
      </c>
      <c r="W18" s="25">
        <v>44985</v>
      </c>
    </row>
    <row r="19" spans="1:23" x14ac:dyDescent="0.35">
      <c r="A19" s="125">
        <v>11</v>
      </c>
      <c r="B19" s="4" t="s">
        <v>215</v>
      </c>
      <c r="C19" s="5"/>
      <c r="D19" s="5"/>
      <c r="E19" s="34"/>
      <c r="F19" s="34"/>
      <c r="G19" s="34"/>
      <c r="H19" s="46"/>
      <c r="T19" s="1">
        <v>3</v>
      </c>
      <c r="U19" s="1" t="s">
        <v>182</v>
      </c>
      <c r="V19" s="1">
        <v>31</v>
      </c>
      <c r="W19" s="25">
        <v>45016</v>
      </c>
    </row>
    <row r="20" spans="1:23" x14ac:dyDescent="0.35">
      <c r="A20" s="125" t="s">
        <v>71</v>
      </c>
      <c r="B20" s="5" t="s">
        <v>212</v>
      </c>
      <c r="C20" s="5"/>
      <c r="D20" s="5"/>
      <c r="E20" s="35">
        <v>0</v>
      </c>
      <c r="F20" s="34"/>
      <c r="G20" s="34">
        <f>+E20</f>
        <v>0</v>
      </c>
      <c r="H20" s="46" t="s">
        <v>223</v>
      </c>
    </row>
    <row r="21" spans="1:23" x14ac:dyDescent="0.35">
      <c r="A21" s="125" t="s">
        <v>72</v>
      </c>
      <c r="B21" s="5" t="s">
        <v>218</v>
      </c>
      <c r="C21" s="5"/>
      <c r="D21" s="35">
        <v>0</v>
      </c>
      <c r="E21" s="34"/>
      <c r="F21" s="34"/>
      <c r="G21" s="34"/>
      <c r="H21" s="46"/>
      <c r="W21" s="25"/>
    </row>
    <row r="22" spans="1:23" x14ac:dyDescent="0.35">
      <c r="A22" s="125" t="s">
        <v>216</v>
      </c>
      <c r="B22" s="5" t="s">
        <v>213</v>
      </c>
      <c r="C22" s="5"/>
      <c r="D22" s="35">
        <v>0</v>
      </c>
      <c r="E22" s="34"/>
      <c r="F22" s="34"/>
      <c r="G22" s="34"/>
      <c r="H22" s="46"/>
      <c r="W22" s="25"/>
    </row>
    <row r="23" spans="1:23" x14ac:dyDescent="0.35">
      <c r="A23" s="125" t="s">
        <v>78</v>
      </c>
      <c r="B23" s="5" t="s">
        <v>214</v>
      </c>
      <c r="C23" s="5"/>
      <c r="D23" s="35">
        <v>0</v>
      </c>
      <c r="E23" s="34"/>
      <c r="F23" s="34"/>
      <c r="G23" s="34"/>
      <c r="H23" s="46"/>
      <c r="W23" s="25"/>
    </row>
    <row r="24" spans="1:23" x14ac:dyDescent="0.35">
      <c r="A24" s="125" t="s">
        <v>221</v>
      </c>
      <c r="B24" s="5" t="s">
        <v>222</v>
      </c>
      <c r="C24" s="5"/>
      <c r="D24" s="35">
        <v>0</v>
      </c>
      <c r="E24" s="34"/>
      <c r="F24" s="34"/>
      <c r="G24" s="34"/>
      <c r="H24" s="46"/>
      <c r="W24" s="25"/>
    </row>
    <row r="25" spans="1:23" x14ac:dyDescent="0.35">
      <c r="A25" s="125"/>
      <c r="B25" s="4" t="s">
        <v>55</v>
      </c>
      <c r="C25" s="5"/>
      <c r="D25" s="5"/>
      <c r="E25" s="36">
        <f>SUM(E9:E20)</f>
        <v>2081200</v>
      </c>
      <c r="F25" s="36">
        <f>SUM(F9:F20)</f>
        <v>301000</v>
      </c>
      <c r="G25" s="36">
        <f>SUM(G9:G20)</f>
        <v>1780200</v>
      </c>
      <c r="H25" s="46"/>
    </row>
    <row r="26" spans="1:23" x14ac:dyDescent="0.35">
      <c r="A26" s="125"/>
      <c r="B26" s="5"/>
      <c r="C26" s="5"/>
      <c r="D26" s="5"/>
      <c r="E26" s="8"/>
      <c r="F26" s="8"/>
      <c r="G26" s="8" t="s">
        <v>168</v>
      </c>
      <c r="H26" s="46"/>
    </row>
    <row r="27" spans="1:23" x14ac:dyDescent="0.35">
      <c r="A27" s="125"/>
      <c r="B27" s="5"/>
      <c r="C27" s="5"/>
      <c r="D27" s="5"/>
      <c r="E27" s="8"/>
      <c r="F27" s="8"/>
      <c r="G27" s="8"/>
      <c r="H27" s="46"/>
    </row>
    <row r="28" spans="1:23" ht="43.5" x14ac:dyDescent="0.35">
      <c r="A28" s="125"/>
      <c r="B28" s="5"/>
      <c r="C28" s="7" t="s">
        <v>94</v>
      </c>
      <c r="D28" s="16" t="s">
        <v>111</v>
      </c>
      <c r="E28" s="16" t="s">
        <v>52</v>
      </c>
      <c r="F28" s="5"/>
      <c r="G28" s="5"/>
      <c r="H28" s="46"/>
    </row>
    <row r="29" spans="1:23" x14ac:dyDescent="0.35">
      <c r="A29" s="125" t="s">
        <v>10</v>
      </c>
      <c r="B29" s="5" t="s">
        <v>150</v>
      </c>
      <c r="C29" s="7"/>
      <c r="D29" s="37"/>
      <c r="E29" s="37"/>
      <c r="F29" s="31"/>
      <c r="G29" s="31">
        <v>50000</v>
      </c>
      <c r="H29" s="46"/>
    </row>
    <row r="30" spans="1:23" ht="29" x14ac:dyDescent="0.35">
      <c r="A30" s="125" t="s">
        <v>10</v>
      </c>
      <c r="B30" s="16" t="s">
        <v>25</v>
      </c>
      <c r="C30" s="5"/>
      <c r="D30" s="127"/>
      <c r="E30" s="31"/>
      <c r="F30" s="31"/>
      <c r="G30" s="34">
        <f>IF(U34+D23+'Base Salary Structure'!H23&gt;150000,150000,U34+D23+'Base Salary Structure'!H23)</f>
        <v>118800</v>
      </c>
      <c r="H30" s="46"/>
    </row>
    <row r="31" spans="1:23" ht="45.75" customHeight="1" x14ac:dyDescent="0.35">
      <c r="A31" s="125" t="s">
        <v>10</v>
      </c>
      <c r="B31" s="9" t="s">
        <v>217</v>
      </c>
      <c r="C31" s="16" t="s">
        <v>27</v>
      </c>
      <c r="D31" s="34">
        <f>150000-G30</f>
        <v>31200</v>
      </c>
      <c r="E31" s="39">
        <v>70000</v>
      </c>
      <c r="F31" s="34"/>
      <c r="G31" s="34">
        <f>IF(E31&gt;D31,D31,E31)</f>
        <v>31200</v>
      </c>
      <c r="H31" s="46"/>
    </row>
    <row r="32" spans="1:23" x14ac:dyDescent="0.35">
      <c r="A32" s="125" t="s">
        <v>10</v>
      </c>
      <c r="B32" s="9" t="s">
        <v>26</v>
      </c>
      <c r="C32" s="5" t="s">
        <v>27</v>
      </c>
      <c r="D32" s="34">
        <v>50000</v>
      </c>
      <c r="E32" s="39">
        <v>50000</v>
      </c>
      <c r="F32" s="31"/>
      <c r="G32" s="31">
        <f>E32</f>
        <v>50000</v>
      </c>
      <c r="H32" s="46"/>
    </row>
    <row r="33" spans="1:21" x14ac:dyDescent="0.35">
      <c r="A33" s="125" t="s">
        <v>10</v>
      </c>
      <c r="B33" s="9" t="s">
        <v>169</v>
      </c>
      <c r="C33" s="5"/>
      <c r="D33" s="34"/>
      <c r="E33" s="31"/>
      <c r="F33" s="31"/>
      <c r="G33" s="31">
        <f>+G16+D24</f>
        <v>99000</v>
      </c>
      <c r="H33" s="46"/>
    </row>
    <row r="34" spans="1:21" x14ac:dyDescent="0.35">
      <c r="A34" s="125" t="s">
        <v>10</v>
      </c>
      <c r="B34" s="9" t="s">
        <v>28</v>
      </c>
      <c r="C34" s="5" t="s">
        <v>27</v>
      </c>
      <c r="D34" s="31"/>
      <c r="E34" s="35">
        <v>200000</v>
      </c>
      <c r="F34" s="31"/>
      <c r="G34" s="31">
        <f>IF(E34&gt;200000,200000,E34)</f>
        <v>200000</v>
      </c>
      <c r="H34" s="46"/>
      <c r="U34" s="1">
        <f>IF(AA9&gt;=0,'Base Salary Structure'!H19,('Base Salary Structure'!G19/'Income Tax-Calculator Old Regim'!Y8*'Income Tax-Calculator Old Regim'!Y9+'Base Salary Structure'!G19*'Income Tax-Calculator Old Regim'!Y10))</f>
        <v>118800</v>
      </c>
    </row>
    <row r="35" spans="1:21" x14ac:dyDescent="0.35">
      <c r="A35" s="125" t="s">
        <v>10</v>
      </c>
      <c r="B35" s="9" t="s">
        <v>204</v>
      </c>
      <c r="C35" s="5"/>
      <c r="D35" s="31"/>
      <c r="E35" s="35">
        <v>0</v>
      </c>
      <c r="F35" s="31"/>
      <c r="G35" s="31">
        <f>E35</f>
        <v>0</v>
      </c>
      <c r="H35" s="46"/>
    </row>
    <row r="36" spans="1:21" x14ac:dyDescent="0.35">
      <c r="A36" s="125" t="s">
        <v>10</v>
      </c>
      <c r="B36" s="9" t="s">
        <v>205</v>
      </c>
      <c r="C36" s="5"/>
      <c r="D36" s="31"/>
      <c r="E36" s="35">
        <v>0</v>
      </c>
      <c r="F36" s="31"/>
      <c r="G36" s="31">
        <f>E36</f>
        <v>0</v>
      </c>
      <c r="H36" s="46"/>
    </row>
    <row r="37" spans="1:21" x14ac:dyDescent="0.35">
      <c r="A37" s="125" t="s">
        <v>10</v>
      </c>
      <c r="B37" s="9" t="s">
        <v>37</v>
      </c>
      <c r="C37" s="5"/>
      <c r="D37" s="31"/>
      <c r="E37" s="31"/>
      <c r="F37" s="31"/>
      <c r="G37" s="31">
        <v>0</v>
      </c>
      <c r="H37" s="46"/>
    </row>
    <row r="38" spans="1:21" ht="72.5" x14ac:dyDescent="0.35">
      <c r="A38" s="125" t="s">
        <v>10</v>
      </c>
      <c r="B38" s="16" t="s">
        <v>36</v>
      </c>
      <c r="C38" s="16" t="s">
        <v>27</v>
      </c>
      <c r="D38" s="31"/>
      <c r="E38" s="39">
        <v>50000</v>
      </c>
      <c r="F38" s="31"/>
      <c r="G38" s="31">
        <f>IF((E38+G37)&gt;75000,75000,E38)</f>
        <v>50000</v>
      </c>
      <c r="H38" s="126" t="s">
        <v>170</v>
      </c>
    </row>
    <row r="39" spans="1:21" x14ac:dyDescent="0.35">
      <c r="A39" s="125" t="s">
        <v>10</v>
      </c>
      <c r="B39" s="7" t="s">
        <v>38</v>
      </c>
      <c r="C39" s="16" t="s">
        <v>27</v>
      </c>
      <c r="D39" s="31"/>
      <c r="E39" s="39">
        <v>0</v>
      </c>
      <c r="F39" s="31"/>
      <c r="G39" s="31">
        <f>E39</f>
        <v>0</v>
      </c>
      <c r="H39" s="126"/>
    </row>
    <row r="40" spans="1:21" x14ac:dyDescent="0.35">
      <c r="A40" s="125" t="s">
        <v>128</v>
      </c>
      <c r="B40" s="7" t="s">
        <v>129</v>
      </c>
      <c r="C40" s="16"/>
      <c r="D40" s="31"/>
      <c r="E40" s="31"/>
      <c r="F40" s="31"/>
      <c r="G40" s="31">
        <f>IF(AA9&gt;=0,'Cash -Calculator'!D22,('Cash -Calculator'!C22/'Income Tax-Calculator Old Regim'!Y8*'Income Tax-Calculator Old Regim'!Y9+'Cash -Calculator'!C22*'Income Tax-Calculator Old Regim'!Y10))+D22</f>
        <v>2400</v>
      </c>
      <c r="H40" s="126"/>
    </row>
    <row r="41" spans="1:21" x14ac:dyDescent="0.35">
      <c r="A41" s="125"/>
      <c r="B41" s="5" t="s">
        <v>15</v>
      </c>
      <c r="C41" s="5"/>
      <c r="D41" s="31"/>
      <c r="E41" s="31"/>
      <c r="F41" s="31"/>
      <c r="G41" s="31">
        <f>IF((G30+G31)&lt;150000,G30+G31,150000)+'Income Tax-Calculator Old Regim'!G32+'Income Tax-Calculator Old Regim'!G34+G35+G36+'Income Tax-Calculator Old Regim'!G37+'Income Tax-Calculator Old Regim'!G38+'Income Tax-Calculator Old Regim'!G39+G40+G29+G33</f>
        <v>601400</v>
      </c>
      <c r="H41" s="46"/>
    </row>
    <row r="42" spans="1:21" x14ac:dyDescent="0.35">
      <c r="A42" s="125"/>
      <c r="B42" s="5"/>
      <c r="C42" s="5"/>
      <c r="D42" s="31"/>
      <c r="E42" s="31"/>
      <c r="F42" s="31"/>
      <c r="G42" s="31"/>
      <c r="H42" s="46"/>
    </row>
    <row r="43" spans="1:21" x14ac:dyDescent="0.35">
      <c r="A43" s="125"/>
      <c r="B43" s="4" t="s">
        <v>29</v>
      </c>
      <c r="C43" s="4"/>
      <c r="D43" s="36"/>
      <c r="E43" s="36"/>
      <c r="F43" s="36"/>
      <c r="G43" s="36">
        <f>G25-G41</f>
        <v>1178800</v>
      </c>
      <c r="H43" s="46"/>
    </row>
    <row r="44" spans="1:21" x14ac:dyDescent="0.35">
      <c r="A44" s="125"/>
      <c r="B44" s="5"/>
      <c r="C44" s="5"/>
      <c r="D44" s="31"/>
      <c r="E44" s="31"/>
      <c r="F44" s="31"/>
      <c r="G44" s="31"/>
      <c r="H44" s="46"/>
    </row>
    <row r="45" spans="1:21" x14ac:dyDescent="0.35">
      <c r="A45" s="125"/>
      <c r="B45" s="5" t="s">
        <v>30</v>
      </c>
      <c r="C45" s="5"/>
      <c r="D45" s="31"/>
      <c r="E45" s="31"/>
      <c r="F45" s="31"/>
      <c r="G45" s="31">
        <f>IF(G43&gt;1000000,(G43-1000000)*0.3+112500,IF(G43&gt;500000,(G43-500000)*0.2+12500,IF(G43&gt;250000,(G43-250000)*0.05,0)))</f>
        <v>166140</v>
      </c>
      <c r="H45" s="46"/>
    </row>
    <row r="46" spans="1:21" x14ac:dyDescent="0.35">
      <c r="A46" s="51"/>
      <c r="B46" s="5" t="s">
        <v>31</v>
      </c>
      <c r="C46" s="5"/>
      <c r="D46" s="31"/>
      <c r="E46" s="31"/>
      <c r="F46" s="31"/>
      <c r="G46" s="31">
        <f>IF(G43&gt;50000000,G45*37%,IF(G43&gt;20000000,G45*25%,IF(G43&gt;10000000,G45*15%,IF(G43&gt;5000000,G45*10%,0))))</f>
        <v>0</v>
      </c>
      <c r="H46" s="46"/>
    </row>
    <row r="47" spans="1:21" x14ac:dyDescent="0.35">
      <c r="A47" s="51"/>
      <c r="B47" s="5" t="s">
        <v>184</v>
      </c>
      <c r="C47" s="5"/>
      <c r="D47" s="31"/>
      <c r="E47" s="31"/>
      <c r="F47" s="31"/>
      <c r="G47" s="36">
        <f>+G45+G46</f>
        <v>166140</v>
      </c>
      <c r="H47" s="46"/>
    </row>
    <row r="48" spans="1:21" x14ac:dyDescent="0.35">
      <c r="A48" s="51"/>
      <c r="B48" s="5" t="s">
        <v>185</v>
      </c>
      <c r="C48" s="5"/>
      <c r="D48" s="31"/>
      <c r="E48" s="31"/>
      <c r="F48" s="31"/>
      <c r="G48" s="31">
        <f>IF(G43&lt;=500000,IF(G45&lt;0,0,IF(G45&gt;12500,12500,G45)),0)</f>
        <v>0</v>
      </c>
      <c r="H48" s="46"/>
    </row>
    <row r="49" spans="1:38" x14ac:dyDescent="0.35">
      <c r="A49" s="51"/>
      <c r="B49" s="5" t="s">
        <v>32</v>
      </c>
      <c r="C49" s="5"/>
      <c r="D49" s="31"/>
      <c r="E49" s="31"/>
      <c r="F49" s="31"/>
      <c r="G49" s="31">
        <f>(G47-G48)*4%</f>
        <v>6645.6</v>
      </c>
      <c r="H49" s="46"/>
    </row>
    <row r="50" spans="1:38" x14ac:dyDescent="0.35">
      <c r="A50" s="51"/>
      <c r="B50" s="4" t="s">
        <v>33</v>
      </c>
      <c r="C50" s="5"/>
      <c r="D50" s="31"/>
      <c r="E50" s="31"/>
      <c r="F50" s="31"/>
      <c r="G50" s="36">
        <f>ROUND((G47+G49-G48),0)</f>
        <v>172786</v>
      </c>
      <c r="H50" s="46"/>
    </row>
    <row r="51" spans="1:38" x14ac:dyDescent="0.35">
      <c r="A51" s="51"/>
      <c r="B51" s="5" t="s">
        <v>219</v>
      </c>
      <c r="C51" s="5"/>
      <c r="D51" s="31"/>
      <c r="E51" s="31"/>
      <c r="F51" s="31"/>
      <c r="G51" s="31">
        <f>+D21</f>
        <v>0</v>
      </c>
      <c r="H51" s="46"/>
    </row>
    <row r="52" spans="1:38" x14ac:dyDescent="0.35">
      <c r="A52" s="51"/>
      <c r="B52" s="4" t="s">
        <v>220</v>
      </c>
      <c r="C52" s="5"/>
      <c r="D52" s="31"/>
      <c r="E52" s="31"/>
      <c r="F52" s="31"/>
      <c r="G52" s="36">
        <f>+G50-G51</f>
        <v>172786</v>
      </c>
      <c r="H52" s="46"/>
    </row>
    <row r="53" spans="1:38" x14ac:dyDescent="0.35">
      <c r="A53" s="51"/>
      <c r="B53" s="5"/>
      <c r="C53" s="5"/>
      <c r="D53" s="31"/>
      <c r="E53" s="31"/>
      <c r="F53" s="31"/>
      <c r="G53" s="31"/>
      <c r="H53" s="46"/>
    </row>
    <row r="54" spans="1:38" x14ac:dyDescent="0.35">
      <c r="A54" s="51"/>
      <c r="B54" s="5" t="s">
        <v>34</v>
      </c>
      <c r="C54" s="5"/>
      <c r="D54" s="31"/>
      <c r="E54" s="31"/>
      <c r="F54" s="31"/>
      <c r="G54" s="31">
        <f>IF(G52&lt;0,0,G52/W54)</f>
        <v>14398.833333333334</v>
      </c>
      <c r="H54" s="46"/>
      <c r="U54" s="1">
        <f>+'Base Salary Structure'!F2</f>
        <v>4</v>
      </c>
      <c r="V54" s="1">
        <f>+'Base Salary Structure'!G2</f>
        <v>2023</v>
      </c>
      <c r="W54" s="1">
        <f>IF(AND(U54=12,V54=2020),4,IF(AND(U54=1,V54=2021),3,IF(AND(U54=2,V54=2021),2,IF(AND(U54=3,V54=2021),1,IF(AND(U54=4,V54=2020),12,IF(AND(U54=5,V54=2020),11,IF(AND(U54=6,V54=2020),10,IF(AND(U54=7,V54=2020),9,IF(AND(U54=8,V54=2020),8,IF(AND(U54=9,V54=2020),7,IF(AND(U54=10,V54=2020),6,IF(AND(U54=11,V54=2020),5,12))))))))))))</f>
        <v>12</v>
      </c>
      <c r="AL54" s="1">
        <f>+'Base Salary Structure'!F2</f>
        <v>4</v>
      </c>
    </row>
    <row r="55" spans="1:38" x14ac:dyDescent="0.35">
      <c r="A55" s="51"/>
      <c r="B55" s="5"/>
      <c r="C55" s="5"/>
      <c r="D55" s="5"/>
      <c r="E55" s="5"/>
      <c r="F55" s="5"/>
      <c r="G55" s="5"/>
      <c r="H55" s="46"/>
    </row>
    <row r="56" spans="1:38" ht="15" thickBot="1" x14ac:dyDescent="0.4">
      <c r="A56" s="52"/>
      <c r="B56" s="53" t="s">
        <v>123</v>
      </c>
      <c r="C56" s="53"/>
      <c r="D56" s="53"/>
      <c r="E56" s="53"/>
      <c r="F56" s="53"/>
      <c r="G56" s="128">
        <f>G50/'Base Salary Structure'!H6</f>
        <v>7.8539090909090906E-2</v>
      </c>
      <c r="H56" s="79"/>
    </row>
  </sheetData>
  <sheetProtection algorithmName="SHA-512" hashValue="AMux2/1tYz3xtVT7l966vLgPzOUJbIMFeS9suPE6Hm297EE9iYticrmKuJEBd8itS95buV8D62riVhqPbpGJHA==" saltValue="TlIkmNRPreYDdNHQ1ToWvw==" spinCount="100000" sheet="1" objects="1" scenarios="1"/>
  <mergeCells count="3">
    <mergeCell ref="G2:H2"/>
    <mergeCell ref="B3:C3"/>
    <mergeCell ref="B4:C4"/>
  </mergeCells>
  <dataValidations xWindow="525" yWindow="422" count="7">
    <dataValidation type="whole" operator="lessThan" allowBlank="1" showInputMessage="1" showErrorMessage="1" error="Value shold Not be greater than D31" sqref="E31" xr:uid="{00000000-0002-0000-0500-000000000000}">
      <formula1>+D31+1</formula1>
    </dataValidation>
    <dataValidation type="whole" allowBlank="1" showInputMessage="1" showErrorMessage="1" error="Not Greater than Rs.50000" prompt="Range 0-50000" sqref="E32" xr:uid="{00000000-0002-0000-0500-000001000000}">
      <formula1>0</formula1>
      <formula2>50000</formula2>
    </dataValidation>
    <dataValidation type="whole" allowBlank="1" showInputMessage="1" showErrorMessage="1" error="The maximum value allowed is Rs.75000" prompt="The maximum allowed amount is Rs.25000 for self and family. Further additional 25000 allowed for non senior citizen parents and Rs.50000 for senior citizen parents" sqref="E38" xr:uid="{00000000-0002-0000-0500-000002000000}">
      <formula1>0</formula1>
      <formula2>75000</formula2>
    </dataValidation>
    <dataValidation type="whole" allowBlank="1" showInputMessage="1" showErrorMessage="1" prompt="Other deduction e.g. Sec.80U, Loss from House Property etc i.e. Rent received - Interest on Loan" sqref="E40" xr:uid="{00000000-0002-0000-0500-000003000000}">
      <formula1>0</formula1>
      <formula2>10000000</formula2>
    </dataValidation>
    <dataValidation type="whole" allowBlank="1" showInputMessage="1" showErrorMessage="1" error="Greater than Rs.250000 not allowed" prompt="Range 0-250000. If Loan taken in FY 2016-17 and house value is less than Rs.50 Lac &amp; maximum loan take is Rs.35 Lac than maximum interest deduction is Rs.2.5 Lac else it would be Rs.2 Lac" sqref="E34" xr:uid="{00000000-0002-0000-0500-000004000000}">
      <formula1>0</formula1>
      <formula2>250000</formula2>
    </dataValidation>
    <dataValidation type="whole" allowBlank="1" showInputMessage="1" showErrorMessage="1" error="Greater than Rs.250000 not allowed" sqref="E35:E36" xr:uid="{00000000-0002-0000-0500-000005000000}">
      <formula1>0</formula1>
      <formula2>250000</formula2>
    </dataValidation>
    <dataValidation type="whole" allowBlank="1" showInputMessage="1" showErrorMessage="1" sqref="E39" xr:uid="{00000000-0002-0000-0500-000006000000}">
      <formula1>0</formula1>
      <formula2>10000000</formula2>
    </dataValidation>
  </dataValidations>
  <pageMargins left="0.7" right="0.7" top="0.75" bottom="0.75" header="0.3" footer="0.3"/>
  <pageSetup orientation="portrait" horizontalDpi="0" verticalDpi="0" r:id="rId1"/>
  <ignoredErrors>
    <ignoredError sqref="G33" formula="1"/>
  </ignoredError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AG55"/>
  <sheetViews>
    <sheetView zoomScale="68" zoomScaleNormal="68" workbookViewId="0">
      <pane xSplit="4" ySplit="7" topLeftCell="E8" activePane="bottomRight" state="frozen"/>
      <selection pane="topRight" activeCell="E1" sqref="E1"/>
      <selection pane="bottomLeft" activeCell="A4" sqref="A4"/>
      <selection pane="bottomRight" activeCell="H34" sqref="H34"/>
    </sheetView>
  </sheetViews>
  <sheetFormatPr defaultColWidth="9.1796875" defaultRowHeight="14.5" x14ac:dyDescent="0.35"/>
  <cols>
    <col min="1" max="1" width="6.453125" style="1" customWidth="1"/>
    <col min="2" max="2" width="44.1796875" style="1" customWidth="1"/>
    <col min="3" max="3" width="15.81640625" style="1" customWidth="1"/>
    <col min="4" max="5" width="11.1796875" style="1" customWidth="1"/>
    <col min="6" max="6" width="11.453125" style="1" customWidth="1"/>
    <col min="7" max="7" width="27.1796875" style="1" customWidth="1"/>
    <col min="8" max="8" width="48.90625" style="1" bestFit="1" customWidth="1"/>
    <col min="9" max="9" width="9.1796875" style="1"/>
    <col min="10" max="10" width="0" style="1" hidden="1" customWidth="1"/>
    <col min="11" max="11" width="23.1796875" style="1" hidden="1" customWidth="1"/>
    <col min="12" max="12" width="11.453125" style="1" hidden="1" customWidth="1"/>
    <col min="13" max="13" width="9.1796875" style="1" hidden="1" customWidth="1"/>
    <col min="14" max="14" width="2.1796875" style="1" hidden="1" customWidth="1"/>
    <col min="15" max="15" width="5.54296875" style="1" hidden="1" customWidth="1"/>
    <col min="16" max="16" width="12.1796875" style="1" hidden="1" customWidth="1"/>
    <col min="17" max="19" width="9.1796875" style="1" hidden="1" customWidth="1"/>
    <col min="20" max="20" width="3.36328125" style="1" hidden="1" customWidth="1"/>
    <col min="21" max="21" width="10.08984375" style="1" hidden="1" customWidth="1"/>
    <col min="22" max="22" width="3.36328125" style="1" hidden="1" customWidth="1"/>
    <col min="23" max="23" width="11.54296875" style="1" hidden="1" customWidth="1"/>
    <col min="24" max="24" width="9.1796875" style="1" hidden="1" customWidth="1"/>
    <col min="25" max="25" width="3.36328125" style="1" hidden="1" customWidth="1"/>
    <col min="26" max="26" width="9.36328125" style="1" hidden="1" customWidth="1"/>
    <col min="27" max="27" width="11.90625" style="1" hidden="1" customWidth="1"/>
    <col min="28" max="28" width="9.1796875" style="1" hidden="1" customWidth="1"/>
    <col min="29" max="29" width="0" style="1" hidden="1" customWidth="1"/>
    <col min="30" max="33" width="9.1796875" style="1" hidden="1" customWidth="1"/>
    <col min="34" max="16384" width="9.1796875" style="1"/>
  </cols>
  <sheetData>
    <row r="2" spans="1:27" x14ac:dyDescent="0.35">
      <c r="A2" s="2"/>
    </row>
    <row r="3" spans="1:27" x14ac:dyDescent="0.35">
      <c r="A3" s="2"/>
      <c r="B3" s="164" t="s">
        <v>190</v>
      </c>
      <c r="C3" s="164"/>
    </row>
    <row r="4" spans="1:27" x14ac:dyDescent="0.35">
      <c r="A4" s="2"/>
      <c r="B4" s="164" t="s">
        <v>235</v>
      </c>
      <c r="C4" s="164"/>
    </row>
    <row r="7" spans="1:27" ht="29" x14ac:dyDescent="0.35">
      <c r="A7" s="22" t="s">
        <v>43</v>
      </c>
      <c r="B7" s="23" t="s">
        <v>40</v>
      </c>
      <c r="C7" s="24"/>
      <c r="D7" s="24"/>
      <c r="E7" s="22" t="s">
        <v>41</v>
      </c>
      <c r="F7" s="23" t="s">
        <v>22</v>
      </c>
      <c r="G7" s="23" t="s">
        <v>24</v>
      </c>
      <c r="H7" s="24" t="s">
        <v>23</v>
      </c>
    </row>
    <row r="8" spans="1:27" x14ac:dyDescent="0.35">
      <c r="A8" s="5"/>
      <c r="B8" s="5"/>
      <c r="C8" s="5"/>
      <c r="D8" s="5"/>
      <c r="E8" s="5"/>
      <c r="F8" s="5"/>
      <c r="G8" s="5"/>
      <c r="H8" s="5"/>
      <c r="T8" s="1">
        <v>4</v>
      </c>
      <c r="U8" s="1" t="s">
        <v>171</v>
      </c>
      <c r="V8" s="1">
        <v>30</v>
      </c>
      <c r="W8" s="25">
        <v>44681</v>
      </c>
      <c r="Y8" s="2">
        <f>IF('Base Salary Structure'!F2=1,31,IF('Base Salary Structure'!F2=2,29,IF('Base Salary Structure'!F2=3,31,IF('Base Salary Structure'!F2=4,30,IF('Base Salary Structure'!F2=5,31,IF('Base Salary Structure'!F2=6,30,IF('Base Salary Structure'!F2=7,31,IF('Base Salary Structure'!F2=8,31,IF('Base Salary Structure'!F2=9,30,IF('Base Salary Structure'!F2=10,31,IF('Base Salary Structure'!F2=11,30,IF('Base Salary Structure'!F2=12,31))))))))))))</f>
        <v>30</v>
      </c>
      <c r="Z8" s="1" t="str">
        <f>'Base Salary Structure'!P1</f>
        <v>4/1/2023</v>
      </c>
      <c r="AA8" s="140">
        <v>44652</v>
      </c>
    </row>
    <row r="9" spans="1:27" x14ac:dyDescent="0.35">
      <c r="A9" s="15">
        <v>1</v>
      </c>
      <c r="B9" s="5" t="s">
        <v>0</v>
      </c>
      <c r="C9" s="5"/>
      <c r="D9" s="5"/>
      <c r="E9" s="31">
        <f>IF(AA9&gt;=0,'Base Salary Structure'!H9,('Base Salary Structure'!G9/'Income Tax-Calculator New Resim'!Y8*'Income Tax-Calculator New Resim'!Y9+'Base Salary Structure'!G9*'Income Tax-Calculator New Resim'!Y10))</f>
        <v>990000</v>
      </c>
      <c r="F9" s="31">
        <v>0</v>
      </c>
      <c r="G9" s="31">
        <f>E9-F9</f>
        <v>990000</v>
      </c>
      <c r="H9" s="5"/>
      <c r="T9" s="1">
        <v>5</v>
      </c>
      <c r="U9" s="1" t="s">
        <v>172</v>
      </c>
      <c r="V9" s="1">
        <v>31</v>
      </c>
      <c r="W9" s="25">
        <v>44712</v>
      </c>
      <c r="Y9" s="2">
        <f>+Y8-'Base Salary Structure'!E2+1</f>
        <v>30</v>
      </c>
      <c r="AA9" s="1">
        <f>+AA8-Z8</f>
        <v>-278</v>
      </c>
    </row>
    <row r="10" spans="1:27" x14ac:dyDescent="0.35">
      <c r="A10" s="15">
        <f>A9+1</f>
        <v>2</v>
      </c>
      <c r="B10" s="5" t="s">
        <v>13</v>
      </c>
      <c r="C10" s="5"/>
      <c r="D10" s="5"/>
      <c r="E10" s="31">
        <f>IF(AA9&gt;=0,'Base Salary Structure'!H12,('Base Salary Structure'!G12/'Income Tax-Calculator New Resim'!Y8*'Income Tax-Calculator New Resim'!Y9+'Base Salary Structure'!G12*'Income Tax-Calculator New Resim'!Y10))</f>
        <v>36000</v>
      </c>
      <c r="F10" s="31">
        <v>0</v>
      </c>
      <c r="G10" s="31">
        <f t="shared" ref="G10:G16" si="0">E10-F10</f>
        <v>36000</v>
      </c>
      <c r="H10" s="5"/>
      <c r="T10" s="1">
        <v>6</v>
      </c>
      <c r="U10" s="1" t="s">
        <v>173</v>
      </c>
      <c r="V10" s="1">
        <v>30</v>
      </c>
      <c r="W10" s="25">
        <v>44742</v>
      </c>
      <c r="Y10" s="1">
        <f>IF('Base Salary Structure'!F2=1,2,IF('Base Salary Structure'!F2=2,1,IF('Base Salary Structure'!F2=3,0,IF('Base Salary Structure'!F2=4,11,IF('Base Salary Structure'!F2=5,10,IF('Base Salary Structure'!F2=6,9,IF('Base Salary Structure'!F2=7,8,IF('Base Salary Structure'!F2=8,7,IF('Base Salary Structure'!F2=9,6,IF('Base Salary Structure'!F2=10,5,IF('Base Salary Structure'!F2=11,4,IF('Base Salary Structure'!F2=12,3))))))))))))</f>
        <v>11</v>
      </c>
    </row>
    <row r="11" spans="1:27" x14ac:dyDescent="0.35">
      <c r="A11" s="15">
        <f t="shared" ref="A11:A15" si="1">A10+1</f>
        <v>3</v>
      </c>
      <c r="B11" s="7" t="s">
        <v>2</v>
      </c>
      <c r="C11" s="5"/>
      <c r="D11" s="5"/>
      <c r="E11" s="34">
        <f>IF(AA9&gt;=0,'Base Salary Structure'!H13,('Base Salary Structure'!G13/'Income Tax-Calculator New Resim'!Y8*'Income Tax-Calculator New Resim'!Y9+'Base Salary Structure'!G13*'Income Tax-Calculator New Resim'!Y10))</f>
        <v>396000</v>
      </c>
      <c r="F11" s="31">
        <v>0</v>
      </c>
      <c r="G11" s="34">
        <f t="shared" si="0"/>
        <v>396000</v>
      </c>
      <c r="H11" s="9"/>
      <c r="P11" s="1">
        <f>H3- (E9*10%)</f>
        <v>-99000</v>
      </c>
      <c r="T11" s="1">
        <v>7</v>
      </c>
      <c r="U11" s="1" t="s">
        <v>174</v>
      </c>
      <c r="V11" s="1">
        <v>31</v>
      </c>
      <c r="W11" s="25">
        <v>44773</v>
      </c>
    </row>
    <row r="12" spans="1:27" x14ac:dyDescent="0.35">
      <c r="A12" s="15">
        <v>4</v>
      </c>
      <c r="B12" s="5" t="s">
        <v>48</v>
      </c>
      <c r="C12" s="5"/>
      <c r="D12" s="5"/>
      <c r="E12" s="31">
        <f>IF(AA9&gt;=0,'Base Salary Structure'!H21,('Base Salary Structure'!G21/'Income Tax-Calculator New Resim'!Y8*'Income Tax-Calculator New Resim'!Y9+'Base Salary Structure'!G21*'Income Tax-Calculator New Resim'!Y10))</f>
        <v>560200.00000000012</v>
      </c>
      <c r="F12" s="31">
        <v>0</v>
      </c>
      <c r="G12" s="31">
        <f t="shared" si="0"/>
        <v>560200.00000000012</v>
      </c>
      <c r="H12" s="5"/>
      <c r="O12" s="1">
        <f>IF(OR('Base Salary Structure'!C2="Delhi",'Base Salary Structure'!C2="Mumbai",'Base Salary Structure'!C2="Chennai",'Base Salary Structure'!C2="Kolkata"),50,40)</f>
        <v>40</v>
      </c>
      <c r="P12" s="40">
        <f>(E9*O12)/100</f>
        <v>396000</v>
      </c>
      <c r="T12" s="1">
        <v>8</v>
      </c>
      <c r="U12" s="1" t="s">
        <v>175</v>
      </c>
      <c r="V12" s="1">
        <v>31</v>
      </c>
      <c r="W12" s="25">
        <v>44804</v>
      </c>
    </row>
    <row r="13" spans="1:27" x14ac:dyDescent="0.35">
      <c r="A13" s="15">
        <v>5</v>
      </c>
      <c r="B13" s="7" t="s">
        <v>202</v>
      </c>
      <c r="C13" s="7"/>
      <c r="D13" s="7"/>
      <c r="E13" s="34">
        <f>IF(AA9&gt;=0,'Base Salary Structure'!H15,('Base Salary Structure'!G15/'Income Tax-Calculator New Resim'!Y8*'Income Tax-Calculator New Resim'!Y9+'Base Salary Structure'!G15*'Income Tax-Calculator New Resim'!Y10))</f>
        <v>0</v>
      </c>
      <c r="F13" s="31">
        <v>0</v>
      </c>
      <c r="G13" s="34">
        <f t="shared" si="0"/>
        <v>0</v>
      </c>
      <c r="H13" s="9"/>
      <c r="T13" s="1">
        <v>9</v>
      </c>
      <c r="U13" s="1" t="s">
        <v>176</v>
      </c>
      <c r="V13" s="1">
        <v>30</v>
      </c>
      <c r="W13" s="25">
        <v>44834</v>
      </c>
    </row>
    <row r="14" spans="1:27" x14ac:dyDescent="0.35">
      <c r="A14" s="15">
        <f t="shared" si="1"/>
        <v>6</v>
      </c>
      <c r="B14" s="7" t="s">
        <v>203</v>
      </c>
      <c r="C14" s="7"/>
      <c r="D14" s="7"/>
      <c r="E14" s="34">
        <f>IF(AA9&gt;=0,'Base Salary Structure'!H16,('Base Salary Structure'!G16/'Income Tax-Calculator New Resim'!Y8*'Income Tax-Calculator New Resim'!Y9+'Base Salary Structure'!G16*'Income Tax-Calculator New Resim'!Y10))</f>
        <v>0</v>
      </c>
      <c r="F14" s="31">
        <v>0</v>
      </c>
      <c r="G14" s="34">
        <f t="shared" si="0"/>
        <v>0</v>
      </c>
      <c r="H14" s="9"/>
      <c r="T14" s="1">
        <v>10</v>
      </c>
      <c r="U14" s="1" t="s">
        <v>177</v>
      </c>
      <c r="V14" s="1">
        <v>31</v>
      </c>
      <c r="W14" s="25">
        <v>44865</v>
      </c>
    </row>
    <row r="15" spans="1:27" x14ac:dyDescent="0.35">
      <c r="A15" s="15">
        <f t="shared" si="1"/>
        <v>7</v>
      </c>
      <c r="B15" s="7" t="s">
        <v>19</v>
      </c>
      <c r="C15" s="7"/>
      <c r="D15" s="7"/>
      <c r="E15" s="34">
        <f>IF(AA9&gt;=0,'Base Salary Structure'!H17,('Base Salary Structure'!G17/'Income Tax-Calculator New Resim'!Y8*'Income Tax-Calculator New Resim'!Y9+'Base Salary Structure'!G17*'Income Tax-Calculator New Resim'!Y10))</f>
        <v>0</v>
      </c>
      <c r="F15" s="31">
        <v>0</v>
      </c>
      <c r="G15" s="34">
        <f t="shared" si="0"/>
        <v>0</v>
      </c>
      <c r="H15" s="9"/>
      <c r="T15" s="1">
        <v>11</v>
      </c>
      <c r="U15" s="1" t="s">
        <v>178</v>
      </c>
      <c r="V15" s="1">
        <v>30</v>
      </c>
      <c r="W15" s="25">
        <v>44895</v>
      </c>
    </row>
    <row r="16" spans="1:27" x14ac:dyDescent="0.35">
      <c r="A16" s="15">
        <v>8</v>
      </c>
      <c r="B16" s="7" t="s">
        <v>211</v>
      </c>
      <c r="C16" s="7"/>
      <c r="D16" s="7"/>
      <c r="E16" s="34">
        <f>'Income Tax-Calculator Old Regim'!E16</f>
        <v>99000</v>
      </c>
      <c r="F16" s="31">
        <v>0</v>
      </c>
      <c r="G16" s="34">
        <f t="shared" si="0"/>
        <v>99000</v>
      </c>
      <c r="H16" s="9"/>
      <c r="T16" s="1">
        <v>12</v>
      </c>
      <c r="U16" s="1" t="s">
        <v>179</v>
      </c>
      <c r="V16" s="1">
        <v>31</v>
      </c>
      <c r="W16" s="25">
        <v>44926</v>
      </c>
    </row>
    <row r="17" spans="1:23" x14ac:dyDescent="0.35">
      <c r="A17" s="15">
        <v>9</v>
      </c>
      <c r="B17" s="5" t="s">
        <v>166</v>
      </c>
      <c r="C17" s="5"/>
      <c r="D17" s="5"/>
      <c r="E17" s="35">
        <v>0</v>
      </c>
      <c r="F17" s="34">
        <v>0</v>
      </c>
      <c r="G17" s="34">
        <f>+E17</f>
        <v>0</v>
      </c>
      <c r="H17" s="5"/>
      <c r="T17" s="1">
        <v>1</v>
      </c>
      <c r="U17" s="1" t="s">
        <v>180</v>
      </c>
      <c r="V17" s="1">
        <v>31</v>
      </c>
      <c r="W17" s="25">
        <v>44957</v>
      </c>
    </row>
    <row r="18" spans="1:23" x14ac:dyDescent="0.35">
      <c r="A18" s="15">
        <v>10</v>
      </c>
      <c r="B18" s="5" t="s">
        <v>167</v>
      </c>
      <c r="C18" s="5"/>
      <c r="D18" s="5"/>
      <c r="E18" s="35">
        <v>0</v>
      </c>
      <c r="F18" s="34">
        <v>0</v>
      </c>
      <c r="G18" s="34">
        <f>+E18</f>
        <v>0</v>
      </c>
      <c r="H18" s="5"/>
      <c r="T18" s="1">
        <v>2</v>
      </c>
      <c r="U18" s="1" t="s">
        <v>181</v>
      </c>
      <c r="V18" s="1">
        <v>28</v>
      </c>
      <c r="W18" s="25">
        <v>44985</v>
      </c>
    </row>
    <row r="19" spans="1:23" x14ac:dyDescent="0.35">
      <c r="A19" s="125">
        <v>11</v>
      </c>
      <c r="B19" s="4" t="s">
        <v>215</v>
      </c>
      <c r="C19" s="5"/>
      <c r="D19" s="5"/>
      <c r="E19" s="34"/>
      <c r="F19" s="34"/>
      <c r="G19" s="34"/>
      <c r="H19" s="5"/>
      <c r="T19" s="1">
        <v>3</v>
      </c>
      <c r="U19" s="1" t="s">
        <v>182</v>
      </c>
      <c r="V19" s="1">
        <v>31</v>
      </c>
      <c r="W19" s="25">
        <v>45016</v>
      </c>
    </row>
    <row r="20" spans="1:23" x14ac:dyDescent="0.35">
      <c r="A20" s="125" t="s">
        <v>71</v>
      </c>
      <c r="B20" s="5" t="s">
        <v>212</v>
      </c>
      <c r="C20" s="5"/>
      <c r="D20" s="5"/>
      <c r="E20" s="35">
        <v>0</v>
      </c>
      <c r="F20" s="34"/>
      <c r="G20" s="34">
        <f>+E20</f>
        <v>0</v>
      </c>
      <c r="H20" s="46" t="s">
        <v>234</v>
      </c>
      <c r="W20" s="25"/>
    </row>
    <row r="21" spans="1:23" x14ac:dyDescent="0.35">
      <c r="A21" s="125" t="s">
        <v>72</v>
      </c>
      <c r="B21" s="5" t="s">
        <v>218</v>
      </c>
      <c r="C21" s="5"/>
      <c r="D21" s="35">
        <v>0</v>
      </c>
      <c r="F21" s="34"/>
      <c r="G21" s="34"/>
      <c r="H21" s="5"/>
      <c r="W21" s="25"/>
    </row>
    <row r="22" spans="1:23" x14ac:dyDescent="0.35">
      <c r="A22" s="125" t="s">
        <v>216</v>
      </c>
      <c r="B22" s="5" t="s">
        <v>213</v>
      </c>
      <c r="C22" s="5"/>
      <c r="D22" s="35">
        <v>0</v>
      </c>
      <c r="F22" s="34"/>
      <c r="G22" s="34"/>
      <c r="H22" s="5"/>
      <c r="W22" s="25"/>
    </row>
    <row r="23" spans="1:23" x14ac:dyDescent="0.35">
      <c r="A23" s="125" t="s">
        <v>78</v>
      </c>
      <c r="B23" s="5" t="s">
        <v>214</v>
      </c>
      <c r="C23" s="5"/>
      <c r="D23" s="35">
        <v>0</v>
      </c>
      <c r="F23" s="34"/>
      <c r="G23" s="34"/>
      <c r="H23" s="5"/>
      <c r="W23" s="25"/>
    </row>
    <row r="24" spans="1:23" x14ac:dyDescent="0.35">
      <c r="A24" s="125" t="s">
        <v>221</v>
      </c>
      <c r="B24" s="5" t="s">
        <v>222</v>
      </c>
      <c r="C24" s="5"/>
      <c r="D24" s="35">
        <v>0</v>
      </c>
      <c r="F24" s="34"/>
      <c r="G24" s="34"/>
      <c r="H24" s="5"/>
      <c r="W24" s="25"/>
    </row>
    <row r="25" spans="1:23" x14ac:dyDescent="0.35">
      <c r="A25" s="15"/>
      <c r="B25" s="4" t="s">
        <v>55</v>
      </c>
      <c r="C25" s="5"/>
      <c r="D25" s="5"/>
      <c r="E25" s="36">
        <f>SUM(E9:E20)</f>
        <v>2081200</v>
      </c>
      <c r="F25" s="36">
        <f>SUM(F9:F18)</f>
        <v>0</v>
      </c>
      <c r="G25" s="36">
        <f>SUM(G9:G20)</f>
        <v>2081200</v>
      </c>
      <c r="H25" s="5"/>
    </row>
    <row r="26" spans="1:23" x14ac:dyDescent="0.35">
      <c r="A26" s="15"/>
      <c r="B26" s="5"/>
      <c r="C26" s="5"/>
      <c r="D26" s="5"/>
      <c r="E26" s="8"/>
      <c r="F26" s="8"/>
      <c r="G26" s="8" t="s">
        <v>168</v>
      </c>
      <c r="H26" s="5"/>
    </row>
    <row r="27" spans="1:23" x14ac:dyDescent="0.35">
      <c r="A27" s="15"/>
      <c r="B27" s="5"/>
      <c r="C27" s="5"/>
      <c r="D27" s="5"/>
      <c r="E27" s="8"/>
      <c r="F27" s="8"/>
      <c r="G27" s="8"/>
      <c r="H27" s="5"/>
    </row>
    <row r="28" spans="1:23" ht="43.5" x14ac:dyDescent="0.35">
      <c r="A28" s="15"/>
      <c r="B28" s="5"/>
      <c r="C28" s="7" t="s">
        <v>94</v>
      </c>
      <c r="D28" s="16" t="s">
        <v>111</v>
      </c>
      <c r="E28" s="16" t="s">
        <v>52</v>
      </c>
      <c r="F28" s="5"/>
      <c r="G28" s="5"/>
      <c r="H28" s="5"/>
    </row>
    <row r="29" spans="1:23" x14ac:dyDescent="0.35">
      <c r="A29" s="15" t="s">
        <v>10</v>
      </c>
      <c r="B29" s="5" t="s">
        <v>150</v>
      </c>
      <c r="C29" s="7"/>
      <c r="D29" s="37"/>
      <c r="E29" s="37"/>
      <c r="F29" s="31"/>
      <c r="G29" s="31">
        <v>50000</v>
      </c>
      <c r="H29" s="5"/>
    </row>
    <row r="30" spans="1:23" ht="29" x14ac:dyDescent="0.35">
      <c r="A30" s="15" t="s">
        <v>10</v>
      </c>
      <c r="B30" s="16" t="s">
        <v>25</v>
      </c>
      <c r="C30" s="5"/>
      <c r="D30" s="38"/>
      <c r="E30" s="31"/>
      <c r="F30" s="31"/>
      <c r="G30" s="34">
        <v>0</v>
      </c>
      <c r="H30" s="5"/>
    </row>
    <row r="31" spans="1:23" ht="36.65" customHeight="1" x14ac:dyDescent="0.35">
      <c r="A31" s="15" t="s">
        <v>10</v>
      </c>
      <c r="B31" s="9" t="s">
        <v>217</v>
      </c>
      <c r="C31" s="16" t="s">
        <v>27</v>
      </c>
      <c r="D31" s="34">
        <f>150000-G30</f>
        <v>150000</v>
      </c>
      <c r="E31" s="39">
        <v>150000</v>
      </c>
      <c r="F31" s="34"/>
      <c r="G31" s="34">
        <v>0</v>
      </c>
      <c r="H31" s="5"/>
    </row>
    <row r="32" spans="1:23" x14ac:dyDescent="0.35">
      <c r="A32" s="15" t="s">
        <v>10</v>
      </c>
      <c r="B32" s="9" t="s">
        <v>26</v>
      </c>
      <c r="C32" s="5" t="s">
        <v>27</v>
      </c>
      <c r="D32" s="34">
        <v>50000</v>
      </c>
      <c r="E32" s="39"/>
      <c r="F32" s="31"/>
      <c r="G32" s="31">
        <v>0</v>
      </c>
      <c r="H32" s="5"/>
    </row>
    <row r="33" spans="1:21" x14ac:dyDescent="0.35">
      <c r="A33" s="15" t="s">
        <v>10</v>
      </c>
      <c r="B33" s="9" t="s">
        <v>169</v>
      </c>
      <c r="C33" s="5"/>
      <c r="D33" s="34"/>
      <c r="E33" s="31"/>
      <c r="F33" s="31"/>
      <c r="G33" s="31">
        <f>+G16+D24</f>
        <v>99000</v>
      </c>
      <c r="H33" s="5"/>
    </row>
    <row r="34" spans="1:21" x14ac:dyDescent="0.35">
      <c r="A34" s="15" t="s">
        <v>208</v>
      </c>
      <c r="B34" s="9" t="s">
        <v>210</v>
      </c>
      <c r="C34" s="5"/>
      <c r="D34" s="34"/>
      <c r="E34" s="39">
        <v>0</v>
      </c>
      <c r="F34" s="31"/>
      <c r="G34" s="31">
        <v>0</v>
      </c>
      <c r="H34" s="5"/>
    </row>
    <row r="35" spans="1:21" ht="29" x14ac:dyDescent="0.35">
      <c r="A35" s="15" t="s">
        <v>10</v>
      </c>
      <c r="B35" s="9" t="s">
        <v>209</v>
      </c>
      <c r="C35" s="5" t="s">
        <v>27</v>
      </c>
      <c r="D35" s="31"/>
      <c r="E35" s="39"/>
      <c r="F35" s="31"/>
      <c r="G35" s="31">
        <f>IF(E35&gt;200000,200000,E35)</f>
        <v>0</v>
      </c>
      <c r="H35" s="5"/>
      <c r="U35" s="1">
        <f>IF(AA9&gt;=0,'Base Salary Structure'!H19,('Base Salary Structure'!G19/'Income Tax-Calculator New Resim'!Y8*'Income Tax-Calculator New Resim'!Y9+'Base Salary Structure'!G19*'Income Tax-Calculator New Resim'!Y10))</f>
        <v>118800</v>
      </c>
    </row>
    <row r="36" spans="1:21" x14ac:dyDescent="0.35">
      <c r="A36" s="15" t="s">
        <v>10</v>
      </c>
      <c r="B36" s="9" t="s">
        <v>37</v>
      </c>
      <c r="C36" s="5"/>
      <c r="D36" s="31"/>
      <c r="E36" s="31"/>
      <c r="F36" s="31"/>
      <c r="G36" s="31">
        <v>0</v>
      </c>
      <c r="H36" s="5"/>
    </row>
    <row r="37" spans="1:21" x14ac:dyDescent="0.35">
      <c r="A37" s="15" t="s">
        <v>10</v>
      </c>
      <c r="B37" s="16" t="s">
        <v>36</v>
      </c>
      <c r="C37" s="16" t="s">
        <v>27</v>
      </c>
      <c r="D37" s="31"/>
      <c r="E37" s="39">
        <v>0</v>
      </c>
      <c r="F37" s="31"/>
      <c r="G37" s="31">
        <v>0</v>
      </c>
      <c r="H37" s="9"/>
    </row>
    <row r="38" spans="1:21" x14ac:dyDescent="0.35">
      <c r="A38" s="15" t="s">
        <v>10</v>
      </c>
      <c r="B38" s="7" t="s">
        <v>38</v>
      </c>
      <c r="C38" s="16" t="s">
        <v>27</v>
      </c>
      <c r="D38" s="31"/>
      <c r="E38" s="39">
        <v>0</v>
      </c>
      <c r="F38" s="31"/>
      <c r="G38" s="31">
        <v>0</v>
      </c>
      <c r="H38" s="9"/>
    </row>
    <row r="39" spans="1:21" x14ac:dyDescent="0.35">
      <c r="A39" s="15" t="s">
        <v>128</v>
      </c>
      <c r="B39" s="7" t="s">
        <v>129</v>
      </c>
      <c r="C39" s="16"/>
      <c r="D39" s="31"/>
      <c r="E39" s="31"/>
      <c r="F39" s="31"/>
      <c r="G39" s="31">
        <v>0</v>
      </c>
      <c r="H39" s="9"/>
    </row>
    <row r="40" spans="1:21" x14ac:dyDescent="0.35">
      <c r="A40" s="15"/>
      <c r="B40" s="4" t="s">
        <v>15</v>
      </c>
      <c r="C40" s="5"/>
      <c r="D40" s="31"/>
      <c r="E40" s="31"/>
      <c r="F40" s="31"/>
      <c r="G40" s="36">
        <f>IF((G30+G31)&lt;150000,G30+G31,150000)+'Income Tax-Calculator New Resim'!G32+'Income Tax-Calculator New Resim'!G35+'Income Tax-Calculator New Resim'!G36+'Income Tax-Calculator New Resim'!G37+'Income Tax-Calculator New Resim'!G38+G39+G29+G33-G34</f>
        <v>149000</v>
      </c>
      <c r="H40" s="5"/>
    </row>
    <row r="41" spans="1:21" x14ac:dyDescent="0.35">
      <c r="A41" s="15"/>
      <c r="B41" s="5"/>
      <c r="C41" s="5"/>
      <c r="D41" s="31"/>
      <c r="E41" s="31"/>
      <c r="F41" s="31"/>
      <c r="G41" s="31"/>
      <c r="H41" s="5"/>
    </row>
    <row r="42" spans="1:21" x14ac:dyDescent="0.35">
      <c r="A42" s="15"/>
      <c r="B42" s="4" t="s">
        <v>29</v>
      </c>
      <c r="C42" s="4"/>
      <c r="D42" s="36"/>
      <c r="E42" s="36"/>
      <c r="F42" s="36"/>
      <c r="G42" s="36">
        <f>G25-G40+E34</f>
        <v>1932200</v>
      </c>
      <c r="H42" s="5"/>
    </row>
    <row r="43" spans="1:21" x14ac:dyDescent="0.35">
      <c r="A43" s="15"/>
      <c r="B43" s="5"/>
      <c r="C43" s="5"/>
      <c r="D43" s="31"/>
      <c r="E43" s="31"/>
      <c r="F43" s="31"/>
      <c r="G43" s="31"/>
      <c r="H43" s="5"/>
    </row>
    <row r="44" spans="1:21" x14ac:dyDescent="0.35">
      <c r="A44" s="15"/>
      <c r="B44" s="5" t="s">
        <v>30</v>
      </c>
      <c r="C44" s="5"/>
      <c r="D44" s="31"/>
      <c r="E44" s="31"/>
      <c r="F44" s="31"/>
      <c r="G44" s="31">
        <f>IF(G42&gt;1500000,(G42-1500000)*0.3+150000,IF(G42&gt;1200000,(G42-1200000)*0.2+90000,IF(G42&gt;900000,(G42-900000)*0.15+45000,IF(G42&gt;600000,(G42-600000)*0.1+15000,IF(G42&gt;300000,(G42-300000)*0.05,0)))))</f>
        <v>279660</v>
      </c>
      <c r="H44" s="5"/>
    </row>
    <row r="45" spans="1:21" x14ac:dyDescent="0.35">
      <c r="A45" s="5"/>
      <c r="B45" s="5" t="s">
        <v>31</v>
      </c>
      <c r="C45" s="5"/>
      <c r="D45" s="31"/>
      <c r="E45" s="31"/>
      <c r="F45" s="31"/>
      <c r="G45" s="31">
        <f>IF(G42&gt;50000000,G44*37%,IF(G42&gt;20000000,G44*25%,IF(G42&gt;10000000,G44*15%,IF(G42&gt;5000000,G44*10%,0))))</f>
        <v>0</v>
      </c>
      <c r="H45" s="67"/>
    </row>
    <row r="46" spans="1:21" x14ac:dyDescent="0.35">
      <c r="A46" s="5"/>
      <c r="B46" s="5" t="s">
        <v>184</v>
      </c>
      <c r="C46" s="5"/>
      <c r="D46" s="31"/>
      <c r="E46" s="31"/>
      <c r="F46" s="31"/>
      <c r="G46" s="36">
        <f>+G44+G45</f>
        <v>279660</v>
      </c>
      <c r="H46" s="5"/>
    </row>
    <row r="47" spans="1:21" x14ac:dyDescent="0.35">
      <c r="A47" s="5"/>
      <c r="B47" s="5" t="s">
        <v>185</v>
      </c>
      <c r="C47" s="5"/>
      <c r="D47" s="31"/>
      <c r="E47" s="31"/>
      <c r="F47" s="31"/>
      <c r="G47" s="31">
        <f>IF(G42&lt;=700000,IF(G44&lt;0,0,IF(G44&gt;25000,25000,G44)),0)</f>
        <v>0</v>
      </c>
      <c r="H47" s="5"/>
    </row>
    <row r="48" spans="1:21" x14ac:dyDescent="0.35">
      <c r="A48" s="5"/>
      <c r="B48" s="5" t="s">
        <v>32</v>
      </c>
      <c r="C48" s="5"/>
      <c r="D48" s="31"/>
      <c r="E48" s="31"/>
      <c r="F48" s="31"/>
      <c r="G48" s="31">
        <f>(G46-G47)*4%</f>
        <v>11186.4</v>
      </c>
      <c r="H48" s="5"/>
      <c r="K48" s="2"/>
    </row>
    <row r="49" spans="1:16" x14ac:dyDescent="0.35">
      <c r="A49" s="5"/>
      <c r="B49" s="4" t="s">
        <v>33</v>
      </c>
      <c r="C49" s="5"/>
      <c r="D49" s="31"/>
      <c r="E49" s="31"/>
      <c r="F49" s="31"/>
      <c r="G49" s="36">
        <f>ROUND((G46+G48-G47),0)</f>
        <v>290846</v>
      </c>
      <c r="H49" s="5"/>
    </row>
    <row r="50" spans="1:16" x14ac:dyDescent="0.35">
      <c r="A50" s="5"/>
      <c r="B50" s="5" t="s">
        <v>219</v>
      </c>
      <c r="C50" s="5"/>
      <c r="D50" s="31"/>
      <c r="E50" s="31"/>
      <c r="F50" s="31"/>
      <c r="G50" s="132">
        <f>+D21</f>
        <v>0</v>
      </c>
      <c r="H50" s="5"/>
    </row>
    <row r="51" spans="1:16" x14ac:dyDescent="0.35">
      <c r="A51" s="5"/>
      <c r="B51" s="4" t="s">
        <v>220</v>
      </c>
      <c r="C51" s="5"/>
      <c r="D51" s="31"/>
      <c r="E51" s="31"/>
      <c r="F51" s="31"/>
      <c r="G51" s="36">
        <f>+G49-G50</f>
        <v>290846</v>
      </c>
      <c r="H51" s="5"/>
    </row>
    <row r="52" spans="1:16" x14ac:dyDescent="0.35">
      <c r="A52" s="5"/>
      <c r="B52" s="4"/>
      <c r="C52" s="5"/>
      <c r="D52" s="31"/>
      <c r="E52" s="31"/>
      <c r="F52" s="31"/>
      <c r="G52" s="31"/>
      <c r="H52" s="5"/>
    </row>
    <row r="53" spans="1:16" x14ac:dyDescent="0.35">
      <c r="A53" s="5"/>
      <c r="B53" s="5" t="s">
        <v>34</v>
      </c>
      <c r="C53" s="5"/>
      <c r="D53" s="31"/>
      <c r="E53" s="31"/>
      <c r="F53" s="31"/>
      <c r="G53" s="132">
        <f>IF(G51&lt;0,0,(G51/P53))</f>
        <v>24237.166666666668</v>
      </c>
      <c r="H53" s="5"/>
      <c r="N53" s="1">
        <f>+'Base Salary Structure'!F2</f>
        <v>4</v>
      </c>
      <c r="O53" s="1">
        <f>+'Base Salary Structure'!G2</f>
        <v>2023</v>
      </c>
      <c r="P53" s="1">
        <f>IF(AND(N53=12,O53=2020),4,IF(AND(N53=1,O53=2021),3,IF(AND(N53=2,O53=2021),2,IF(AND(N53=3,O53=2021),1,IF(AND(N53=4,O53=2020),12,IF(AND(N53=5,O53=2020),11,IF(AND(N53=6,O53=2020),10,IF(AND(N53=7,O53=2020),9,IF(AND(N53=8,O53=2020),8,IF(AND(N53=9,O53=2020),7,IF(AND(N53=10,O53=2020),6,IF(AND(N53=11,O53=2020),5,12))))))))))))</f>
        <v>12</v>
      </c>
    </row>
    <row r="54" spans="1:16" x14ac:dyDescent="0.35">
      <c r="A54" s="5"/>
      <c r="B54" s="5"/>
      <c r="C54" s="5"/>
      <c r="D54" s="5"/>
      <c r="E54" s="5"/>
      <c r="F54" s="5"/>
      <c r="G54" s="5"/>
      <c r="H54" s="5"/>
    </row>
    <row r="55" spans="1:16" x14ac:dyDescent="0.35">
      <c r="A55" s="5"/>
      <c r="B55" s="5" t="s">
        <v>123</v>
      </c>
      <c r="C55" s="5"/>
      <c r="D55" s="5"/>
      <c r="E55" s="5"/>
      <c r="F55" s="5"/>
      <c r="G55" s="131">
        <f>G49/'Base Salary Structure'!H6</f>
        <v>0.13220272727272728</v>
      </c>
      <c r="H55" s="5"/>
    </row>
  </sheetData>
  <sheetProtection algorithmName="SHA-512" hashValue="lmMqKfnZ3RbtfCIb9reFicbAz27vvB6tXK+/fpgjTJyzZ2StY2ab5BzE3yv5KUu/+FhYpDjnNkyBhoqFYz57bw==" saltValue="0Xn7vjjnd11DbY9TYfWeAg==" spinCount="100000" sheet="1" objects="1" scenarios="1"/>
  <mergeCells count="2">
    <mergeCell ref="B3:C3"/>
    <mergeCell ref="B4:C4"/>
  </mergeCells>
  <dataValidations count="5">
    <dataValidation type="whole" allowBlank="1" showInputMessage="1" showErrorMessage="1" prompt="Other deduction e.g. Sec.80U, Loss from House Property etc i.e. Rent received - Interest on Loan" sqref="E39" xr:uid="{00000000-0002-0000-0600-000000000000}">
      <formula1>0</formula1>
      <formula2>10000000</formula2>
    </dataValidation>
    <dataValidation type="whole" allowBlank="1" showInputMessage="1" showErrorMessage="1" error="The maximum value allowed is Rs.55000" prompt="The maximum allowed amount is Rs.25000 for self and family. Further additional 25000 allowed for non senior citizen parents and Rs.50000 for senior citizen parents" sqref="E37" xr:uid="{00000000-0002-0000-0600-000001000000}">
      <formula1>0</formula1>
      <formula2>55000</formula2>
    </dataValidation>
    <dataValidation type="whole" allowBlank="1" showInputMessage="1" showErrorMessage="1" error="Not Greater than Rs.50000" prompt="Range 0-50000" sqref="E32" xr:uid="{00000000-0002-0000-0600-000002000000}">
      <formula1>0</formula1>
      <formula2>50000</formula2>
    </dataValidation>
    <dataValidation type="whole" allowBlank="1" showInputMessage="1" showErrorMessage="1" error="Not greater than D26" prompt="Not Greater than value in cell D24" sqref="E31" xr:uid="{00000000-0002-0000-0600-000003000000}">
      <formula1>0</formula1>
      <formula2>D31</formula2>
    </dataValidation>
    <dataValidation type="whole" allowBlank="1" showInputMessage="1" showErrorMessage="1" sqref="E38" xr:uid="{00000000-0002-0000-0600-000004000000}">
      <formula1>0</formula1>
      <formula2>10000000</formula2>
    </dataValidation>
  </dataValidations>
  <pageMargins left="0.7" right="0.7" top="0.75" bottom="0.75" header="0.3" footer="0.3"/>
  <pageSetup orientation="portrait" horizontalDpi="0" verticalDpi="0" r:id="rId1"/>
  <ignoredErrors>
    <ignoredError sqref="F25" formula="1"/>
  </ignoredErrors>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6:C24"/>
  <sheetViews>
    <sheetView workbookViewId="0">
      <selection activeCell="C21" sqref="C21"/>
    </sheetView>
  </sheetViews>
  <sheetFormatPr defaultColWidth="8.81640625" defaultRowHeight="14.5" x14ac:dyDescent="0.35"/>
  <sheetData>
    <row r="6" spans="2:3" x14ac:dyDescent="0.35">
      <c r="B6" t="s">
        <v>132</v>
      </c>
      <c r="C6" t="s">
        <v>133</v>
      </c>
    </row>
    <row r="7" spans="2:3" x14ac:dyDescent="0.35">
      <c r="C7" t="s">
        <v>134</v>
      </c>
    </row>
    <row r="10" spans="2:3" x14ac:dyDescent="0.35">
      <c r="B10" t="s">
        <v>135</v>
      </c>
      <c r="C10" t="s">
        <v>136</v>
      </c>
    </row>
    <row r="11" spans="2:3" x14ac:dyDescent="0.35">
      <c r="C11" t="s">
        <v>143</v>
      </c>
    </row>
    <row r="12" spans="2:3" x14ac:dyDescent="0.35">
      <c r="C12" t="s">
        <v>144</v>
      </c>
    </row>
    <row r="13" spans="2:3" x14ac:dyDescent="0.35">
      <c r="C13" t="s">
        <v>148</v>
      </c>
    </row>
    <row r="18" spans="2:3" x14ac:dyDescent="0.35">
      <c r="B18" t="s">
        <v>151</v>
      </c>
      <c r="C18" t="s">
        <v>152</v>
      </c>
    </row>
    <row r="19" spans="2:3" x14ac:dyDescent="0.35">
      <c r="C19" t="s">
        <v>153</v>
      </c>
    </row>
    <row r="20" spans="2:3" x14ac:dyDescent="0.35">
      <c r="C20" t="s">
        <v>154</v>
      </c>
    </row>
    <row r="21" spans="2:3" x14ac:dyDescent="0.35">
      <c r="C21" t="s">
        <v>155</v>
      </c>
    </row>
    <row r="22" spans="2:3" x14ac:dyDescent="0.35">
      <c r="C22" t="s">
        <v>156</v>
      </c>
    </row>
    <row r="23" spans="2:3" x14ac:dyDescent="0.35">
      <c r="C23" t="s">
        <v>157</v>
      </c>
    </row>
    <row r="24" spans="2:3" x14ac:dyDescent="0.35">
      <c r="C24" t="s">
        <v>158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Instruction</vt:lpstr>
      <vt:lpstr>Summary</vt:lpstr>
      <vt:lpstr>Base Salary Structure</vt:lpstr>
      <vt:lpstr>Table</vt:lpstr>
      <vt:lpstr>Cash -Calculator</vt:lpstr>
      <vt:lpstr>Income Tax-Calculator Old Regim</vt:lpstr>
      <vt:lpstr>Income Tax-Calculator New Resim</vt:lpstr>
      <vt:lpstr>version</vt:lpstr>
    </vt:vector>
  </TitlesOfParts>
  <Company>Sophos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Krunal Mehta</dc:creator>
  <cp:lastModifiedBy>Anant Solanki (Persistent Systems Limited)</cp:lastModifiedBy>
  <cp:lastPrinted>2018-05-17T13:24:26Z</cp:lastPrinted>
  <dcterms:created xsi:type="dcterms:W3CDTF">2016-06-07T08:03:11Z</dcterms:created>
  <dcterms:modified xsi:type="dcterms:W3CDTF">2024-07-02T12:19:41Z</dcterms:modified>
</cp:coreProperties>
</file>