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pivotCache/pivotCacheRecords1.xml" ContentType="application/vnd.openxmlformats-officedocument.spreadsheetml.pivotCacheRecord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105" windowWidth="20115" windowHeight="7500"/>
  </bookViews>
  <sheets>
    <sheet name="Sheet1" sheetId="1" r:id="rId1"/>
    <sheet name="Sheet2" sheetId="2" r:id="rId2"/>
    <sheet name="Sheet3" sheetId="3" r:id="rId3"/>
  </sheets>
  <calcPr calcId="125725"/>
  <pivotCaches>
    <pivotCache cacheId="0" r:id="rId4"/>
  </pivotCaches>
  <fileRecoveryPr repairLoad="1"/>
</workbook>
</file>

<file path=xl/calcChain.xml><?xml version="1.0" encoding="utf-8"?>
<calcChain xmlns="http://schemas.openxmlformats.org/spreadsheetml/2006/main">
  <c r="C366" i="1"/>
  <c r="C364"/>
  <c r="E361"/>
  <c r="E362"/>
  <c r="D361"/>
  <c r="D362"/>
  <c r="D360"/>
  <c r="E360"/>
  <c r="C361"/>
  <c r="C362"/>
  <c r="C360"/>
  <c r="E350"/>
  <c r="E351"/>
  <c r="E349"/>
  <c r="E325"/>
  <c r="D102"/>
  <c r="D103" s="1"/>
  <c r="C102"/>
  <c r="C103" s="1"/>
  <c r="D101"/>
  <c r="C101"/>
  <c r="G99"/>
  <c r="E93"/>
  <c r="E94"/>
  <c r="E95"/>
  <c r="E96"/>
  <c r="E92"/>
  <c r="D98"/>
  <c r="C98"/>
  <c r="D97"/>
  <c r="C97"/>
  <c r="C812"/>
  <c r="C813" s="1"/>
  <c r="C789"/>
  <c r="C790" s="1"/>
  <c r="C767"/>
  <c r="C768" s="1"/>
  <c r="C655"/>
  <c r="C656" s="1"/>
  <c r="C657" s="1"/>
  <c r="C658" s="1"/>
  <c r="C659" s="1"/>
  <c r="C660" s="1"/>
  <c r="C661" s="1"/>
  <c r="C662" s="1"/>
  <c r="C663" s="1"/>
  <c r="C664" s="1"/>
  <c r="C665" s="1"/>
  <c r="D623"/>
  <c r="D624" s="1"/>
  <c r="D625" s="1"/>
  <c r="D626" s="1"/>
  <c r="C591"/>
  <c r="C590"/>
  <c r="C552"/>
  <c r="C551"/>
  <c r="C543"/>
  <c r="C544" s="1"/>
  <c r="C545" s="1"/>
  <c r="C542"/>
  <c r="C508"/>
  <c r="C507"/>
  <c r="E499" s="1"/>
  <c r="C506"/>
  <c r="E450"/>
  <c r="E451"/>
  <c r="E452"/>
  <c r="E453"/>
  <c r="E454"/>
  <c r="E455"/>
  <c r="E456"/>
  <c r="E457"/>
  <c r="E458"/>
  <c r="E449"/>
  <c r="G61"/>
  <c r="D450"/>
  <c r="D451"/>
  <c r="D452"/>
  <c r="D453"/>
  <c r="D454"/>
  <c r="D455"/>
  <c r="D456"/>
  <c r="D457"/>
  <c r="D458"/>
  <c r="D449"/>
  <c r="C464"/>
  <c r="C463"/>
  <c r="C462"/>
  <c r="C418"/>
  <c r="C419"/>
  <c r="C420"/>
  <c r="C421"/>
  <c r="C422"/>
  <c r="C423"/>
  <c r="C424"/>
  <c r="C425"/>
  <c r="C426"/>
  <c r="C417"/>
  <c r="C429"/>
  <c r="C428"/>
  <c r="C385"/>
  <c r="C386"/>
  <c r="C387"/>
  <c r="C388"/>
  <c r="C389"/>
  <c r="C390"/>
  <c r="C391"/>
  <c r="C392"/>
  <c r="C393"/>
  <c r="C384"/>
  <c r="C398"/>
  <c r="C395"/>
  <c r="C400" s="1"/>
  <c r="D352"/>
  <c r="C352"/>
  <c r="B352"/>
  <c r="E328"/>
  <c r="F328" s="1"/>
  <c r="E327"/>
  <c r="F327" s="1"/>
  <c r="E326"/>
  <c r="F326" s="1"/>
  <c r="D269"/>
  <c r="D270"/>
  <c r="D271"/>
  <c r="D272"/>
  <c r="D273"/>
  <c r="D274"/>
  <c r="D275"/>
  <c r="D268"/>
  <c r="F186"/>
  <c r="F187"/>
  <c r="F188"/>
  <c r="F189"/>
  <c r="F185"/>
  <c r="E186"/>
  <c r="E187"/>
  <c r="E188"/>
  <c r="E189"/>
  <c r="E185"/>
  <c r="I185"/>
  <c r="I184"/>
  <c r="D171"/>
  <c r="D170"/>
  <c r="D169"/>
  <c r="D167"/>
  <c r="D168"/>
  <c r="D166"/>
  <c r="D165"/>
  <c r="D164"/>
  <c r="D163"/>
  <c r="D162"/>
  <c r="F148"/>
  <c r="I143"/>
  <c r="F139"/>
  <c r="F138"/>
  <c r="F119"/>
  <c r="F118"/>
  <c r="F117"/>
  <c r="G91"/>
  <c r="G76"/>
  <c r="G75"/>
  <c r="F59"/>
  <c r="F58"/>
  <c r="F41"/>
  <c r="F40"/>
  <c r="F18"/>
  <c r="F39"/>
  <c r="F19"/>
  <c r="F17"/>
  <c r="F16"/>
  <c r="F15"/>
  <c r="C363" l="1"/>
  <c r="E97"/>
  <c r="C100"/>
  <c r="C553"/>
  <c r="C554" s="1"/>
  <c r="C592"/>
  <c r="C593" s="1"/>
  <c r="C509"/>
  <c r="C515" s="1"/>
  <c r="C549"/>
  <c r="D549"/>
  <c r="E329"/>
  <c r="C399"/>
  <c r="C396"/>
  <c r="E352"/>
  <c r="B356" s="1"/>
  <c r="F325"/>
  <c r="G330" s="1"/>
  <c r="D333" s="1"/>
  <c r="E330"/>
  <c r="G170"/>
  <c r="F141"/>
  <c r="F143" s="1"/>
  <c r="F121"/>
  <c r="F123" s="1"/>
  <c r="B357" l="1"/>
  <c r="B355"/>
  <c r="C555"/>
  <c r="C594"/>
  <c r="C401"/>
  <c r="F144"/>
  <c r="F122"/>
</calcChain>
</file>

<file path=xl/sharedStrings.xml><?xml version="1.0" encoding="utf-8"?>
<sst xmlns="http://schemas.openxmlformats.org/spreadsheetml/2006/main" count="369" uniqueCount="195">
  <si>
    <t>Column1</t>
  </si>
  <si>
    <t>Temperature</t>
  </si>
  <si>
    <t>a, mean</t>
  </si>
  <si>
    <t>n</t>
  </si>
  <si>
    <t>b,median</t>
  </si>
  <si>
    <t>c,mode</t>
  </si>
  <si>
    <t>d,range</t>
  </si>
  <si>
    <t>varience</t>
  </si>
  <si>
    <t>Height</t>
  </si>
  <si>
    <t>range</t>
  </si>
  <si>
    <t>Sd</t>
  </si>
  <si>
    <t>Weekly expense</t>
  </si>
  <si>
    <t>sd</t>
  </si>
  <si>
    <t>medium level</t>
  </si>
  <si>
    <t>covarience</t>
  </si>
  <si>
    <t>advertising spending</t>
  </si>
  <si>
    <t>sales</t>
  </si>
  <si>
    <t>corealation</t>
  </si>
  <si>
    <t>study hour</t>
  </si>
  <si>
    <t>exam scores</t>
  </si>
  <si>
    <t>corelation</t>
  </si>
  <si>
    <t>n=</t>
  </si>
  <si>
    <t>IQR</t>
  </si>
  <si>
    <t>monthly savings</t>
  </si>
  <si>
    <t>Q1</t>
  </si>
  <si>
    <t>Q3</t>
  </si>
  <si>
    <t>min</t>
  </si>
  <si>
    <t>max</t>
  </si>
  <si>
    <t>There is no outliers</t>
  </si>
  <si>
    <t>ages</t>
  </si>
  <si>
    <t>There is one outlier</t>
  </si>
  <si>
    <t>weighted mean</t>
  </si>
  <si>
    <t>hardlevel</t>
  </si>
  <si>
    <t>grades</t>
  </si>
  <si>
    <t>A</t>
  </si>
  <si>
    <t>B</t>
  </si>
  <si>
    <t>C</t>
  </si>
  <si>
    <t>D</t>
  </si>
  <si>
    <t>WEIGHTS</t>
  </si>
  <si>
    <t>F</t>
  </si>
  <si>
    <t>mean of ad</t>
  </si>
  <si>
    <t>mean of sal</t>
  </si>
  <si>
    <t>adv-mean</t>
  </si>
  <si>
    <t>sales-mean</t>
  </si>
  <si>
    <t>H0</t>
  </si>
  <si>
    <t>all mean scores are same</t>
  </si>
  <si>
    <t>Ha</t>
  </si>
  <si>
    <t xml:space="preserve">all mean scores are not the same 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</si>
  <si>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</si>
  <si>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</si>
  <si>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</si>
  <si>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</si>
  <si>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</si>
  <si>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</si>
  <si>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</si>
  <si>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</si>
  <si>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</si>
  <si>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</si>
  <si>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</si>
  <si>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</si>
  <si>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P-value</t>
  </si>
  <si>
    <t>F crit</t>
  </si>
  <si>
    <t>Between Groups</t>
  </si>
  <si>
    <t>Within Groups</t>
  </si>
  <si>
    <t>Total</t>
  </si>
  <si>
    <t>since pvalue&lt;apha we reject the null</t>
  </si>
  <si>
    <t>therefore allthe mean values are not same</t>
  </si>
  <si>
    <t>Daily stockprice</t>
  </si>
  <si>
    <t>average(3days)</t>
  </si>
  <si>
    <t>3 day average</t>
  </si>
  <si>
    <t>There is slight increase in sales in the ssecond half of the year as compaired to the first half of the year</t>
  </si>
  <si>
    <t>sum of sales in Quadrant</t>
  </si>
  <si>
    <t>Q2</t>
  </si>
  <si>
    <t>Q4</t>
  </si>
  <si>
    <t>totalsale</t>
  </si>
  <si>
    <t>expected sales per quadrant</t>
  </si>
  <si>
    <t>chi-square component</t>
  </si>
  <si>
    <t>pvalue</t>
  </si>
  <si>
    <t>H0- there is a significant differnce</t>
  </si>
  <si>
    <t>ha tthere is no significant difference</t>
  </si>
  <si>
    <t>sum</t>
  </si>
  <si>
    <t>Alpha</t>
  </si>
  <si>
    <t>Weights</t>
  </si>
  <si>
    <t>H0-The mean weight is equal to 70kg</t>
  </si>
  <si>
    <t>Ha-The mean weight is not equal to 70kg</t>
  </si>
  <si>
    <t>mean of sample</t>
  </si>
  <si>
    <t>population mean</t>
  </si>
  <si>
    <t>error</t>
  </si>
  <si>
    <t>dof</t>
  </si>
  <si>
    <t>T value</t>
  </si>
  <si>
    <t>crtical value</t>
  </si>
  <si>
    <t>Tvalue&lt;critical value, so reject the null</t>
  </si>
  <si>
    <t>The mean weight is not equal to 70kg</t>
  </si>
  <si>
    <t>z-score</t>
  </si>
  <si>
    <t>Annual salary</t>
  </si>
  <si>
    <t>Z-score</t>
  </si>
  <si>
    <t>xbar</t>
  </si>
  <si>
    <t>scores</t>
  </si>
  <si>
    <t>Bin</t>
  </si>
  <si>
    <t>More</t>
  </si>
  <si>
    <t>Frequency</t>
  </si>
  <si>
    <t>minimum</t>
  </si>
  <si>
    <t>maximum</t>
  </si>
  <si>
    <t>bins</t>
  </si>
  <si>
    <t>(range/no of bins(5))</t>
  </si>
  <si>
    <t>mean</t>
  </si>
  <si>
    <t>z score</t>
  </si>
  <si>
    <t>p value</t>
  </si>
  <si>
    <t>Column 1</t>
  </si>
  <si>
    <t>weight</t>
  </si>
  <si>
    <t>histogram</t>
  </si>
  <si>
    <t>blood pressure</t>
  </si>
  <si>
    <t>t test</t>
  </si>
  <si>
    <t>apha</t>
  </si>
  <si>
    <t>critical value</t>
  </si>
  <si>
    <t>since t value&gt;critical value we reject the null</t>
  </si>
  <si>
    <t>there is a effect in blood pressure</t>
  </si>
  <si>
    <t>since the p value is very small we reject the null.</t>
  </si>
  <si>
    <t>The 95% confidence interval for the mean blood pressure reduction is 13.1113.1113.11 to 17.6917.6917.69 mmHg.</t>
  </si>
  <si>
    <t>This means we are 95% confident that the true mean blood pressure reduction due to the drug lies within this interval.</t>
  </si>
  <si>
    <t>Income</t>
  </si>
  <si>
    <t>Margin of error (ME)</t>
  </si>
  <si>
    <t>ME</t>
  </si>
  <si>
    <t>ci</t>
  </si>
  <si>
    <t>Box Plot</t>
  </si>
  <si>
    <t>There are no outliers</t>
  </si>
  <si>
    <t>temperature</t>
  </si>
  <si>
    <t>q1</t>
  </si>
  <si>
    <t>q3</t>
  </si>
  <si>
    <t>there are no outliers</t>
  </si>
  <si>
    <t>spending</t>
  </si>
  <si>
    <t>exponential smoothing</t>
  </si>
  <si>
    <t>monthly sale</t>
  </si>
  <si>
    <t>Exponential smothening</t>
  </si>
  <si>
    <t>multiple regression</t>
  </si>
  <si>
    <t>month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</si>
  <si>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</si>
  <si>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</si>
  <si>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</si>
  <si>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</si>
  <si>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</si>
  <si>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</si>
  <si>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</si>
  <si>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</si>
  <si>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</si>
  <si>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</si>
  <si>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</si>
  <si>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</si>
  <si>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</si>
  <si>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</si>
  <si>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</si>
  <si>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</si>
  <si>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</si>
  <si>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X Variable 1</t>
  </si>
  <si>
    <t>X Variable 2</t>
  </si>
  <si>
    <t>advertising</t>
  </si>
  <si>
    <t>x1</t>
  </si>
  <si>
    <t>x2</t>
  </si>
  <si>
    <t>y</t>
  </si>
  <si>
    <t>ho-The mean petrol consumption of the new car is 9.5 km per litre</t>
  </si>
  <si>
    <t>ha-The mean petrol consumption of the new car is less than 9.5 km per litre</t>
  </si>
  <si>
    <t>alpha</t>
  </si>
  <si>
    <t>x bar</t>
  </si>
  <si>
    <t>neu</t>
  </si>
  <si>
    <t>t value</t>
  </si>
  <si>
    <t>Since 1.01 is greater than 1.676, we fail to reject the null hypothesis.</t>
  </si>
  <si>
    <t>the mean consuption of new car is 9.5km per litre</t>
  </si>
  <si>
    <t xml:space="preserve">H0-The mean writing life of the pens is 400 pages </t>
  </si>
  <si>
    <t xml:space="preserve">Ha-The mean writing life of the pens is not 400 pages </t>
  </si>
  <si>
    <t>alpa</t>
  </si>
  <si>
    <t>two tail</t>
  </si>
  <si>
    <t>Since -5 is less than -2.660, we reject the null hypothesis.</t>
  </si>
  <si>
    <t>the mean writing life of the pen is not 400 pages</t>
  </si>
  <si>
    <t>H0-The advertising campaign had no effect on mean weekly sales</t>
  </si>
  <si>
    <t>Ha-The advertising campaign had effect on mean weekly sales</t>
  </si>
  <si>
    <t>Since 8.60 is greater than 1.645, we reject the null hypothesis.</t>
  </si>
  <si>
    <t>the advertising had no effect</t>
  </si>
  <si>
    <t xml:space="preserve">                                                                                                                                                                              </t>
  </si>
  <si>
    <t>square sum</t>
  </si>
  <si>
    <t>sum(x,y)</t>
  </si>
  <si>
    <t>x*y</t>
  </si>
  <si>
    <t>r(corelation)</t>
  </si>
  <si>
    <t>the data shows a postive strong linear relation</t>
  </si>
  <si>
    <t>for regression analysis ned additional data</t>
  </si>
  <si>
    <t>regression</t>
  </si>
  <si>
    <r>
      <t>F-statistic:</t>
    </r>
    <r>
      <rPr>
        <sz val="11"/>
        <color theme="1"/>
        <rFont val="Calibri"/>
        <family val="2"/>
        <scheme val="minor"/>
      </rPr>
      <t xml:space="preserve"> Indicates that the model is a good fit.</t>
    </r>
  </si>
  <si>
    <r>
      <t>P-value:</t>
    </r>
    <r>
      <rPr>
        <sz val="11"/>
        <color theme="1"/>
        <rFont val="Calibri"/>
        <family val="2"/>
        <scheme val="minor"/>
      </rPr>
      <t xml:space="preserve"> Since the p-value is less than 0.05, the relationship between advertising spending and sales is statistically significant.</t>
    </r>
  </si>
  <si>
    <t>chi square test</t>
  </si>
  <si>
    <t>col total</t>
  </si>
  <si>
    <t>row total</t>
  </si>
  <si>
    <t>E</t>
  </si>
  <si>
    <t>chi square ststistics</t>
  </si>
  <si>
    <t>chi square</t>
  </si>
  <si>
    <t>Accept the null hypothesis</t>
  </si>
  <si>
    <t>since chi squre&lt;critical value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</si>
</sst>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Border="1"/>
    <xf numFmtId="0" fontId="2" fillId="0" borderId="0" xfId="0" applyFont="1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0" borderId="0" xfId="0" applyFill="1" applyBorder="1" applyAlignment="1"/>
    <xf numFmtId="0" fontId="0" fillId="0" borderId="5" xfId="0" applyFill="1" applyBorder="1" applyAlignment="1"/>
    <xf numFmtId="0" fontId="3" fillId="0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Alignment="1"/>
    <xf numFmtId="0" fontId="0" fillId="5" borderId="16" xfId="0" applyFill="1" applyBorder="1"/>
    <xf numFmtId="0" fontId="0" fillId="0" borderId="0" xfId="0" applyAlignment="1">
      <alignment horizontal="center"/>
    </xf>
    <xf numFmtId="0" fontId="0" fillId="0" borderId="0" xfId="0" applyNumberFormat="1" applyFill="1" applyBorder="1" applyAlignment="1"/>
    <xf numFmtId="0" fontId="3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0" borderId="0" xfId="0" applyFont="1" applyBorder="1"/>
    <xf numFmtId="0" fontId="0" fillId="5" borderId="0" xfId="0" applyFill="1"/>
    <xf numFmtId="0" fontId="3" fillId="0" borderId="6" xfId="0" applyFont="1" applyFill="1" applyBorder="1" applyAlignment="1">
      <alignment horizontal="centerContinuous"/>
    </xf>
    <xf numFmtId="0" fontId="0" fillId="6" borderId="0" xfId="0" applyFill="1"/>
    <xf numFmtId="0" fontId="0" fillId="6" borderId="0" xfId="0" applyFill="1" applyBorder="1"/>
    <xf numFmtId="0" fontId="0" fillId="0" borderId="0" xfId="0" applyAlignment="1">
      <alignment wrapText="1"/>
    </xf>
    <xf numFmtId="0" fontId="0" fillId="5" borderId="17" xfId="0" applyFill="1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Sheet1!$C$265</c:f>
              <c:strCache>
                <c:ptCount val="1"/>
                <c:pt idx="0">
                  <c:v>Daily stockprice</c:v>
                </c:pt>
              </c:strCache>
            </c:strRef>
          </c:tx>
          <c:val>
            <c:numRef>
              <c:f>Sheet1!$C$266:$C$275</c:f>
              <c:numCache>
                <c:formatCode>General</c:formatCode>
                <c:ptCount val="10"/>
                <c:pt idx="0">
                  <c:v>100</c:v>
                </c:pt>
                <c:pt idx="1">
                  <c:v>102</c:v>
                </c:pt>
                <c:pt idx="2">
                  <c:v>101</c:v>
                </c:pt>
                <c:pt idx="3">
                  <c:v>103</c:v>
                </c:pt>
                <c:pt idx="4">
                  <c:v>105</c:v>
                </c:pt>
                <c:pt idx="5">
                  <c:v>107</c:v>
                </c:pt>
                <c:pt idx="6">
                  <c:v>109</c:v>
                </c:pt>
                <c:pt idx="7">
                  <c:v>110</c:v>
                </c:pt>
                <c:pt idx="8">
                  <c:v>108</c:v>
                </c:pt>
                <c:pt idx="9">
                  <c:v>107</c:v>
                </c:pt>
              </c:numCache>
            </c:numRef>
          </c:val>
        </c:ser>
        <c:ser>
          <c:idx val="1"/>
          <c:order val="1"/>
          <c:tx>
            <c:strRef>
              <c:f>Sheet1!$D$265</c:f>
              <c:strCache>
                <c:ptCount val="1"/>
                <c:pt idx="0">
                  <c:v>3 day average</c:v>
                </c:pt>
              </c:strCache>
            </c:strRef>
          </c:tx>
          <c:val>
            <c:numRef>
              <c:f>Sheet1!$D$266:$D$275</c:f>
              <c:numCache>
                <c:formatCode>General</c:formatCode>
                <c:ptCount val="10"/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105</c:v>
                </c:pt>
                <c:pt idx="6">
                  <c:v>107</c:v>
                </c:pt>
                <c:pt idx="7">
                  <c:v>108.66666666666667</c:v>
                </c:pt>
                <c:pt idx="8">
                  <c:v>109</c:v>
                </c:pt>
                <c:pt idx="9">
                  <c:v>108.33333333333333</c:v>
                </c:pt>
              </c:numCache>
            </c:numRef>
          </c:val>
        </c:ser>
        <c:axId val="156832128"/>
        <c:axId val="156833664"/>
      </c:barChart>
      <c:catAx>
        <c:axId val="156832128"/>
        <c:scaling>
          <c:orientation val="minMax"/>
        </c:scaling>
        <c:axPos val="b"/>
        <c:tickLblPos val="nextTo"/>
        <c:crossAx val="156833664"/>
        <c:crosses val="autoZero"/>
        <c:auto val="1"/>
        <c:lblAlgn val="ctr"/>
        <c:lblOffset val="100"/>
      </c:catAx>
      <c:valAx>
        <c:axId val="156833664"/>
        <c:scaling>
          <c:orientation val="minMax"/>
        </c:scaling>
        <c:axPos val="l"/>
        <c:majorGridlines/>
        <c:numFmt formatCode="General" sourceLinked="1"/>
        <c:tickLblPos val="nextTo"/>
        <c:crossAx val="156832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daily stock price</c:v>
          </c:tx>
          <c:cat>
            <c:numRef>
              <c:f>Sheet1!$D$266:$D$275</c:f>
              <c:numCache>
                <c:formatCode>General</c:formatCode>
                <c:ptCount val="10"/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105</c:v>
                </c:pt>
                <c:pt idx="6">
                  <c:v>107</c:v>
                </c:pt>
                <c:pt idx="7">
                  <c:v>108.66666666666667</c:v>
                </c:pt>
                <c:pt idx="8">
                  <c:v>109</c:v>
                </c:pt>
                <c:pt idx="9">
                  <c:v>108.33333333333333</c:v>
                </c:pt>
              </c:numCache>
            </c:numRef>
          </c:cat>
          <c:val>
            <c:numRef>
              <c:f>Sheet1!$C$266:$C$275</c:f>
              <c:numCache>
                <c:formatCode>General</c:formatCode>
                <c:ptCount val="10"/>
                <c:pt idx="0">
                  <c:v>100</c:v>
                </c:pt>
                <c:pt idx="1">
                  <c:v>102</c:v>
                </c:pt>
                <c:pt idx="2">
                  <c:v>101</c:v>
                </c:pt>
                <c:pt idx="3">
                  <c:v>103</c:v>
                </c:pt>
                <c:pt idx="4">
                  <c:v>105</c:v>
                </c:pt>
                <c:pt idx="5">
                  <c:v>107</c:v>
                </c:pt>
                <c:pt idx="6">
                  <c:v>109</c:v>
                </c:pt>
                <c:pt idx="7">
                  <c:v>110</c:v>
                </c:pt>
                <c:pt idx="8">
                  <c:v>108</c:v>
                </c:pt>
                <c:pt idx="9">
                  <c:v>107</c:v>
                </c:pt>
              </c:numCache>
            </c:numRef>
          </c:val>
        </c:ser>
        <c:ser>
          <c:idx val="1"/>
          <c:order val="1"/>
          <c:tx>
            <c:v>3 days average</c:v>
          </c:tx>
          <c:val>
            <c:numRef>
              <c:f>Sheet1!$D$266:$D$275</c:f>
              <c:numCache>
                <c:formatCode>General</c:formatCode>
                <c:ptCount val="10"/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105</c:v>
                </c:pt>
                <c:pt idx="6">
                  <c:v>107</c:v>
                </c:pt>
                <c:pt idx="7">
                  <c:v>108.66666666666667</c:v>
                </c:pt>
                <c:pt idx="8">
                  <c:v>109</c:v>
                </c:pt>
                <c:pt idx="9">
                  <c:v>108.33333333333333</c:v>
                </c:pt>
              </c:numCache>
            </c:numRef>
          </c:val>
        </c:ser>
        <c:marker val="1"/>
        <c:axId val="156862336"/>
        <c:axId val="156863872"/>
      </c:lineChart>
      <c:catAx>
        <c:axId val="156862336"/>
        <c:scaling>
          <c:orientation val="minMax"/>
        </c:scaling>
        <c:axPos val="b"/>
        <c:numFmt formatCode="General" sourceLinked="1"/>
        <c:tickLblPos val="nextTo"/>
        <c:crossAx val="156863872"/>
        <c:crosses val="autoZero"/>
        <c:auto val="1"/>
        <c:lblAlgn val="ctr"/>
        <c:lblOffset val="100"/>
      </c:catAx>
      <c:valAx>
        <c:axId val="156863872"/>
        <c:scaling>
          <c:orientation val="minMax"/>
        </c:scaling>
        <c:axPos val="l"/>
        <c:majorGridlines/>
        <c:numFmt formatCode="General" sourceLinked="1"/>
        <c:tickLblPos val="nextTo"/>
        <c:crossAx val="156862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cked"/>
        <c:ser>
          <c:idx val="1"/>
          <c:order val="0"/>
          <c:tx>
            <c:strRef>
              <c:f>Sheet1!$C$303</c:f>
              <c:strCache>
                <c:ptCount val="1"/>
                <c:pt idx="0">
                  <c:v>sales</c:v>
                </c:pt>
              </c:strCache>
            </c:strRef>
          </c:tx>
          <c:marker>
            <c:symbol val="none"/>
          </c:marker>
          <c:val>
            <c:numRef>
              <c:f>Sheet1!$C$304:$C$315</c:f>
              <c:numCache>
                <c:formatCode>General</c:formatCode>
                <c:ptCount val="12"/>
                <c:pt idx="0">
                  <c:v>1200</c:v>
                </c:pt>
                <c:pt idx="1">
                  <c:v>1300</c:v>
                </c:pt>
                <c:pt idx="2">
                  <c:v>1250</c:v>
                </c:pt>
                <c:pt idx="3">
                  <c:v>1400</c:v>
                </c:pt>
                <c:pt idx="4">
                  <c:v>1350</c:v>
                </c:pt>
                <c:pt idx="5">
                  <c:v>1500</c:v>
                </c:pt>
                <c:pt idx="6">
                  <c:v>1600</c:v>
                </c:pt>
                <c:pt idx="7">
                  <c:v>1550</c:v>
                </c:pt>
                <c:pt idx="8">
                  <c:v>1700</c:v>
                </c:pt>
                <c:pt idx="9">
                  <c:v>1650</c:v>
                </c:pt>
                <c:pt idx="10">
                  <c:v>1800</c:v>
                </c:pt>
                <c:pt idx="11">
                  <c:v>1750</c:v>
                </c:pt>
              </c:numCache>
            </c:numRef>
          </c:val>
        </c:ser>
        <c:marker val="1"/>
        <c:axId val="156437120"/>
        <c:axId val="156451200"/>
      </c:lineChart>
      <c:catAx>
        <c:axId val="156437120"/>
        <c:scaling>
          <c:orientation val="minMax"/>
        </c:scaling>
        <c:axPos val="b"/>
        <c:numFmt formatCode="General" sourceLinked="1"/>
        <c:tickLblPos val="nextTo"/>
        <c:crossAx val="156451200"/>
        <c:crosses val="autoZero"/>
        <c:auto val="1"/>
        <c:lblAlgn val="ctr"/>
        <c:lblOffset val="100"/>
      </c:catAx>
      <c:valAx>
        <c:axId val="156451200"/>
        <c:scaling>
          <c:orientation val="minMax"/>
        </c:scaling>
        <c:axPos val="l"/>
        <c:majorGridlines/>
        <c:numFmt formatCode="General" sourceLinked="1"/>
        <c:tickLblPos val="nextTo"/>
        <c:crossAx val="156437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Sheet1!$B$471:$B$477</c:f>
              <c:strCache>
                <c:ptCount val="7"/>
                <c:pt idx="0">
                  <c:v>85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More</c:v>
                </c:pt>
              </c:strCache>
            </c:strRef>
          </c:cat>
          <c:val>
            <c:numRef>
              <c:f>Sheet1!$C$471:$C$477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axId val="157427200"/>
        <c:axId val="157429120"/>
      </c:barChart>
      <c:catAx>
        <c:axId val="157427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157429120"/>
        <c:crosses val="autoZero"/>
        <c:auto val="1"/>
        <c:lblAlgn val="ctr"/>
        <c:lblOffset val="100"/>
      </c:catAx>
      <c:valAx>
        <c:axId val="15742912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57427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Sheet1!$B$530</c:f>
              <c:strCache>
                <c:ptCount val="1"/>
                <c:pt idx="0">
                  <c:v>Income</c:v>
                </c:pt>
              </c:strCache>
            </c:strRef>
          </c:cat>
          <c:val>
            <c:numRef>
              <c:f>Sheet1!$B$531</c:f>
              <c:numCache>
                <c:formatCode>General</c:formatCode>
                <c:ptCount val="1"/>
                <c:pt idx="0">
                  <c:v>3.5</c:v>
                </c:pt>
              </c:numCache>
            </c:numRef>
          </c:val>
        </c:ser>
        <c:ser>
          <c:idx val="1"/>
          <c:order val="1"/>
          <c:cat>
            <c:strRef>
              <c:f>Sheet1!$B$530</c:f>
              <c:strCache>
                <c:ptCount val="1"/>
                <c:pt idx="0">
                  <c:v>Income</c:v>
                </c:pt>
              </c:strCache>
            </c:strRef>
          </c:cat>
          <c:val>
            <c:numRef>
              <c:f>Sheet1!$B$532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2"/>
          <c:order val="2"/>
          <c:cat>
            <c:strRef>
              <c:f>Sheet1!$B$530</c:f>
              <c:strCache>
                <c:ptCount val="1"/>
                <c:pt idx="0">
                  <c:v>Income</c:v>
                </c:pt>
              </c:strCache>
            </c:strRef>
          </c:cat>
          <c:val>
            <c:numRef>
              <c:f>Sheet1!$B$533</c:f>
              <c:numCache>
                <c:formatCode>General</c:formatCode>
                <c:ptCount val="1"/>
                <c:pt idx="0">
                  <c:v>4.2</c:v>
                </c:pt>
              </c:numCache>
            </c:numRef>
          </c:val>
        </c:ser>
        <c:ser>
          <c:idx val="3"/>
          <c:order val="3"/>
          <c:cat>
            <c:strRef>
              <c:f>Sheet1!$B$530</c:f>
              <c:strCache>
                <c:ptCount val="1"/>
                <c:pt idx="0">
                  <c:v>Income</c:v>
                </c:pt>
              </c:strCache>
            </c:strRef>
          </c:cat>
          <c:val>
            <c:numRef>
              <c:f>Sheet1!$B$534</c:f>
              <c:numCache>
                <c:formatCode>General</c:formatCode>
                <c:ptCount val="1"/>
                <c:pt idx="0">
                  <c:v>4.5</c:v>
                </c:pt>
              </c:numCache>
            </c:numRef>
          </c:val>
        </c:ser>
        <c:ser>
          <c:idx val="4"/>
          <c:order val="4"/>
          <c:cat>
            <c:strRef>
              <c:f>Sheet1!$B$530</c:f>
              <c:strCache>
                <c:ptCount val="1"/>
                <c:pt idx="0">
                  <c:v>Income</c:v>
                </c:pt>
              </c:strCache>
            </c:strRef>
          </c:cat>
          <c:val>
            <c:numRef>
              <c:f>Sheet1!$B$535</c:f>
              <c:numCache>
                <c:formatCode>General</c:formatCode>
                <c:ptCount val="1"/>
                <c:pt idx="0">
                  <c:v>4.7</c:v>
                </c:pt>
              </c:numCache>
            </c:numRef>
          </c:val>
        </c:ser>
        <c:ser>
          <c:idx val="5"/>
          <c:order val="5"/>
          <c:cat>
            <c:strRef>
              <c:f>Sheet1!$B$530</c:f>
              <c:strCache>
                <c:ptCount val="1"/>
                <c:pt idx="0">
                  <c:v>Income</c:v>
                </c:pt>
              </c:strCache>
            </c:strRef>
          </c:cat>
          <c:val>
            <c:numRef>
              <c:f>Sheet1!$B$536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6"/>
          <c:order val="6"/>
          <c:cat>
            <c:strRef>
              <c:f>Sheet1!$B$530</c:f>
              <c:strCache>
                <c:ptCount val="1"/>
                <c:pt idx="0">
                  <c:v>Income</c:v>
                </c:pt>
              </c:strCache>
            </c:strRef>
          </c:cat>
          <c:val>
            <c:numRef>
              <c:f>Sheet1!$B$537</c:f>
              <c:numCache>
                <c:formatCode>General</c:formatCode>
                <c:ptCount val="1"/>
                <c:pt idx="0">
                  <c:v>5.3</c:v>
                </c:pt>
              </c:numCache>
            </c:numRef>
          </c:val>
        </c:ser>
        <c:ser>
          <c:idx val="7"/>
          <c:order val="7"/>
          <c:cat>
            <c:strRef>
              <c:f>Sheet1!$B$530</c:f>
              <c:strCache>
                <c:ptCount val="1"/>
                <c:pt idx="0">
                  <c:v>Income</c:v>
                </c:pt>
              </c:strCache>
            </c:strRef>
          </c:cat>
          <c:val>
            <c:numRef>
              <c:f>Sheet1!$B$538</c:f>
              <c:numCache>
                <c:formatCode>General</c:formatCode>
                <c:ptCount val="1"/>
                <c:pt idx="0">
                  <c:v>5.5</c:v>
                </c:pt>
              </c:numCache>
            </c:numRef>
          </c:val>
        </c:ser>
        <c:ser>
          <c:idx val="8"/>
          <c:order val="8"/>
          <c:cat>
            <c:strRef>
              <c:f>Sheet1!$B$530</c:f>
              <c:strCache>
                <c:ptCount val="1"/>
                <c:pt idx="0">
                  <c:v>Income</c:v>
                </c:pt>
              </c:strCache>
            </c:strRef>
          </c:cat>
          <c:val>
            <c:numRef>
              <c:f>Sheet1!$B$539</c:f>
              <c:numCache>
                <c:formatCode>General</c:formatCode>
                <c:ptCount val="1"/>
                <c:pt idx="0">
                  <c:v>5.7</c:v>
                </c:pt>
              </c:numCache>
            </c:numRef>
          </c:val>
        </c:ser>
        <c:ser>
          <c:idx val="9"/>
          <c:order val="9"/>
          <c:cat>
            <c:strRef>
              <c:f>Sheet1!$B$530</c:f>
              <c:strCache>
                <c:ptCount val="1"/>
                <c:pt idx="0">
                  <c:v>Income</c:v>
                </c:pt>
              </c:strCache>
            </c:strRef>
          </c:cat>
          <c:val>
            <c:numRef>
              <c:f>Sheet1!$B$540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axId val="157506944"/>
        <c:axId val="157512832"/>
      </c:barChart>
      <c:catAx>
        <c:axId val="157506944"/>
        <c:scaling>
          <c:orientation val="minMax"/>
        </c:scaling>
        <c:axPos val="b"/>
        <c:numFmt formatCode="General" sourceLinked="1"/>
        <c:tickLblPos val="nextTo"/>
        <c:crossAx val="157512832"/>
        <c:crosses val="autoZero"/>
        <c:auto val="1"/>
        <c:lblAlgn val="ctr"/>
        <c:lblOffset val="100"/>
      </c:catAx>
      <c:valAx>
        <c:axId val="157512832"/>
        <c:scaling>
          <c:orientation val="minMax"/>
        </c:scaling>
        <c:axPos val="l"/>
        <c:majorGridlines/>
        <c:numFmt formatCode="General" sourceLinked="1"/>
        <c:tickLblPos val="nextTo"/>
        <c:crossAx val="157506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Sheet1!$B$574</c:f>
              <c:strCache>
                <c:ptCount val="1"/>
                <c:pt idx="0">
                  <c:v>temperature</c:v>
                </c:pt>
              </c:strCache>
            </c:strRef>
          </c:cat>
          <c:val>
            <c:numRef>
              <c:f>Sheet1!$B$575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1"/>
          <c:order val="1"/>
          <c:cat>
            <c:strRef>
              <c:f>Sheet1!$B$574</c:f>
              <c:strCache>
                <c:ptCount val="1"/>
                <c:pt idx="0">
                  <c:v>temperature</c:v>
                </c:pt>
              </c:strCache>
            </c:strRef>
          </c:cat>
          <c:val>
            <c:numRef>
              <c:f>Sheet1!$B$576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</c:ser>
        <c:ser>
          <c:idx val="2"/>
          <c:order val="2"/>
          <c:cat>
            <c:strRef>
              <c:f>Sheet1!$B$574</c:f>
              <c:strCache>
                <c:ptCount val="1"/>
                <c:pt idx="0">
                  <c:v>temperature</c:v>
                </c:pt>
              </c:strCache>
            </c:strRef>
          </c:cat>
          <c:val>
            <c:numRef>
              <c:f>Sheet1!$B$577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</c:ser>
        <c:ser>
          <c:idx val="3"/>
          <c:order val="3"/>
          <c:cat>
            <c:strRef>
              <c:f>Sheet1!$B$574</c:f>
              <c:strCache>
                <c:ptCount val="1"/>
                <c:pt idx="0">
                  <c:v>temperature</c:v>
                </c:pt>
              </c:strCache>
            </c:strRef>
          </c:cat>
          <c:val>
            <c:numRef>
              <c:f>Sheet1!$B$578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</c:ser>
        <c:ser>
          <c:idx val="4"/>
          <c:order val="4"/>
          <c:cat>
            <c:strRef>
              <c:f>Sheet1!$B$574</c:f>
              <c:strCache>
                <c:ptCount val="1"/>
                <c:pt idx="0">
                  <c:v>temperature</c:v>
                </c:pt>
              </c:strCache>
            </c:strRef>
          </c:cat>
          <c:val>
            <c:numRef>
              <c:f>Sheet1!$B$579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</c:ser>
        <c:ser>
          <c:idx val="5"/>
          <c:order val="5"/>
          <c:cat>
            <c:strRef>
              <c:f>Sheet1!$B$574</c:f>
              <c:strCache>
                <c:ptCount val="1"/>
                <c:pt idx="0">
                  <c:v>temperature</c:v>
                </c:pt>
              </c:strCache>
            </c:strRef>
          </c:cat>
          <c:val>
            <c:numRef>
              <c:f>Sheet1!$B$580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</c:ser>
        <c:ser>
          <c:idx val="6"/>
          <c:order val="6"/>
          <c:cat>
            <c:strRef>
              <c:f>Sheet1!$B$574</c:f>
              <c:strCache>
                <c:ptCount val="1"/>
                <c:pt idx="0">
                  <c:v>temperature</c:v>
                </c:pt>
              </c:strCache>
            </c:strRef>
          </c:cat>
          <c:val>
            <c:numRef>
              <c:f>Sheet1!$B$581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</c:ser>
        <c:ser>
          <c:idx val="7"/>
          <c:order val="7"/>
          <c:cat>
            <c:strRef>
              <c:f>Sheet1!$B$574</c:f>
              <c:strCache>
                <c:ptCount val="1"/>
                <c:pt idx="0">
                  <c:v>temperature</c:v>
                </c:pt>
              </c:strCache>
            </c:strRef>
          </c:cat>
          <c:val>
            <c:numRef>
              <c:f>Sheet1!$B$582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</c:ser>
        <c:ser>
          <c:idx val="8"/>
          <c:order val="8"/>
          <c:cat>
            <c:strRef>
              <c:f>Sheet1!$B$574</c:f>
              <c:strCache>
                <c:ptCount val="1"/>
                <c:pt idx="0">
                  <c:v>temperature</c:v>
                </c:pt>
              </c:strCache>
            </c:strRef>
          </c:cat>
          <c:val>
            <c:numRef>
              <c:f>Sheet1!$B$583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</c:ser>
        <c:ser>
          <c:idx val="9"/>
          <c:order val="9"/>
          <c:cat>
            <c:strRef>
              <c:f>Sheet1!$B$574</c:f>
              <c:strCache>
                <c:ptCount val="1"/>
                <c:pt idx="0">
                  <c:v>temperature</c:v>
                </c:pt>
              </c:strCache>
            </c:strRef>
          </c:cat>
          <c:val>
            <c:numRef>
              <c:f>Sheet1!$B$584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</c:ser>
        <c:ser>
          <c:idx val="10"/>
          <c:order val="10"/>
          <c:cat>
            <c:strRef>
              <c:f>Sheet1!$B$574</c:f>
              <c:strCache>
                <c:ptCount val="1"/>
                <c:pt idx="0">
                  <c:v>temperature</c:v>
                </c:pt>
              </c:strCache>
            </c:strRef>
          </c:cat>
          <c:val>
            <c:numRef>
              <c:f>Sheet1!$B$585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</c:ser>
        <c:ser>
          <c:idx val="11"/>
          <c:order val="11"/>
          <c:cat>
            <c:strRef>
              <c:f>Sheet1!$B$574</c:f>
              <c:strCache>
                <c:ptCount val="1"/>
                <c:pt idx="0">
                  <c:v>temperature</c:v>
                </c:pt>
              </c:strCache>
            </c:strRef>
          </c:cat>
          <c:val>
            <c:numRef>
              <c:f>Sheet1!$B$586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</c:ser>
        <c:ser>
          <c:idx val="12"/>
          <c:order val="12"/>
          <c:cat>
            <c:strRef>
              <c:f>Sheet1!$B$574</c:f>
              <c:strCache>
                <c:ptCount val="1"/>
                <c:pt idx="0">
                  <c:v>temperature</c:v>
                </c:pt>
              </c:strCache>
            </c:strRef>
          </c:cat>
          <c:val>
            <c:numRef>
              <c:f>Sheet1!$B$587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</c:ser>
        <c:ser>
          <c:idx val="13"/>
          <c:order val="13"/>
          <c:cat>
            <c:strRef>
              <c:f>Sheet1!$B$574</c:f>
              <c:strCache>
                <c:ptCount val="1"/>
                <c:pt idx="0">
                  <c:v>temperature</c:v>
                </c:pt>
              </c:strCache>
            </c:strRef>
          </c:cat>
          <c:val>
            <c:numRef>
              <c:f>Sheet1!$B$588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</c:ser>
        <c:axId val="157596288"/>
        <c:axId val="157610368"/>
      </c:barChart>
      <c:catAx>
        <c:axId val="157596288"/>
        <c:scaling>
          <c:orientation val="minMax"/>
        </c:scaling>
        <c:axPos val="b"/>
        <c:numFmt formatCode="General" sourceLinked="1"/>
        <c:tickLblPos val="nextTo"/>
        <c:crossAx val="157610368"/>
        <c:crosses val="autoZero"/>
        <c:auto val="1"/>
        <c:lblAlgn val="ctr"/>
        <c:lblOffset val="100"/>
      </c:catAx>
      <c:valAx>
        <c:axId val="157610368"/>
        <c:scaling>
          <c:orientation val="minMax"/>
        </c:scaling>
        <c:axPos val="l"/>
        <c:majorGridlines/>
        <c:numFmt formatCode="General" sourceLinked="1"/>
        <c:tickLblPos val="nextTo"/>
        <c:crossAx val="157596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Sheet1!$B$574</c:f>
              <c:strCache>
                <c:ptCount val="1"/>
                <c:pt idx="0">
                  <c:v>temperature</c:v>
                </c:pt>
              </c:strCache>
            </c:strRef>
          </c:tx>
          <c:yVal>
            <c:numRef>
              <c:f>Sheet1!$B$575:$B$588</c:f>
              <c:numCache>
                <c:formatCode>General</c:formatCode>
                <c:ptCount val="1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</c:numCache>
            </c:numRef>
          </c:yVal>
        </c:ser>
        <c:axId val="157384704"/>
        <c:axId val="157386240"/>
      </c:scatterChart>
      <c:valAx>
        <c:axId val="157384704"/>
        <c:scaling>
          <c:orientation val="minMax"/>
        </c:scaling>
        <c:axPos val="b"/>
        <c:tickLblPos val="nextTo"/>
        <c:crossAx val="157386240"/>
        <c:crosses val="autoZero"/>
        <c:crossBetween val="midCat"/>
      </c:valAx>
      <c:valAx>
        <c:axId val="157386240"/>
        <c:scaling>
          <c:orientation val="minMax"/>
        </c:scaling>
        <c:axPos val="l"/>
        <c:majorGridlines/>
        <c:numFmt formatCode="General" sourceLinked="1"/>
        <c:tickLblPos val="nextTo"/>
        <c:crossAx val="1573847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spending</a:t>
            </a:r>
            <a:r>
              <a:rPr lang="en-US" baseline="0"/>
              <a:t> vs sales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Sheet1!$C$621</c:f>
              <c:strCache>
                <c:ptCount val="1"/>
                <c:pt idx="0">
                  <c:v>sales</c:v>
                </c:pt>
              </c:strCache>
            </c:strRef>
          </c:tx>
          <c:xVal>
            <c:numRef>
              <c:f>Sheet1!$B$622:$B$626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Sheet1!$C$622:$C$626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yVal>
        </c:ser>
        <c:ser>
          <c:idx val="1"/>
          <c:order val="1"/>
          <c:tx>
            <c:strRef>
              <c:f>Sheet1!$D$621</c:f>
              <c:strCache>
                <c:ptCount val="1"/>
                <c:pt idx="0">
                  <c:v>exponential smoothing</c:v>
                </c:pt>
              </c:strCache>
            </c:strRef>
          </c:tx>
          <c:xVal>
            <c:numRef>
              <c:f>Sheet1!$B$622:$B$626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Sheet1!$D$622:$D$626</c:f>
              <c:numCache>
                <c:formatCode>General</c:formatCode>
                <c:ptCount val="5"/>
                <c:pt idx="0">
                  <c:v>100</c:v>
                </c:pt>
                <c:pt idx="1">
                  <c:v>125</c:v>
                </c:pt>
                <c:pt idx="2">
                  <c:v>162.5</c:v>
                </c:pt>
                <c:pt idx="3">
                  <c:v>206.25</c:v>
                </c:pt>
                <c:pt idx="4">
                  <c:v>253.125</c:v>
                </c:pt>
              </c:numCache>
            </c:numRef>
          </c:yVal>
        </c:ser>
        <c:axId val="157407104"/>
        <c:axId val="157408640"/>
      </c:scatterChart>
      <c:valAx>
        <c:axId val="157407104"/>
        <c:scaling>
          <c:orientation val="minMax"/>
        </c:scaling>
        <c:axPos val="b"/>
        <c:numFmt formatCode="General" sourceLinked="1"/>
        <c:tickLblPos val="nextTo"/>
        <c:crossAx val="157408640"/>
        <c:crosses val="autoZero"/>
        <c:crossBetween val="midCat"/>
      </c:valAx>
      <c:valAx>
        <c:axId val="157408640"/>
        <c:scaling>
          <c:orientation val="minMax"/>
        </c:scaling>
        <c:axPos val="l"/>
        <c:majorGridlines/>
        <c:numFmt formatCode="General" sourceLinked="1"/>
        <c:tickLblPos val="nextTo"/>
        <c:crossAx val="157407104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Sheet1!$B$653</c:f>
              <c:strCache>
                <c:ptCount val="1"/>
                <c:pt idx="0">
                  <c:v>monthly sale</c:v>
                </c:pt>
              </c:strCache>
            </c:strRef>
          </c:tx>
          <c:val>
            <c:numRef>
              <c:f>Sheet1!$B$654:$B$665</c:f>
              <c:numCache>
                <c:formatCode>General</c:formatCode>
                <c:ptCount val="12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  <c:pt idx="4">
                  <c:v>190</c:v>
                </c:pt>
                <c:pt idx="5">
                  <c:v>200</c:v>
                </c:pt>
                <c:pt idx="6">
                  <c:v>210</c:v>
                </c:pt>
                <c:pt idx="7">
                  <c:v>220</c:v>
                </c:pt>
                <c:pt idx="8">
                  <c:v>230</c:v>
                </c:pt>
                <c:pt idx="9">
                  <c:v>240</c:v>
                </c:pt>
                <c:pt idx="10">
                  <c:v>250</c:v>
                </c:pt>
                <c:pt idx="11">
                  <c:v>260</c:v>
                </c:pt>
              </c:numCache>
            </c:numRef>
          </c:val>
        </c:ser>
        <c:ser>
          <c:idx val="1"/>
          <c:order val="1"/>
          <c:tx>
            <c:strRef>
              <c:f>Sheet1!$C$653</c:f>
              <c:strCache>
                <c:ptCount val="1"/>
                <c:pt idx="0">
                  <c:v>Exponential smothening</c:v>
                </c:pt>
              </c:strCache>
            </c:strRef>
          </c:tx>
          <c:val>
            <c:numRef>
              <c:f>Sheet1!$C$654:$C$665</c:f>
              <c:numCache>
                <c:formatCode>General</c:formatCode>
                <c:ptCount val="12"/>
                <c:pt idx="0">
                  <c:v>150</c:v>
                </c:pt>
                <c:pt idx="1">
                  <c:v>155</c:v>
                </c:pt>
                <c:pt idx="2">
                  <c:v>162.5</c:v>
                </c:pt>
                <c:pt idx="3">
                  <c:v>171.25</c:v>
                </c:pt>
                <c:pt idx="4">
                  <c:v>180.625</c:v>
                </c:pt>
                <c:pt idx="5">
                  <c:v>190.3125</c:v>
                </c:pt>
                <c:pt idx="6">
                  <c:v>200.15625</c:v>
                </c:pt>
                <c:pt idx="7">
                  <c:v>210.078125</c:v>
                </c:pt>
                <c:pt idx="8">
                  <c:v>220.0390625</c:v>
                </c:pt>
                <c:pt idx="9">
                  <c:v>230.01953125</c:v>
                </c:pt>
                <c:pt idx="10">
                  <c:v>240.009765625</c:v>
                </c:pt>
                <c:pt idx="11">
                  <c:v>250.0048828125</c:v>
                </c:pt>
              </c:numCache>
            </c:numRef>
          </c:val>
        </c:ser>
        <c:axId val="157723648"/>
        <c:axId val="157725440"/>
      </c:barChart>
      <c:catAx>
        <c:axId val="157723648"/>
        <c:scaling>
          <c:orientation val="minMax"/>
        </c:scaling>
        <c:axPos val="b"/>
        <c:tickLblPos val="nextTo"/>
        <c:crossAx val="157725440"/>
        <c:crosses val="autoZero"/>
        <c:auto val="1"/>
        <c:lblAlgn val="ctr"/>
        <c:lblOffset val="100"/>
      </c:catAx>
      <c:valAx>
        <c:axId val="157725440"/>
        <c:scaling>
          <c:orientation val="minMax"/>
        </c:scaling>
        <c:axPos val="l"/>
        <c:majorGridlines/>
        <c:numFmt formatCode="General" sourceLinked="1"/>
        <c:tickLblPos val="nextTo"/>
        <c:crossAx val="157723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chart" Target="../charts/chart1.xml"/><Relationship Id="rId18" Type="http://schemas.openxmlformats.org/officeDocument/2006/relationships/image" Target="../media/image15.png"/><Relationship Id="rId26" Type="http://schemas.openxmlformats.org/officeDocument/2006/relationships/image" Target="../media/image22.png"/><Relationship Id="rId39" Type="http://schemas.openxmlformats.org/officeDocument/2006/relationships/chart" Target="../charts/chart9.xml"/><Relationship Id="rId3" Type="http://schemas.openxmlformats.org/officeDocument/2006/relationships/image" Target="../media/image3.png"/><Relationship Id="rId21" Type="http://schemas.openxmlformats.org/officeDocument/2006/relationships/image" Target="../media/image18.png"/><Relationship Id="rId34" Type="http://schemas.openxmlformats.org/officeDocument/2006/relationships/chart" Target="../charts/chart7.xml"/><Relationship Id="rId42" Type="http://schemas.openxmlformats.org/officeDocument/2006/relationships/image" Target="../media/image3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4.png"/><Relationship Id="rId25" Type="http://schemas.openxmlformats.org/officeDocument/2006/relationships/chart" Target="../charts/chart4.xml"/><Relationship Id="rId33" Type="http://schemas.openxmlformats.org/officeDocument/2006/relationships/chart" Target="../charts/chart6.xml"/><Relationship Id="rId38" Type="http://schemas.openxmlformats.org/officeDocument/2006/relationships/image" Target="../media/image30.png"/><Relationship Id="rId46" Type="http://schemas.openxmlformats.org/officeDocument/2006/relationships/image" Target="../media/image37.png"/><Relationship Id="rId2" Type="http://schemas.openxmlformats.org/officeDocument/2006/relationships/image" Target="../media/image2.png"/><Relationship Id="rId16" Type="http://schemas.openxmlformats.org/officeDocument/2006/relationships/chart" Target="../charts/chart3.xml"/><Relationship Id="rId20" Type="http://schemas.openxmlformats.org/officeDocument/2006/relationships/image" Target="../media/image17.png"/><Relationship Id="rId29" Type="http://schemas.openxmlformats.org/officeDocument/2006/relationships/image" Target="../media/image25.png"/><Relationship Id="rId41" Type="http://schemas.openxmlformats.org/officeDocument/2006/relationships/image" Target="../media/image3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1.png"/><Relationship Id="rId32" Type="http://schemas.openxmlformats.org/officeDocument/2006/relationships/image" Target="../media/image27.png"/><Relationship Id="rId37" Type="http://schemas.openxmlformats.org/officeDocument/2006/relationships/image" Target="../media/image29.png"/><Relationship Id="rId40" Type="http://schemas.openxmlformats.org/officeDocument/2006/relationships/image" Target="../media/image31.png"/><Relationship Id="rId45" Type="http://schemas.openxmlformats.org/officeDocument/2006/relationships/image" Target="../media/image36.png"/><Relationship Id="rId5" Type="http://schemas.openxmlformats.org/officeDocument/2006/relationships/image" Target="../media/image5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4.png"/><Relationship Id="rId36" Type="http://schemas.openxmlformats.org/officeDocument/2006/relationships/chart" Target="../charts/chart8.xml"/><Relationship Id="rId10" Type="http://schemas.openxmlformats.org/officeDocument/2006/relationships/image" Target="../media/image10.png"/><Relationship Id="rId19" Type="http://schemas.openxmlformats.org/officeDocument/2006/relationships/image" Target="../media/image16.png"/><Relationship Id="rId31" Type="http://schemas.openxmlformats.org/officeDocument/2006/relationships/chart" Target="../charts/chart5.xml"/><Relationship Id="rId44" Type="http://schemas.openxmlformats.org/officeDocument/2006/relationships/image" Target="../media/image3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chart" Target="../charts/chart2.xml"/><Relationship Id="rId22" Type="http://schemas.openxmlformats.org/officeDocument/2006/relationships/image" Target="../media/image19.png"/><Relationship Id="rId27" Type="http://schemas.openxmlformats.org/officeDocument/2006/relationships/image" Target="../media/image23.png"/><Relationship Id="rId30" Type="http://schemas.openxmlformats.org/officeDocument/2006/relationships/image" Target="../media/image26.png"/><Relationship Id="rId35" Type="http://schemas.openxmlformats.org/officeDocument/2006/relationships/image" Target="../media/image28.png"/><Relationship Id="rId43" Type="http://schemas.openxmlformats.org/officeDocument/2006/relationships/image" Target="../media/image3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2</xdr:row>
      <xdr:rowOff>133350</xdr:rowOff>
    </xdr:from>
    <xdr:to>
      <xdr:col>8</xdr:col>
      <xdr:colOff>180975</xdr:colOff>
      <xdr:row>12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514350"/>
          <a:ext cx="6648450" cy="1847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581025</xdr:colOff>
      <xdr:row>27</xdr:row>
      <xdr:rowOff>38100</xdr:rowOff>
    </xdr:from>
    <xdr:to>
      <xdr:col>7</xdr:col>
      <xdr:colOff>219075</xdr:colOff>
      <xdr:row>34</xdr:row>
      <xdr:rowOff>180975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81025" y="5181600"/>
          <a:ext cx="5829300" cy="1476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6</xdr:col>
      <xdr:colOff>552450</xdr:colOff>
      <xdr:row>54</xdr:row>
      <xdr:rowOff>38100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8763000"/>
          <a:ext cx="5553075" cy="1562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8</xdr:col>
      <xdr:colOff>19050</xdr:colOff>
      <xdr:row>72</xdr:row>
      <xdr:rowOff>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12192000"/>
          <a:ext cx="6343650" cy="152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7</xdr:col>
      <xdr:colOff>704850</xdr:colOff>
      <xdr:row>85</xdr:row>
      <xdr:rowOff>95250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9600" y="15430500"/>
          <a:ext cx="6315075" cy="857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180975</xdr:colOff>
      <xdr:row>84</xdr:row>
      <xdr:rowOff>57150</xdr:rowOff>
    </xdr:from>
    <xdr:to>
      <xdr:col>7</xdr:col>
      <xdr:colOff>361950</xdr:colOff>
      <xdr:row>88</xdr:row>
      <xdr:rowOff>152400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790575" y="16059150"/>
          <a:ext cx="5791200" cy="857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7</xdr:col>
      <xdr:colOff>390525</xdr:colOff>
      <xdr:row>114</xdr:row>
      <xdr:rowOff>57150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9600" y="18669000"/>
          <a:ext cx="6000750" cy="1390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7</xdr:col>
      <xdr:colOff>428625</xdr:colOff>
      <xdr:row>135</xdr:row>
      <xdr:rowOff>95250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9600" y="22669500"/>
          <a:ext cx="6038850" cy="1428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7</xdr:col>
      <xdr:colOff>666750</xdr:colOff>
      <xdr:row>158</xdr:row>
      <xdr:rowOff>104775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9600" y="27051000"/>
          <a:ext cx="6276975" cy="1438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8</xdr:col>
      <xdr:colOff>247650</xdr:colOff>
      <xdr:row>182</xdr:row>
      <xdr:rowOff>19050</xdr:rowOff>
    </xdr:to>
    <xdr:pic>
      <xdr:nvPicPr>
        <xdr:cNvPr id="10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609600" y="31070550"/>
          <a:ext cx="6572250" cy="1924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8</xdr:col>
      <xdr:colOff>590550</xdr:colOff>
      <xdr:row>229</xdr:row>
      <xdr:rowOff>171450</xdr:rowOff>
    </xdr:to>
    <xdr:pic>
      <xdr:nvPicPr>
        <xdr:cNvPr id="10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9600" y="35833050"/>
          <a:ext cx="6915150" cy="2266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257</xdr:row>
      <xdr:rowOff>0</xdr:rowOff>
    </xdr:from>
    <xdr:to>
      <xdr:col>7</xdr:col>
      <xdr:colOff>685800</xdr:colOff>
      <xdr:row>263</xdr:row>
      <xdr:rowOff>28575</xdr:rowOff>
    </xdr:to>
    <xdr:pic>
      <xdr:nvPicPr>
        <xdr:cNvPr id="10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609600" y="43300650"/>
          <a:ext cx="6296025" cy="1171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371474</xdr:colOff>
      <xdr:row>266</xdr:row>
      <xdr:rowOff>66675</xdr:rowOff>
    </xdr:from>
    <xdr:to>
      <xdr:col>11</xdr:col>
      <xdr:colOff>504824</xdr:colOff>
      <xdr:row>276</xdr:row>
      <xdr:rowOff>85725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400050</xdr:colOff>
      <xdr:row>277</xdr:row>
      <xdr:rowOff>57150</xdr:rowOff>
    </xdr:from>
    <xdr:to>
      <xdr:col>8</xdr:col>
      <xdr:colOff>104775</xdr:colOff>
      <xdr:row>291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</xdr:col>
      <xdr:colOff>0</xdr:colOff>
      <xdr:row>293</xdr:row>
      <xdr:rowOff>0</xdr:rowOff>
    </xdr:from>
    <xdr:to>
      <xdr:col>8</xdr:col>
      <xdr:colOff>38100</xdr:colOff>
      <xdr:row>301</xdr:row>
      <xdr:rowOff>57150</xdr:rowOff>
    </xdr:to>
    <xdr:pic>
      <xdr:nvPicPr>
        <xdr:cNvPr id="10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609600" y="50158650"/>
          <a:ext cx="6362700" cy="1581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19050</xdr:colOff>
      <xdr:row>302</xdr:row>
      <xdr:rowOff>19050</xdr:rowOff>
    </xdr:from>
    <xdr:to>
      <xdr:col>11</xdr:col>
      <xdr:colOff>104775</xdr:colOff>
      <xdr:row>319</xdr:row>
      <xdr:rowOff>180975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</xdr:col>
      <xdr:colOff>0</xdr:colOff>
      <xdr:row>334</xdr:row>
      <xdr:rowOff>0</xdr:rowOff>
    </xdr:from>
    <xdr:to>
      <xdr:col>7</xdr:col>
      <xdr:colOff>561975</xdr:colOff>
      <xdr:row>341</xdr:row>
      <xdr:rowOff>133350</xdr:rowOff>
    </xdr:to>
    <xdr:pic>
      <xdr:nvPicPr>
        <xdr:cNvPr id="10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609600" y="57969150"/>
          <a:ext cx="6172200" cy="1466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161924</xdr:colOff>
      <xdr:row>341</xdr:row>
      <xdr:rowOff>76200</xdr:rowOff>
    </xdr:from>
    <xdr:to>
      <xdr:col>8</xdr:col>
      <xdr:colOff>57149</xdr:colOff>
      <xdr:row>346</xdr:row>
      <xdr:rowOff>19050</xdr:rowOff>
    </xdr:to>
    <xdr:pic>
      <xdr:nvPicPr>
        <xdr:cNvPr id="10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771524" y="59378850"/>
          <a:ext cx="6219825" cy="895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371</xdr:row>
      <xdr:rowOff>95250</xdr:rowOff>
    </xdr:from>
    <xdr:to>
      <xdr:col>7</xdr:col>
      <xdr:colOff>304800</xdr:colOff>
      <xdr:row>379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0" y="68808600"/>
          <a:ext cx="6429375" cy="1590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161925</xdr:colOff>
      <xdr:row>405</xdr:row>
      <xdr:rowOff>142875</xdr:rowOff>
    </xdr:from>
    <xdr:to>
      <xdr:col>7</xdr:col>
      <xdr:colOff>600075</xdr:colOff>
      <xdr:row>413</xdr:row>
      <xdr:rowOff>66675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161925" y="75333225"/>
          <a:ext cx="6562725" cy="1447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9525</xdr:colOff>
      <xdr:row>380</xdr:row>
      <xdr:rowOff>19050</xdr:rowOff>
    </xdr:from>
    <xdr:to>
      <xdr:col>9</xdr:col>
      <xdr:colOff>590550</xdr:colOff>
      <xdr:row>383</xdr:row>
      <xdr:rowOff>180975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5676900" y="64274700"/>
          <a:ext cx="1190625" cy="733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361950</xdr:colOff>
      <xdr:row>387</xdr:row>
      <xdr:rowOff>0</xdr:rowOff>
    </xdr:from>
    <xdr:to>
      <xdr:col>9</xdr:col>
      <xdr:colOff>104775</xdr:colOff>
      <xdr:row>390</xdr:row>
      <xdr:rowOff>142875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5543550" y="65589150"/>
          <a:ext cx="1066800" cy="714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76201</xdr:colOff>
      <xdr:row>382</xdr:row>
      <xdr:rowOff>114300</xdr:rowOff>
    </xdr:from>
    <xdr:to>
      <xdr:col>7</xdr:col>
      <xdr:colOff>361951</xdr:colOff>
      <xdr:row>388</xdr:row>
      <xdr:rowOff>166688</xdr:rowOff>
    </xdr:to>
    <xdr:cxnSp macro="">
      <xdr:nvCxnSpPr>
        <xdr:cNvPr id="25" name="Elbow Connector 24"/>
        <xdr:cNvCxnSpPr>
          <a:stCxn id="5" idx="1"/>
        </xdr:cNvCxnSpPr>
      </xdr:nvCxnSpPr>
      <xdr:spPr>
        <a:xfrm rot="10800000">
          <a:off x="2409826" y="64750950"/>
          <a:ext cx="3133725" cy="1195388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418</xdr:row>
      <xdr:rowOff>66675</xdr:rowOff>
    </xdr:from>
    <xdr:to>
      <xdr:col>8</xdr:col>
      <xdr:colOff>495300</xdr:colOff>
      <xdr:row>426</xdr:row>
      <xdr:rowOff>161925</xdr:rowOff>
    </xdr:to>
    <xdr:sp macro="" textlink="">
      <xdr:nvSpPr>
        <xdr:cNvPr id="26" name="Rectangle 25"/>
        <xdr:cNvSpPr/>
      </xdr:nvSpPr>
      <xdr:spPr>
        <a:xfrm>
          <a:off x="3152775" y="71942325"/>
          <a:ext cx="3648075" cy="161925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/>
            <a:t>A </a:t>
          </a:r>
          <a:r>
            <a:rPr lang="en-US">
              <a:solidFill>
                <a:schemeClr val="tx1"/>
              </a:solidFill>
            </a:rPr>
            <a:t>z-score of -1.54 for the salary of $40,000 means it is 1.54 standard deviations below the mean salary.</a:t>
          </a:r>
        </a:p>
        <a:p>
          <a:pPr algn="ctr"/>
          <a:r>
            <a:rPr lang="en-US">
              <a:solidFill>
                <a:schemeClr val="tx1"/>
              </a:solidFill>
            </a:rPr>
            <a:t>A z-score of 1.54 for the salary of $62,000 means it is 1.54 standard deviations above the mean salary.</a:t>
          </a:r>
        </a:p>
        <a:p>
          <a:pPr algn="ctr"/>
          <a:r>
            <a:rPr lang="en-US">
              <a:solidFill>
                <a:schemeClr val="tx1"/>
              </a:solidFill>
            </a:rPr>
            <a:t>A z-score of 0 for the salary of $51,000 means it is exactly at the mean salary.</a:t>
          </a:r>
        </a:p>
      </xdr:txBody>
    </xdr:sp>
    <xdr:clientData/>
  </xdr:twoCellAnchor>
  <xdr:twoCellAnchor>
    <xdr:from>
      <xdr:col>1</xdr:col>
      <xdr:colOff>152400</xdr:colOff>
      <xdr:row>430</xdr:row>
      <xdr:rowOff>19050</xdr:rowOff>
    </xdr:from>
    <xdr:to>
      <xdr:col>6</xdr:col>
      <xdr:colOff>295275</xdr:colOff>
      <xdr:row>435</xdr:row>
      <xdr:rowOff>57150</xdr:rowOff>
    </xdr:to>
    <xdr:sp macro="" textlink="">
      <xdr:nvSpPr>
        <xdr:cNvPr id="28" name="Rectangle 27"/>
        <xdr:cNvSpPr/>
      </xdr:nvSpPr>
      <xdr:spPr>
        <a:xfrm>
          <a:off x="542925" y="74180700"/>
          <a:ext cx="4838700" cy="9906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>
              <a:solidFill>
                <a:schemeClr val="tx1"/>
              </a:solidFill>
            </a:rPr>
            <a:t>Most salaries are within one standard deviation of the mean, which indicates that the salaries are fairly close to each other, suggesting a relatively normal distribution around the mean.The z-scores span from -1.54 to 1.54, indicating the dataset is moderately dispersed around the mean.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437</xdr:row>
      <xdr:rowOff>0</xdr:rowOff>
    </xdr:from>
    <xdr:to>
      <xdr:col>7</xdr:col>
      <xdr:colOff>457200</xdr:colOff>
      <xdr:row>445</xdr:row>
      <xdr:rowOff>114300</xdr:rowOff>
    </xdr:to>
    <xdr:pic>
      <xdr:nvPicPr>
        <xdr:cNvPr id="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390525" y="75495150"/>
          <a:ext cx="6191250" cy="1638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465</xdr:row>
      <xdr:rowOff>1</xdr:rowOff>
    </xdr:from>
    <xdr:to>
      <xdr:col>3</xdr:col>
      <xdr:colOff>152400</xdr:colOff>
      <xdr:row>468</xdr:row>
      <xdr:rowOff>38101</xdr:rowOff>
    </xdr:to>
    <xdr:pic>
      <xdr:nvPicPr>
        <xdr:cNvPr id="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1419225" y="80848201"/>
          <a:ext cx="1581150" cy="609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0</xdr:colOff>
      <xdr:row>469</xdr:row>
      <xdr:rowOff>0</xdr:rowOff>
    </xdr:from>
    <xdr:to>
      <xdr:col>10</xdr:col>
      <xdr:colOff>0</xdr:colOff>
      <xdr:row>479</xdr:row>
      <xdr:rowOff>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1</xdr:col>
      <xdr:colOff>0</xdr:colOff>
      <xdr:row>481</xdr:row>
      <xdr:rowOff>0</xdr:rowOff>
    </xdr:from>
    <xdr:to>
      <xdr:col>8</xdr:col>
      <xdr:colOff>209550</xdr:colOff>
      <xdr:row>490</xdr:row>
      <xdr:rowOff>28575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390525" y="83915250"/>
          <a:ext cx="6657975" cy="1743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333375</xdr:colOff>
      <xdr:row>489</xdr:row>
      <xdr:rowOff>57150</xdr:rowOff>
    </xdr:from>
    <xdr:to>
      <xdr:col>2</xdr:col>
      <xdr:colOff>1333500</xdr:colOff>
      <xdr:row>492</xdr:row>
      <xdr:rowOff>66675</xdr:rowOff>
    </xdr:to>
    <xdr:pic>
      <xdr:nvPicPr>
        <xdr:cNvPr id="1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 bwMode="auto">
        <a:xfrm>
          <a:off x="723900" y="85496400"/>
          <a:ext cx="2028825" cy="581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257176</xdr:colOff>
      <xdr:row>492</xdr:row>
      <xdr:rowOff>28575</xdr:rowOff>
    </xdr:from>
    <xdr:to>
      <xdr:col>8</xdr:col>
      <xdr:colOff>9526</xdr:colOff>
      <xdr:row>495</xdr:row>
      <xdr:rowOff>180975</xdr:rowOff>
    </xdr:to>
    <xdr:sp macro="" textlink="">
      <xdr:nvSpPr>
        <xdr:cNvPr id="34" name="Rectangle 33"/>
        <xdr:cNvSpPr/>
      </xdr:nvSpPr>
      <xdr:spPr>
        <a:xfrm>
          <a:off x="3924301" y="86039325"/>
          <a:ext cx="2743200" cy="7239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H0</a:t>
          </a:r>
          <a:r>
            <a:rPr lang="en-US" sz="1100" baseline="0">
              <a:solidFill>
                <a:sysClr val="windowText" lastClr="000000"/>
              </a:solidFill>
            </a:rPr>
            <a:t>- no effect in the blood pressure.</a:t>
          </a:r>
        </a:p>
        <a:p>
          <a:pPr algn="ctr"/>
          <a:r>
            <a:rPr lang="en-US" sz="1100" baseline="0">
              <a:solidFill>
                <a:sysClr val="windowText" lastClr="000000"/>
              </a:solidFill>
            </a:rPr>
            <a:t>Ha- there is  a effect in the blood pressure.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521</xdr:row>
      <xdr:rowOff>0</xdr:rowOff>
    </xdr:from>
    <xdr:to>
      <xdr:col>7</xdr:col>
      <xdr:colOff>504825</xdr:colOff>
      <xdr:row>528</xdr:row>
      <xdr:rowOff>114300</xdr:rowOff>
    </xdr:to>
    <xdr:pic>
      <xdr:nvPicPr>
        <xdr:cNvPr id="1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390525" y="91535250"/>
          <a:ext cx="6238875" cy="1447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66675</xdr:colOff>
      <xdr:row>541</xdr:row>
      <xdr:rowOff>28575</xdr:rowOff>
    </xdr:from>
    <xdr:to>
      <xdr:col>7</xdr:col>
      <xdr:colOff>0</xdr:colOff>
      <xdr:row>543</xdr:row>
      <xdr:rowOff>123825</xdr:rowOff>
    </xdr:to>
    <xdr:sp macro="" textlink="">
      <xdr:nvSpPr>
        <xdr:cNvPr id="37" name="Rectangle 36"/>
        <xdr:cNvSpPr/>
      </xdr:nvSpPr>
      <xdr:spPr>
        <a:xfrm>
          <a:off x="2914650" y="95373825"/>
          <a:ext cx="3028950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0</xdr:colOff>
      <xdr:row>540</xdr:row>
      <xdr:rowOff>190499</xdr:rowOff>
    </xdr:from>
    <xdr:to>
      <xdr:col>7</xdr:col>
      <xdr:colOff>47625</xdr:colOff>
      <xdr:row>544</xdr:row>
      <xdr:rowOff>76200</xdr:rowOff>
    </xdr:to>
    <xdr:sp macro="" textlink="">
      <xdr:nvSpPr>
        <xdr:cNvPr id="13" name="Text Box 9"/>
        <xdr:cNvSpPr txBox="1">
          <a:spLocks noChangeArrowheads="1"/>
        </xdr:cNvSpPr>
      </xdr:nvSpPr>
      <xdr:spPr bwMode="auto">
        <a:xfrm>
          <a:off x="2847975" y="95345249"/>
          <a:ext cx="3143250" cy="6477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For a 95% confidence level, the critical value 𝑧∗ x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(from the standard normal distribution) is approximately 1.96.</a:t>
          </a:r>
        </a:p>
      </xdr:txBody>
    </xdr:sp>
    <xdr:clientData/>
  </xdr:twoCellAnchor>
  <xdr:twoCellAnchor editAs="oneCell">
    <xdr:from>
      <xdr:col>3</xdr:col>
      <xdr:colOff>342900</xdr:colOff>
      <xdr:row>544</xdr:row>
      <xdr:rowOff>123825</xdr:rowOff>
    </xdr:from>
    <xdr:to>
      <xdr:col>4</xdr:col>
      <xdr:colOff>857250</xdr:colOff>
      <xdr:row>546</xdr:row>
      <xdr:rowOff>180975</xdr:rowOff>
    </xdr:to>
    <xdr:pic>
      <xdr:nvPicPr>
        <xdr:cNvPr id="1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3190875" y="96040575"/>
          <a:ext cx="1333500" cy="438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133351</xdr:colOff>
      <xdr:row>545</xdr:row>
      <xdr:rowOff>180975</xdr:rowOff>
    </xdr:from>
    <xdr:to>
      <xdr:col>2</xdr:col>
      <xdr:colOff>838201</xdr:colOff>
      <xdr:row>548</xdr:row>
      <xdr:rowOff>0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523876" y="96288225"/>
          <a:ext cx="1733550" cy="390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57150</xdr:colOff>
      <xdr:row>549</xdr:row>
      <xdr:rowOff>133350</xdr:rowOff>
    </xdr:from>
    <xdr:to>
      <xdr:col>8</xdr:col>
      <xdr:colOff>247650</xdr:colOff>
      <xdr:row>562</xdr:row>
      <xdr:rowOff>123825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oneCell">
    <xdr:from>
      <xdr:col>1</xdr:col>
      <xdr:colOff>0</xdr:colOff>
      <xdr:row>564</xdr:row>
      <xdr:rowOff>0</xdr:rowOff>
    </xdr:from>
    <xdr:to>
      <xdr:col>8</xdr:col>
      <xdr:colOff>19050</xdr:colOff>
      <xdr:row>571</xdr:row>
      <xdr:rowOff>133350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390525" y="99726750"/>
          <a:ext cx="6467475" cy="1466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619125</xdr:colOff>
      <xdr:row>573</xdr:row>
      <xdr:rowOff>28575</xdr:rowOff>
    </xdr:from>
    <xdr:to>
      <xdr:col>7</xdr:col>
      <xdr:colOff>666750</xdr:colOff>
      <xdr:row>587</xdr:row>
      <xdr:rowOff>104775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0</xdr:colOff>
      <xdr:row>597</xdr:row>
      <xdr:rowOff>19050</xdr:rowOff>
    </xdr:from>
    <xdr:to>
      <xdr:col>4</xdr:col>
      <xdr:colOff>276225</xdr:colOff>
      <xdr:row>607</xdr:row>
      <xdr:rowOff>9525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1</xdr:col>
      <xdr:colOff>0</xdr:colOff>
      <xdr:row>609</xdr:row>
      <xdr:rowOff>0</xdr:rowOff>
    </xdr:from>
    <xdr:to>
      <xdr:col>7</xdr:col>
      <xdr:colOff>371475</xdr:colOff>
      <xdr:row>617</xdr:row>
      <xdr:rowOff>95250</xdr:rowOff>
    </xdr:to>
    <xdr:pic>
      <xdr:nvPicPr>
        <xdr:cNvPr id="10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390525" y="108299250"/>
          <a:ext cx="6105525" cy="1619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133350</xdr:colOff>
      <xdr:row>626</xdr:row>
      <xdr:rowOff>66675</xdr:rowOff>
    </xdr:from>
    <xdr:to>
      <xdr:col>5</xdr:col>
      <xdr:colOff>600075</xdr:colOff>
      <xdr:row>640</xdr:row>
      <xdr:rowOff>142875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oneCell">
    <xdr:from>
      <xdr:col>4</xdr:col>
      <xdr:colOff>133351</xdr:colOff>
      <xdr:row>621</xdr:row>
      <xdr:rowOff>0</xdr:rowOff>
    </xdr:from>
    <xdr:to>
      <xdr:col>8</xdr:col>
      <xdr:colOff>219076</xdr:colOff>
      <xdr:row>624</xdr:row>
      <xdr:rowOff>152400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/>
        <a:srcRect/>
        <a:stretch>
          <a:fillRect/>
        </a:stretch>
      </xdr:blipFill>
      <xdr:spPr bwMode="auto">
        <a:xfrm>
          <a:off x="3800476" y="110394750"/>
          <a:ext cx="3257550" cy="723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642</xdr:row>
      <xdr:rowOff>0</xdr:rowOff>
    </xdr:from>
    <xdr:to>
      <xdr:col>7</xdr:col>
      <xdr:colOff>504825</xdr:colOff>
      <xdr:row>651</xdr:row>
      <xdr:rowOff>47625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/>
        <a:srcRect/>
        <a:stretch>
          <a:fillRect/>
        </a:stretch>
      </xdr:blipFill>
      <xdr:spPr bwMode="auto">
        <a:xfrm>
          <a:off x="390525" y="114395250"/>
          <a:ext cx="6238875" cy="1762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114300</xdr:colOff>
      <xdr:row>665</xdr:row>
      <xdr:rowOff>114300</xdr:rowOff>
    </xdr:from>
    <xdr:to>
      <xdr:col>5</xdr:col>
      <xdr:colOff>581025</xdr:colOff>
      <xdr:row>680</xdr:row>
      <xdr:rowOff>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 editAs="oneCell">
    <xdr:from>
      <xdr:col>0</xdr:col>
      <xdr:colOff>247650</xdr:colOff>
      <xdr:row>711</xdr:row>
      <xdr:rowOff>114300</xdr:rowOff>
    </xdr:from>
    <xdr:to>
      <xdr:col>7</xdr:col>
      <xdr:colOff>409575</xdr:colOff>
      <xdr:row>719</xdr:row>
      <xdr:rowOff>152400</xdr:rowOff>
    </xdr:to>
    <xdr:pic>
      <xdr:nvPicPr>
        <xdr:cNvPr id="1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/>
        <a:srcRect/>
        <a:stretch>
          <a:fillRect/>
        </a:stretch>
      </xdr:blipFill>
      <xdr:spPr bwMode="auto">
        <a:xfrm>
          <a:off x="247650" y="135988425"/>
          <a:ext cx="6286500" cy="1562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751</xdr:row>
      <xdr:rowOff>0</xdr:rowOff>
    </xdr:from>
    <xdr:to>
      <xdr:col>7</xdr:col>
      <xdr:colOff>390525</xdr:colOff>
      <xdr:row>756</xdr:row>
      <xdr:rowOff>114300</xdr:rowOff>
    </xdr:to>
    <xdr:pic>
      <xdr:nvPicPr>
        <xdr:cNvPr id="1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/>
        <a:srcRect/>
        <a:stretch>
          <a:fillRect/>
        </a:stretch>
      </xdr:blipFill>
      <xdr:spPr bwMode="auto">
        <a:xfrm>
          <a:off x="390525" y="135302625"/>
          <a:ext cx="6124575" cy="1066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775</xdr:row>
      <xdr:rowOff>0</xdr:rowOff>
    </xdr:from>
    <xdr:to>
      <xdr:col>7</xdr:col>
      <xdr:colOff>381000</xdr:colOff>
      <xdr:row>779</xdr:row>
      <xdr:rowOff>76200</xdr:rowOff>
    </xdr:to>
    <xdr:pic>
      <xdr:nvPicPr>
        <xdr:cNvPr id="1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/>
        <a:srcRect/>
        <a:stretch>
          <a:fillRect/>
        </a:stretch>
      </xdr:blipFill>
      <xdr:spPr bwMode="auto">
        <a:xfrm>
          <a:off x="390525" y="139874625"/>
          <a:ext cx="6115050" cy="838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797</xdr:row>
      <xdr:rowOff>0</xdr:rowOff>
    </xdr:from>
    <xdr:to>
      <xdr:col>7</xdr:col>
      <xdr:colOff>0</xdr:colOff>
      <xdr:row>802</xdr:row>
      <xdr:rowOff>9525</xdr:rowOff>
    </xdr:to>
    <xdr:pic>
      <xdr:nvPicPr>
        <xdr:cNvPr id="1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390525" y="144065625"/>
          <a:ext cx="5734050" cy="962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19051</xdr:colOff>
      <xdr:row>92</xdr:row>
      <xdr:rowOff>28575</xdr:rowOff>
    </xdr:from>
    <xdr:to>
      <xdr:col>9</xdr:col>
      <xdr:colOff>95250</xdr:colOff>
      <xdr:row>96</xdr:row>
      <xdr:rowOff>180975</xdr:rowOff>
    </xdr:to>
    <xdr:pic>
      <xdr:nvPicPr>
        <xdr:cNvPr id="2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 bwMode="auto">
        <a:xfrm>
          <a:off x="4695826" y="17573625"/>
          <a:ext cx="2847974" cy="91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428625</xdr:colOff>
      <xdr:row>350</xdr:row>
      <xdr:rowOff>142875</xdr:rowOff>
    </xdr:from>
    <xdr:to>
      <xdr:col>8</xdr:col>
      <xdr:colOff>514350</xdr:colOff>
      <xdr:row>352</xdr:row>
      <xdr:rowOff>161925</xdr:rowOff>
    </xdr:to>
    <xdr:pic>
      <xdr:nvPicPr>
        <xdr:cNvPr id="2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5105400" y="66951225"/>
          <a:ext cx="2247900" cy="400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600076</xdr:colOff>
      <xdr:row>355</xdr:row>
      <xdr:rowOff>38101</xdr:rowOff>
    </xdr:from>
    <xdr:to>
      <xdr:col>7</xdr:col>
      <xdr:colOff>504826</xdr:colOff>
      <xdr:row>357</xdr:row>
      <xdr:rowOff>19051</xdr:rowOff>
    </xdr:to>
    <xdr:pic>
      <xdr:nvPicPr>
        <xdr:cNvPr id="2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/>
        <a:srcRect/>
        <a:stretch>
          <a:fillRect/>
        </a:stretch>
      </xdr:blipFill>
      <xdr:spPr bwMode="auto">
        <a:xfrm>
          <a:off x="5276851" y="67798951"/>
          <a:ext cx="1352550" cy="361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66676</xdr:colOff>
      <xdr:row>357</xdr:row>
      <xdr:rowOff>19050</xdr:rowOff>
    </xdr:from>
    <xdr:to>
      <xdr:col>5</xdr:col>
      <xdr:colOff>800101</xdr:colOff>
      <xdr:row>358</xdr:row>
      <xdr:rowOff>38100</xdr:rowOff>
    </xdr:to>
    <xdr:cxnSp macro="">
      <xdr:nvCxnSpPr>
        <xdr:cNvPr id="55" name="Curved Connector 54"/>
        <xdr:cNvCxnSpPr/>
      </xdr:nvCxnSpPr>
      <xdr:spPr>
        <a:xfrm rot="10800000" flipV="1">
          <a:off x="4743451" y="68160900"/>
          <a:ext cx="733425" cy="209550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shiba" refreshedDate="45461.504519328701" createdVersion="3" refreshedVersion="3" minRefreshableVersion="3" recordCount="12">
  <cacheSource type="worksheet">
    <worksheetSource name="Table12"/>
  </cacheSource>
  <cacheFields count="1">
    <cacheField name="sales" numFmtId="0">
      <sharedItems containsSemiMixedTypes="0" containsString="0" containsNumber="1" containsInteger="1" minValue="1200" maxValue="18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n v="1200"/>
  </r>
  <r>
    <n v="1300"/>
  </r>
  <r>
    <n v="1250"/>
  </r>
  <r>
    <n v="1400"/>
  </r>
  <r>
    <n v="1350"/>
  </r>
  <r>
    <n v="1500"/>
  </r>
  <r>
    <n v="1600"/>
  </r>
  <r>
    <n v="1550"/>
  </r>
  <r>
    <n v="1700"/>
  </r>
  <r>
    <n v="1650"/>
  </r>
  <r>
    <n v="1800"/>
  </r>
  <r>
    <n v="17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E303:G320" firstHeaderRow="1" firstDataRow="1" firstDataCol="0"/>
  <pivotFields count="1">
    <pivotField showAll="0"/>
  </pivot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C14:C26" totalsRowShown="0">
  <autoFilter ref="C14:C26"/>
  <sortState ref="C15:C26">
    <sortCondition ref="C14:C26"/>
  </sortState>
  <tableColumns count="1">
    <tableColumn id="1" name="Temperatur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C232:E237" totalsRowShown="0">
  <autoFilter ref="C232:E237">
    <filterColumn colId="1"/>
    <filterColumn colId="2"/>
  </autoFilter>
  <tableColumns count="3">
    <tableColumn id="1" name="A"/>
    <tableColumn id="2" name="B"/>
    <tableColumn id="3" name="C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C265:D275" totalsRowShown="0">
  <autoFilter ref="C265:D275">
    <filterColumn colId="1"/>
  </autoFilter>
  <tableColumns count="2">
    <tableColumn id="1" name="Daily stockprice"/>
    <tableColumn id="2" name="3 day average">
      <calculatedColumnFormula>AVERAGE(C264:C266)</calculatedColumnFormula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C303:C315" totalsRowShown="0">
  <autoFilter ref="C303:C315"/>
  <tableColumns count="1">
    <tableColumn id="1" name="sales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B383:C393" totalsRowShown="0">
  <autoFilter ref="B383:C393">
    <filterColumn colId="1"/>
  </autoFilter>
  <tableColumns count="2">
    <tableColumn id="1" name="Weights"/>
    <tableColumn id="2" name="z-score">
      <calculatedColumnFormula>(Table13[[#This Row],[Weights]]-71)/1.825741858</calculatedColumnFormula>
    </tableColumn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B416:C426" totalsRowShown="0">
  <autoFilter ref="B416:C426">
    <filterColumn colId="1"/>
  </autoFilter>
  <tableColumns count="2">
    <tableColumn id="1" name="Annual salary"/>
    <tableColumn id="2" name="Z-score">
      <calculatedColumnFormula>(Table14[[#This Row],[Annual salary]]-51)/7.527726527</calculatedColumnFormula>
    </tableColumn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B448:E458" totalsRowShown="0">
  <autoFilter ref="B448:E458">
    <filterColumn colId="1"/>
    <filterColumn colId="2"/>
    <filterColumn colId="3"/>
  </autoFilter>
  <tableColumns count="4">
    <tableColumn id="1" name="scores"/>
    <tableColumn id="2" name="bins"/>
    <tableColumn id="3" name="z score">
      <calculatedColumnFormula>(Table15[[#This Row],[scores]]-96)/7.5277</calculatedColumnFormula>
    </tableColumn>
    <tableColumn id="4" name="pvalue">
      <calculatedColumnFormula>NORMDIST(Table15[[#This Row],[scores]],96,7.527726527,TRUE)</calculatedColumnFormula>
    </tableColumn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6" name="Table16" displayName="Table16" ref="B494:B504" totalsRowShown="0">
  <autoFilter ref="B494:B504"/>
  <tableColumns count="1">
    <tableColumn id="1" name="blood pressure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7" name="Table17" displayName="Table17" ref="B530:B540" totalsRowShown="0">
  <autoFilter ref="B530:B540"/>
  <tableColumns count="1">
    <tableColumn id="1" name="Income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18" name="Table18" displayName="Table18" ref="B574:B588" totalsRowShown="0">
  <autoFilter ref="B574:B588"/>
  <tableColumns count="1">
    <tableColumn id="1" name="temperature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19" name="Table19" displayName="Table19" ref="B621:D626" totalsRowShown="0">
  <autoFilter ref="B621:D626">
    <filterColumn colId="1"/>
    <filterColumn colId="2"/>
  </autoFilter>
  <tableColumns count="3">
    <tableColumn id="1" name="spending"/>
    <tableColumn id="2" name="sales"/>
    <tableColumn id="3" name="exponential smoothing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37:C45" totalsRowShown="0">
  <autoFilter ref="C37:C45"/>
  <sortState ref="C38:C45">
    <sortCondition ref="C37:C45"/>
  </sortState>
  <tableColumns count="1">
    <tableColumn id="1" name="Height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20" name="Table20" displayName="Table20" ref="B653:C665" totalsRowShown="0">
  <autoFilter ref="B653:C665">
    <filterColumn colId="1"/>
  </autoFilter>
  <tableColumns count="2">
    <tableColumn id="1" name="monthly sale"/>
    <tableColumn id="2" name="Exponential smothening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21" name="Table21" displayName="Table21" ref="B722:D727" totalsRowShown="0">
  <autoFilter ref="B722:D727">
    <filterColumn colId="1"/>
    <filterColumn colId="2"/>
  </autoFilter>
  <tableColumns count="3">
    <tableColumn id="1" name="advertising"/>
    <tableColumn id="2" name="sales"/>
    <tableColumn id="3" name="spending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56:C63" totalsRowShown="0">
  <autoFilter ref="C56:C63"/>
  <tableColumns count="1">
    <tableColumn id="1" name="Weekly expens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C75:D80" totalsRowShown="0">
  <autoFilter ref="C75:D80">
    <filterColumn colId="1"/>
  </autoFilter>
  <tableColumns count="2">
    <tableColumn id="1" name="advertising spending"/>
    <tableColumn id="2" name="sale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C91:E97" totalsRowCount="1">
  <autoFilter ref="C91:E96">
    <filterColumn colId="1"/>
    <filterColumn colId="2"/>
  </autoFilter>
  <tableColumns count="3">
    <tableColumn id="1" name="study hour" totalsRowFunction="custom" totalsRowDxfId="3">
      <totalsRowFormula>SUM([study hour])</totalsRowFormula>
    </tableColumn>
    <tableColumn id="2" name="exam scores" totalsRowFunction="custom" totalsRowDxfId="2">
      <totalsRowFormula>SUM([exam scores])</totalsRowFormula>
    </tableColumn>
    <tableColumn id="3" name="x*y" totalsRowFunction="custom" totalsRowDxfId="1">
      <calculatedColumnFormula>Table5[[#This Row],[study hour]]*Table5[[#This Row],[exam scores]]</calculatedColumnFormula>
      <totalsRowFormula>SUM([x*y])</totalsRow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C117:C127" totalsRowShown="0">
  <autoFilter ref="C117:C127"/>
  <tableColumns count="1">
    <tableColumn id="1" name="monthly saving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C138:C148" totalsRowShown="0">
  <autoFilter ref="C138:C148"/>
  <tableColumns count="1">
    <tableColumn id="1" name="ages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C161:D171" totalsRowShown="0">
  <autoFilter ref="C161:D171">
    <filterColumn colId="1"/>
  </autoFilter>
  <tableColumns count="2">
    <tableColumn id="1" name="grades"/>
    <tableColumn id="4" name="weight" dataDxfId="0">
      <calculatedColumnFormula>VLOOKUP(Table8[[#This Row],[grades]],G163:H167,2,FALSE)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C184:F189" totalsRowShown="0">
  <autoFilter ref="C184:F189">
    <filterColumn colId="1"/>
    <filterColumn colId="2"/>
    <filterColumn colId="3"/>
  </autoFilter>
  <tableColumns count="4">
    <tableColumn id="1" name="advertising spending"/>
    <tableColumn id="2" name="sales"/>
    <tableColumn id="3" name="adv-mean">
      <calculatedColumnFormula>Table9[[#This Row],[advertising spending]]-20</calculatedColumnFormula>
    </tableColumn>
    <tableColumn id="4" name="sales-mean">
      <calculatedColumnFormula>Table9[[#This Row],[sales]]-150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13" Type="http://schemas.openxmlformats.org/officeDocument/2006/relationships/table" Target="../tables/table10.xml"/><Relationship Id="rId18" Type="http://schemas.openxmlformats.org/officeDocument/2006/relationships/table" Target="../tables/table15.xml"/><Relationship Id="rId3" Type="http://schemas.openxmlformats.org/officeDocument/2006/relationships/drawing" Target="../drawings/drawing1.xml"/><Relationship Id="rId21" Type="http://schemas.openxmlformats.org/officeDocument/2006/relationships/table" Target="../tables/table18.xml"/><Relationship Id="rId7" Type="http://schemas.openxmlformats.org/officeDocument/2006/relationships/table" Target="../tables/table4.xml"/><Relationship Id="rId12" Type="http://schemas.openxmlformats.org/officeDocument/2006/relationships/table" Target="../tables/table9.xml"/><Relationship Id="rId17" Type="http://schemas.openxmlformats.org/officeDocument/2006/relationships/table" Target="../tables/table14.xml"/><Relationship Id="rId2" Type="http://schemas.openxmlformats.org/officeDocument/2006/relationships/printerSettings" Target="../printerSettings/printerSettings1.bin"/><Relationship Id="rId16" Type="http://schemas.openxmlformats.org/officeDocument/2006/relationships/table" Target="../tables/table13.xml"/><Relationship Id="rId20" Type="http://schemas.openxmlformats.org/officeDocument/2006/relationships/table" Target="../tables/table17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3.xml"/><Relationship Id="rId11" Type="http://schemas.openxmlformats.org/officeDocument/2006/relationships/table" Target="../tables/table8.xml"/><Relationship Id="rId24" Type="http://schemas.openxmlformats.org/officeDocument/2006/relationships/table" Target="../tables/table21.xml"/><Relationship Id="rId5" Type="http://schemas.openxmlformats.org/officeDocument/2006/relationships/table" Target="../tables/table2.xml"/><Relationship Id="rId15" Type="http://schemas.openxmlformats.org/officeDocument/2006/relationships/table" Target="../tables/table12.xml"/><Relationship Id="rId23" Type="http://schemas.openxmlformats.org/officeDocument/2006/relationships/table" Target="../tables/table20.xml"/><Relationship Id="rId10" Type="http://schemas.openxmlformats.org/officeDocument/2006/relationships/table" Target="../tables/table7.xml"/><Relationship Id="rId19" Type="http://schemas.openxmlformats.org/officeDocument/2006/relationships/table" Target="../tables/table16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Relationship Id="rId14" Type="http://schemas.openxmlformats.org/officeDocument/2006/relationships/table" Target="../tables/table11.xml"/><Relationship Id="rId22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4:L818"/>
  <sheetViews>
    <sheetView tabSelected="1" workbookViewId="0">
      <selection activeCell="A653" sqref="A653:A665"/>
    </sheetView>
  </sheetViews>
  <sheetFormatPr defaultRowHeight="15"/>
  <cols>
    <col min="1" max="1" width="5.85546875" customWidth="1"/>
    <col min="2" max="2" width="15.42578125" customWidth="1"/>
    <col min="3" max="3" width="21.42578125" customWidth="1"/>
    <col min="4" max="4" width="12.28515625" bestFit="1" customWidth="1"/>
    <col min="5" max="5" width="15.140625" customWidth="1"/>
    <col min="6" max="6" width="12.5703125" customWidth="1"/>
    <col min="8" max="8" width="10.7109375" customWidth="1"/>
  </cols>
  <sheetData>
    <row r="14" spans="3:6">
      <c r="C14" t="s">
        <v>1</v>
      </c>
      <c r="E14" t="s">
        <v>3</v>
      </c>
      <c r="F14">
        <v>12</v>
      </c>
    </row>
    <row r="15" spans="3:6">
      <c r="C15" s="1">
        <v>10</v>
      </c>
      <c r="E15" t="s">
        <v>2</v>
      </c>
      <c r="F15">
        <f>SUM(Table1[Temperature])/F14</f>
        <v>15.916666666666666</v>
      </c>
    </row>
    <row r="16" spans="3:6">
      <c r="C16">
        <v>12</v>
      </c>
      <c r="E16" t="s">
        <v>4</v>
      </c>
      <c r="F16">
        <f>MEDIAN(Table1[Temperature])</f>
        <v>15.5</v>
      </c>
    </row>
    <row r="17" spans="3:6">
      <c r="C17" s="1">
        <v>13</v>
      </c>
      <c r="E17" t="s">
        <v>5</v>
      </c>
      <c r="F17">
        <f>MODE(Table1[Temperature])</f>
        <v>15</v>
      </c>
    </row>
    <row r="18" spans="3:6">
      <c r="C18" s="1">
        <v>14</v>
      </c>
      <c r="E18" t="s">
        <v>6</v>
      </c>
      <c r="F18">
        <f>(C26-C15)</f>
        <v>12</v>
      </c>
    </row>
    <row r="19" spans="3:6">
      <c r="C19" s="1">
        <v>15</v>
      </c>
      <c r="E19" t="s">
        <v>7</v>
      </c>
      <c r="F19">
        <f>VAR(Table1[Temperature])</f>
        <v>12.08333333333332</v>
      </c>
    </row>
    <row r="20" spans="3:6">
      <c r="C20" s="1">
        <v>15</v>
      </c>
    </row>
    <row r="21" spans="3:6">
      <c r="C21" s="1">
        <v>16</v>
      </c>
    </row>
    <row r="22" spans="3:6">
      <c r="C22" s="1">
        <v>17</v>
      </c>
    </row>
    <row r="23" spans="3:6">
      <c r="C23" s="1">
        <v>18</v>
      </c>
    </row>
    <row r="24" spans="3:6">
      <c r="C24" s="1">
        <v>19</v>
      </c>
    </row>
    <row r="25" spans="3:6">
      <c r="C25" s="1">
        <v>20</v>
      </c>
    </row>
    <row r="26" spans="3:6">
      <c r="C26" s="1">
        <v>22</v>
      </c>
    </row>
    <row r="37" spans="3:6">
      <c r="C37" t="s">
        <v>8</v>
      </c>
    </row>
    <row r="38" spans="3:6">
      <c r="C38">
        <v>150</v>
      </c>
      <c r="E38" t="s">
        <v>3</v>
      </c>
      <c r="F38">
        <v>8</v>
      </c>
    </row>
    <row r="39" spans="3:6">
      <c r="C39" s="1">
        <v>155</v>
      </c>
      <c r="E39" t="s">
        <v>9</v>
      </c>
      <c r="F39">
        <f>(C45-C38)</f>
        <v>20</v>
      </c>
    </row>
    <row r="40" spans="3:6">
      <c r="C40" s="1">
        <v>160</v>
      </c>
      <c r="E40" t="s">
        <v>7</v>
      </c>
      <c r="F40">
        <f>VAR(Table2[Height])</f>
        <v>43.642857142857146</v>
      </c>
    </row>
    <row r="41" spans="3:6">
      <c r="C41" s="1">
        <v>160</v>
      </c>
      <c r="E41" t="s">
        <v>10</v>
      </c>
      <c r="F41">
        <f>STDEV(Table2[Height])</f>
        <v>6.6062740741553512</v>
      </c>
    </row>
    <row r="42" spans="3:6">
      <c r="C42" s="1">
        <v>162</v>
      </c>
    </row>
    <row r="43" spans="3:6">
      <c r="C43" s="1">
        <v>165</v>
      </c>
    </row>
    <row r="44" spans="3:6">
      <c r="C44" s="1">
        <v>168</v>
      </c>
    </row>
    <row r="45" spans="3:6">
      <c r="C45" s="1">
        <v>170</v>
      </c>
    </row>
    <row r="56" spans="3:9">
      <c r="C56" t="s">
        <v>11</v>
      </c>
    </row>
    <row r="57" spans="3:9">
      <c r="C57">
        <v>200</v>
      </c>
      <c r="E57" t="s">
        <v>3</v>
      </c>
      <c r="F57">
        <v>7</v>
      </c>
    </row>
    <row r="58" spans="3:9">
      <c r="C58" s="1">
        <v>250</v>
      </c>
      <c r="E58" t="s">
        <v>12</v>
      </c>
      <c r="F58">
        <f>STDEV(Table3[Weekly expense])</f>
        <v>41.518785191880632</v>
      </c>
    </row>
    <row r="59" spans="3:9" ht="15.75" thickBot="1">
      <c r="C59" s="1">
        <v>300</v>
      </c>
      <c r="E59" t="s">
        <v>13</v>
      </c>
      <c r="F59">
        <f>MEDIAN(Table3[Weekly expense])</f>
        <v>270</v>
      </c>
    </row>
    <row r="60" spans="3:9">
      <c r="C60" s="1">
        <v>220</v>
      </c>
      <c r="E60" t="s">
        <v>14</v>
      </c>
      <c r="F60" s="12"/>
      <c r="G60" s="12" t="s">
        <v>108</v>
      </c>
    </row>
    <row r="61" spans="3:9" ht="15.75" thickBot="1">
      <c r="C61" s="1">
        <v>270</v>
      </c>
      <c r="F61" s="11" t="s">
        <v>108</v>
      </c>
      <c r="G61" s="11">
        <f>VARP(Sheet1!$C$57:$C$63)</f>
        <v>1477.5510204081634</v>
      </c>
    </row>
    <row r="62" spans="3:9">
      <c r="C62" s="1">
        <v>290</v>
      </c>
      <c r="H62" s="28"/>
      <c r="I62" s="28"/>
    </row>
    <row r="63" spans="3:9">
      <c r="C63" s="1">
        <v>310</v>
      </c>
      <c r="H63" s="10"/>
      <c r="I63" s="10"/>
    </row>
    <row r="75" spans="3:7">
      <c r="C75" t="s">
        <v>15</v>
      </c>
      <c r="D75" t="s">
        <v>16</v>
      </c>
      <c r="F75" t="s">
        <v>14</v>
      </c>
      <c r="G75">
        <f>COVAR(Table4[advertising spending],Table4[sales])</f>
        <v>260</v>
      </c>
    </row>
    <row r="76" spans="3:7">
      <c r="C76">
        <v>10</v>
      </c>
      <c r="D76">
        <v>100</v>
      </c>
      <c r="F76" t="s">
        <v>17</v>
      </c>
      <c r="G76">
        <f>CORREL(Table4[advertising spending],Table4[sales])</f>
        <v>0.9970544855015816</v>
      </c>
    </row>
    <row r="77" spans="3:7">
      <c r="C77" s="1">
        <v>20</v>
      </c>
      <c r="D77">
        <v>150</v>
      </c>
    </row>
    <row r="78" spans="3:7">
      <c r="C78" s="1">
        <v>15</v>
      </c>
      <c r="D78">
        <v>120</v>
      </c>
    </row>
    <row r="79" spans="3:7">
      <c r="C79" s="1">
        <v>25</v>
      </c>
      <c r="D79">
        <v>180</v>
      </c>
    </row>
    <row r="80" spans="3:7">
      <c r="C80" s="1">
        <v>30</v>
      </c>
      <c r="D80">
        <v>200</v>
      </c>
    </row>
    <row r="91" spans="3:7">
      <c r="C91" t="s">
        <v>18</v>
      </c>
      <c r="D91" t="s">
        <v>19</v>
      </c>
      <c r="E91" t="s">
        <v>180</v>
      </c>
      <c r="F91" s="2" t="s">
        <v>20</v>
      </c>
      <c r="G91">
        <f>CORREL(Table5[study hour],Table5[exam scores])</f>
        <v>0.99999999999999978</v>
      </c>
    </row>
    <row r="92" spans="3:7">
      <c r="C92">
        <v>2</v>
      </c>
      <c r="D92">
        <v>55</v>
      </c>
      <c r="E92">
        <f>Table5[[#This Row],[study hour]]*Table5[[#This Row],[exam scores]]</f>
        <v>110</v>
      </c>
      <c r="F92" s="2"/>
    </row>
    <row r="93" spans="3:7">
      <c r="C93" s="1">
        <v>4</v>
      </c>
      <c r="D93">
        <v>60</v>
      </c>
      <c r="E93">
        <f>Table5[[#This Row],[study hour]]*Table5[[#This Row],[exam scores]]</f>
        <v>240</v>
      </c>
      <c r="F93" s="2" t="s">
        <v>21</v>
      </c>
    </row>
    <row r="94" spans="3:7">
      <c r="C94" s="1">
        <v>6</v>
      </c>
      <c r="D94">
        <v>65</v>
      </c>
      <c r="E94">
        <f>Table5[[#This Row],[study hour]]*Table5[[#This Row],[exam scores]]</f>
        <v>390</v>
      </c>
      <c r="F94" s="2"/>
      <c r="G94" t="s">
        <v>177</v>
      </c>
    </row>
    <row r="95" spans="3:7">
      <c r="C95" s="1">
        <v>8</v>
      </c>
      <c r="D95">
        <v>70</v>
      </c>
      <c r="E95">
        <f>Table5[[#This Row],[study hour]]*Table5[[#This Row],[exam scores]]</f>
        <v>560</v>
      </c>
    </row>
    <row r="96" spans="3:7">
      <c r="C96" s="1">
        <v>10</v>
      </c>
      <c r="D96">
        <v>75</v>
      </c>
      <c r="E96">
        <f>Table5[[#This Row],[study hour]]*Table5[[#This Row],[exam scores]]</f>
        <v>750</v>
      </c>
      <c r="F96" s="2"/>
    </row>
    <row r="97" spans="2:7">
      <c r="B97" t="s">
        <v>80</v>
      </c>
      <c r="C97" s="1">
        <f>SUM([study hour])</f>
        <v>30</v>
      </c>
      <c r="D97" s="1">
        <f>SUM([exam scores])</f>
        <v>325</v>
      </c>
      <c r="E97" s="1">
        <f>SUM([x*y])</f>
        <v>2050</v>
      </c>
      <c r="F97" s="2"/>
    </row>
    <row r="98" spans="2:7">
      <c r="B98" t="s">
        <v>178</v>
      </c>
      <c r="C98" s="1">
        <f>(C92^2)+(C93^2)+(C94^2)+(C95^2)+(C96^2)</f>
        <v>220</v>
      </c>
      <c r="D98" s="1">
        <f>(D92^2)+(D93^2)+(D94^2)+(D95^2)+(D96^2)</f>
        <v>21375</v>
      </c>
      <c r="F98" s="2"/>
    </row>
    <row r="99" spans="2:7">
      <c r="B99" t="s">
        <v>3</v>
      </c>
      <c r="C99" s="1">
        <v>5</v>
      </c>
      <c r="F99" s="2" t="s">
        <v>181</v>
      </c>
      <c r="G99">
        <f>CORREL(Table5[study hour],Table5[exam scores])</f>
        <v>0.99999999999999978</v>
      </c>
    </row>
    <row r="100" spans="2:7">
      <c r="B100" t="s">
        <v>179</v>
      </c>
      <c r="C100" s="1">
        <f>Table5[[#Totals],[study hour]]+Table5[[#Totals],[exam scores]]</f>
        <v>355</v>
      </c>
      <c r="F100" s="2"/>
    </row>
    <row r="101" spans="2:7">
      <c r="B101" s="33" t="s">
        <v>127</v>
      </c>
      <c r="C101" s="34">
        <f>QUARTILE(Table5[study hour],1)</f>
        <v>4</v>
      </c>
      <c r="D101" s="34">
        <f>QUARTILE(Table5[exam scores],1)</f>
        <v>60</v>
      </c>
      <c r="E101" s="2" t="s">
        <v>182</v>
      </c>
      <c r="F101" s="2"/>
    </row>
    <row r="102" spans="2:7">
      <c r="B102" s="33" t="s">
        <v>128</v>
      </c>
      <c r="C102" s="34">
        <f>QUARTILE(Table5[study hour],3)</f>
        <v>8</v>
      </c>
      <c r="D102" s="34">
        <f>QUARTILE(Table5[exam scores],3)</f>
        <v>70</v>
      </c>
      <c r="F102" s="2"/>
    </row>
    <row r="103" spans="2:7">
      <c r="B103" t="s">
        <v>22</v>
      </c>
      <c r="C103" s="1">
        <f>C102-C101</f>
        <v>4</v>
      </c>
      <c r="D103" s="1">
        <f>D102-D101</f>
        <v>10</v>
      </c>
      <c r="F103" s="2"/>
    </row>
    <row r="104" spans="2:7">
      <c r="C104" s="1"/>
      <c r="F104" s="2"/>
    </row>
    <row r="105" spans="2:7">
      <c r="C105" s="1"/>
      <c r="F105" s="2"/>
    </row>
    <row r="117" spans="3:6">
      <c r="C117" t="s">
        <v>23</v>
      </c>
      <c r="E117" t="s">
        <v>3</v>
      </c>
      <c r="F117">
        <f>COUNT(Table6[monthly savings])</f>
        <v>10</v>
      </c>
    </row>
    <row r="118" spans="3:6">
      <c r="C118">
        <v>200</v>
      </c>
      <c r="E118" t="s">
        <v>24</v>
      </c>
      <c r="F118">
        <f>QUARTILE(Table6[monthly savings],1)</f>
        <v>425</v>
      </c>
    </row>
    <row r="119" spans="3:6">
      <c r="C119" s="1">
        <v>300</v>
      </c>
      <c r="E119" t="s">
        <v>25</v>
      </c>
      <c r="F119">
        <f>QUARTILE(Table6[monthly savings],3)</f>
        <v>875</v>
      </c>
    </row>
    <row r="120" spans="3:6">
      <c r="C120" s="1">
        <v>400</v>
      </c>
    </row>
    <row r="121" spans="3:6">
      <c r="C121" s="1">
        <v>500</v>
      </c>
      <c r="E121" t="s">
        <v>22</v>
      </c>
      <c r="F121">
        <f>F119-F118</f>
        <v>450</v>
      </c>
    </row>
    <row r="122" spans="3:6">
      <c r="C122" s="1">
        <v>600</v>
      </c>
      <c r="E122" t="s">
        <v>26</v>
      </c>
      <c r="F122">
        <f>F118-(1.5*F121)</f>
        <v>-250</v>
      </c>
    </row>
    <row r="123" spans="3:6">
      <c r="C123" s="1">
        <v>700</v>
      </c>
      <c r="E123" t="s">
        <v>27</v>
      </c>
      <c r="F123">
        <f>F119+(1.5*F121)</f>
        <v>1550</v>
      </c>
    </row>
    <row r="124" spans="3:6">
      <c r="C124" s="1">
        <v>800</v>
      </c>
    </row>
    <row r="125" spans="3:6">
      <c r="C125" s="1">
        <v>900</v>
      </c>
      <c r="E125" s="2" t="s">
        <v>28</v>
      </c>
    </row>
    <row r="126" spans="3:6">
      <c r="C126" s="1">
        <v>1000</v>
      </c>
    </row>
    <row r="127" spans="3:6">
      <c r="C127" s="1">
        <v>1100</v>
      </c>
    </row>
    <row r="138" spans="3:9">
      <c r="C138" t="s">
        <v>29</v>
      </c>
      <c r="E138" t="s">
        <v>24</v>
      </c>
      <c r="F138">
        <f>QUARTILE(Table7[ages],1)</f>
        <v>28.5</v>
      </c>
    </row>
    <row r="139" spans="3:9">
      <c r="C139">
        <v>22</v>
      </c>
      <c r="E139" t="s">
        <v>25</v>
      </c>
      <c r="F139">
        <f>QUARTILE(Table7[ages],3)</f>
        <v>48.75</v>
      </c>
    </row>
    <row r="140" spans="3:9">
      <c r="C140" s="1">
        <v>25</v>
      </c>
    </row>
    <row r="141" spans="3:9">
      <c r="C141" s="1">
        <v>28</v>
      </c>
      <c r="E141" s="2" t="s">
        <v>22</v>
      </c>
      <c r="F141">
        <f>F139-F138</f>
        <v>20.25</v>
      </c>
    </row>
    <row r="142" spans="3:9">
      <c r="C142" s="1">
        <v>30</v>
      </c>
    </row>
    <row r="143" spans="3:9">
      <c r="C143" s="1">
        <v>35</v>
      </c>
      <c r="E143" t="s">
        <v>26</v>
      </c>
      <c r="F143">
        <f>F138-1.5*F141</f>
        <v>-1.875</v>
      </c>
      <c r="I143">
        <f xml:space="preserve"> 25 - 1.5 * 20</f>
        <v>-5</v>
      </c>
    </row>
    <row r="144" spans="3:9">
      <c r="C144" s="1">
        <v>40</v>
      </c>
      <c r="E144" t="s">
        <v>27</v>
      </c>
      <c r="F144">
        <f>F139+1.5*F141</f>
        <v>79.125</v>
      </c>
    </row>
    <row r="145" spans="3:6">
      <c r="C145" s="1">
        <v>45</v>
      </c>
    </row>
    <row r="146" spans="3:6">
      <c r="C146" s="1">
        <v>50</v>
      </c>
      <c r="E146" s="2" t="s">
        <v>30</v>
      </c>
    </row>
    <row r="147" spans="3:6">
      <c r="C147" s="1">
        <v>55</v>
      </c>
      <c r="E147" s="2" t="s">
        <v>32</v>
      </c>
    </row>
    <row r="148" spans="3:6">
      <c r="C148" s="1">
        <v>100</v>
      </c>
      <c r="E148" s="2" t="s">
        <v>31</v>
      </c>
      <c r="F148">
        <f>SUM(Table7[ages])/COUNT(Table7[ages])</f>
        <v>43</v>
      </c>
    </row>
    <row r="161" spans="3:8">
      <c r="C161" t="s">
        <v>33</v>
      </c>
      <c r="D161" t="s">
        <v>109</v>
      </c>
    </row>
    <row r="162" spans="3:8" ht="15.75" thickBot="1">
      <c r="C162" t="s">
        <v>34</v>
      </c>
      <c r="D162" s="3">
        <f>VLOOKUP(Table8[[#This Row],[grades]],G163:H167,2,FALSE)</f>
        <v>4</v>
      </c>
      <c r="G162" s="4" t="s">
        <v>38</v>
      </c>
      <c r="H162" s="5" t="s">
        <v>0</v>
      </c>
    </row>
    <row r="163" spans="3:8" ht="15.75" thickTop="1">
      <c r="C163" s="1" t="s">
        <v>35</v>
      </c>
      <c r="D163" s="3">
        <f>VLOOKUP(Table8[[#This Row],[grades]],G164:H168,2,FALSE)</f>
        <v>3</v>
      </c>
      <c r="G163" s="6" t="s">
        <v>34</v>
      </c>
      <c r="H163" s="7">
        <v>4</v>
      </c>
    </row>
    <row r="164" spans="3:8">
      <c r="C164" s="1" t="s">
        <v>34</v>
      </c>
      <c r="D164" s="3">
        <f>VLOOKUP(Table8[[#This Row],[grades]],G162:H167,2,FALSE)</f>
        <v>4</v>
      </c>
      <c r="G164" s="8" t="s">
        <v>35</v>
      </c>
      <c r="H164" s="9">
        <v>3</v>
      </c>
    </row>
    <row r="165" spans="3:8">
      <c r="C165" s="1" t="s">
        <v>36</v>
      </c>
      <c r="D165" s="3">
        <f>VLOOKUP(Table8[[#This Row],[grades]],G163:H168,2,FALSE)</f>
        <v>2</v>
      </c>
      <c r="G165" s="6" t="s">
        <v>36</v>
      </c>
      <c r="H165" s="7">
        <v>2</v>
      </c>
    </row>
    <row r="166" spans="3:8">
      <c r="C166" s="1" t="s">
        <v>35</v>
      </c>
      <c r="D166" s="3">
        <f>VLOOKUP(Table8[[#This Row],[grades]],G164:H169,2,FALSE)</f>
        <v>3</v>
      </c>
      <c r="G166" s="8" t="s">
        <v>37</v>
      </c>
      <c r="H166" s="9">
        <v>1</v>
      </c>
    </row>
    <row r="167" spans="3:8">
      <c r="C167" s="1" t="s">
        <v>34</v>
      </c>
      <c r="D167" s="3">
        <f>VLOOKUP(Table8[[#This Row],[grades]],G162:H167,2,FALSE)</f>
        <v>4</v>
      </c>
      <c r="G167" s="6" t="s">
        <v>39</v>
      </c>
      <c r="H167" s="7">
        <v>0</v>
      </c>
    </row>
    <row r="168" spans="3:8">
      <c r="C168" s="1" t="s">
        <v>37</v>
      </c>
      <c r="D168" s="3">
        <f>VLOOKUP(Table8[[#This Row],[grades]],G166:H171,2,FALSE)</f>
        <v>1</v>
      </c>
    </row>
    <row r="169" spans="3:8">
      <c r="C169" s="1" t="s">
        <v>35</v>
      </c>
      <c r="D169" s="3">
        <f>VLOOKUP(Table8[[#This Row],[grades]],G162:H167,2,FALSE)</f>
        <v>3</v>
      </c>
    </row>
    <row r="170" spans="3:8">
      <c r="C170" s="1" t="s">
        <v>36</v>
      </c>
      <c r="D170" s="3">
        <f>VLOOKUP(Table8[[#This Row],[grades]],G162:H167,2,FALSE)</f>
        <v>2</v>
      </c>
      <c r="F170" s="2" t="s">
        <v>31</v>
      </c>
      <c r="G170">
        <f>SUM(Table8[weight])/COUNT(Table8[weight])</f>
        <v>3</v>
      </c>
    </row>
    <row r="171" spans="3:8">
      <c r="C171" s="1" t="s">
        <v>34</v>
      </c>
      <c r="D171" s="3">
        <f>VLOOKUP(Table8[[#This Row],[grades]],G162:H167,2,FALSE)</f>
        <v>4</v>
      </c>
      <c r="F171" s="2" t="s">
        <v>183</v>
      </c>
    </row>
    <row r="184" spans="3:9">
      <c r="C184" t="s">
        <v>15</v>
      </c>
      <c r="D184" t="s">
        <v>16</v>
      </c>
      <c r="E184" t="s">
        <v>42</v>
      </c>
      <c r="F184" t="s">
        <v>43</v>
      </c>
      <c r="H184" t="s">
        <v>40</v>
      </c>
      <c r="I184">
        <f>SUM(Table9[advertising spending])/COUNT(Table9[advertising spending])</f>
        <v>20</v>
      </c>
    </row>
    <row r="185" spans="3:9">
      <c r="C185">
        <v>10</v>
      </c>
      <c r="D185">
        <v>100</v>
      </c>
      <c r="E185">
        <f>Table9[[#This Row],[advertising spending]]-20</f>
        <v>-10</v>
      </c>
      <c r="F185">
        <f>Table9[[#This Row],[sales]]-150</f>
        <v>-50</v>
      </c>
      <c r="H185" t="s">
        <v>41</v>
      </c>
      <c r="I185">
        <f>SUM(Table9[sales])/COUNT(Table9[sales])</f>
        <v>150</v>
      </c>
    </row>
    <row r="186" spans="3:9">
      <c r="C186" s="1">
        <v>20</v>
      </c>
      <c r="D186" s="1">
        <v>150</v>
      </c>
      <c r="E186">
        <f>Table9[[#This Row],[advertising spending]]-20</f>
        <v>0</v>
      </c>
      <c r="F186">
        <f>Table9[[#This Row],[sales]]-150</f>
        <v>0</v>
      </c>
    </row>
    <row r="187" spans="3:9">
      <c r="C187" s="1">
        <v>15</v>
      </c>
      <c r="D187" s="1">
        <v>120</v>
      </c>
      <c r="E187">
        <f>Table9[[#This Row],[advertising spending]]-20</f>
        <v>-5</v>
      </c>
      <c r="F187">
        <f>Table9[[#This Row],[sales]]-150</f>
        <v>-30</v>
      </c>
    </row>
    <row r="188" spans="3:9">
      <c r="C188" s="1">
        <v>25</v>
      </c>
      <c r="D188" s="1">
        <v>180</v>
      </c>
      <c r="E188">
        <f>Table9[[#This Row],[advertising spending]]-20</f>
        <v>5</v>
      </c>
      <c r="F188">
        <f>Table9[[#This Row],[sales]]-150</f>
        <v>30</v>
      </c>
    </row>
    <row r="189" spans="3:9">
      <c r="C189" s="1">
        <v>30</v>
      </c>
      <c r="D189" s="1">
        <v>200</v>
      </c>
      <c r="E189">
        <f>Table9[[#This Row],[advertising spending]]-20</f>
        <v>10</v>
      </c>
      <c r="F189">
        <f>Table9[[#This Row],[sales]]-150</f>
        <v>50</v>
      </c>
    </row>
    <row r="190" spans="3:9">
      <c r="C190" s="1"/>
      <c r="D190" s="1"/>
    </row>
    <row r="191" spans="3:9">
      <c r="C191" s="1" t="s">
        <v>184</v>
      </c>
      <c r="D191" t="s">
        <v>136</v>
      </c>
    </row>
    <row r="192" spans="3:9" ht="15.75" thickBot="1">
      <c r="C192" s="1"/>
    </row>
    <row r="193" spans="3:12">
      <c r="C193" s="1"/>
      <c r="D193" s="32" t="s">
        <v>137</v>
      </c>
      <c r="E193" s="32"/>
    </row>
    <row r="194" spans="3:12">
      <c r="C194" s="1"/>
      <c r="D194" s="10" t="s">
        <v>138</v>
      </c>
      <c r="E194" s="10">
        <v>0.99591000331047863</v>
      </c>
    </row>
    <row r="195" spans="3:12">
      <c r="C195" s="1"/>
      <c r="D195" s="10" t="s">
        <v>139</v>
      </c>
      <c r="E195" s="10">
        <v>0.99183673469387756</v>
      </c>
    </row>
    <row r="196" spans="3:12">
      <c r="C196" s="1"/>
      <c r="D196" s="10" t="s">
        <v>140</v>
      </c>
      <c r="E196" s="10">
        <v>0.9877551020408164</v>
      </c>
    </row>
    <row r="197" spans="3:12">
      <c r="C197" s="1"/>
      <c r="D197" s="10" t="s">
        <v>141</v>
      </c>
      <c r="E197" s="10">
        <v>3.8729833462074175</v>
      </c>
    </row>
    <row r="198" spans="3:12" ht="15.75" thickBot="1">
      <c r="C198" s="1"/>
      <c r="D198" s="11" t="s">
        <v>142</v>
      </c>
      <c r="E198" s="11">
        <v>4</v>
      </c>
    </row>
    <row r="199" spans="3:12">
      <c r="C199" s="1"/>
    </row>
    <row r="200" spans="3:12" ht="15.75" thickBot="1">
      <c r="C200" s="1"/>
      <c r="D200" t="s">
        <v>55</v>
      </c>
    </row>
    <row r="201" spans="3:12">
      <c r="C201" s="1"/>
      <c r="D201" s="12"/>
      <c r="E201" s="12" t="s">
        <v>58</v>
      </c>
      <c r="F201" s="12" t="s">
        <v>57</v>
      </c>
      <c r="G201" s="12" t="s">
        <v>59</v>
      </c>
      <c r="H201" s="12" t="s">
        <v>39</v>
      </c>
      <c r="I201" s="12" t="s">
        <v>146</v>
      </c>
    </row>
    <row r="202" spans="3:12">
      <c r="C202" s="1"/>
      <c r="D202" s="10" t="s">
        <v>143</v>
      </c>
      <c r="E202" s="10">
        <v>1</v>
      </c>
      <c r="F202" s="10">
        <v>3645</v>
      </c>
      <c r="G202" s="10">
        <v>3645</v>
      </c>
      <c r="H202" s="10">
        <v>242.99999999999994</v>
      </c>
      <c r="I202" s="10">
        <v>4.0899966891613012E-3</v>
      </c>
    </row>
    <row r="203" spans="3:12">
      <c r="C203" s="1"/>
      <c r="D203" s="10" t="s">
        <v>144</v>
      </c>
      <c r="E203" s="10">
        <v>2</v>
      </c>
      <c r="F203" s="10">
        <v>30.000000000000007</v>
      </c>
      <c r="G203" s="10">
        <v>15.000000000000004</v>
      </c>
      <c r="H203" s="10"/>
      <c r="I203" s="10"/>
    </row>
    <row r="204" spans="3:12" ht="15.75" thickBot="1">
      <c r="C204" s="1"/>
      <c r="D204" s="11" t="s">
        <v>64</v>
      </c>
      <c r="E204" s="11">
        <v>3</v>
      </c>
      <c r="F204" s="11">
        <v>3675</v>
      </c>
      <c r="G204" s="11"/>
      <c r="H204" s="11"/>
      <c r="I204" s="11"/>
    </row>
    <row r="205" spans="3:12" ht="15.75" thickBot="1">
      <c r="C205" s="1"/>
    </row>
    <row r="206" spans="3:12">
      <c r="C206" s="1"/>
      <c r="D206" s="12"/>
      <c r="E206" s="12" t="s">
        <v>147</v>
      </c>
      <c r="F206" s="12" t="s">
        <v>141</v>
      </c>
      <c r="G206" s="12" t="s">
        <v>148</v>
      </c>
      <c r="H206" s="12" t="s">
        <v>60</v>
      </c>
      <c r="I206" s="12" t="s">
        <v>149</v>
      </c>
      <c r="J206" s="12" t="s">
        <v>150</v>
      </c>
      <c r="K206" s="12" t="s">
        <v>151</v>
      </c>
      <c r="L206" s="12" t="s">
        <v>152</v>
      </c>
    </row>
    <row r="207" spans="3:12">
      <c r="C207" s="1"/>
      <c r="D207" s="10" t="s">
        <v>145</v>
      </c>
      <c r="E207" s="10">
        <v>40.999999999999986</v>
      </c>
      <c r="F207" s="10">
        <v>8.0311892021045068</v>
      </c>
      <c r="G207" s="10">
        <v>5.1050970121904582</v>
      </c>
      <c r="H207" s="10">
        <v>3.6293985814680997E-2</v>
      </c>
      <c r="I207" s="10">
        <v>6.4445818580763756</v>
      </c>
      <c r="J207" s="10">
        <v>75.555418141923596</v>
      </c>
      <c r="K207" s="10">
        <v>6.4445818580763756</v>
      </c>
      <c r="L207" s="10">
        <v>75.555418141923596</v>
      </c>
    </row>
    <row r="208" spans="3:12" ht="15.75" thickBot="1">
      <c r="C208" s="1"/>
      <c r="D208" s="11">
        <v>10</v>
      </c>
      <c r="E208" s="11">
        <v>5.4</v>
      </c>
      <c r="F208" s="11">
        <v>0.34641016151377552</v>
      </c>
      <c r="G208" s="11">
        <v>15.588457268119894</v>
      </c>
      <c r="H208" s="11">
        <v>4.0899966891612969E-3</v>
      </c>
      <c r="I208" s="11">
        <v>3.9095173730207886</v>
      </c>
      <c r="J208" s="11">
        <v>6.8904826269792121</v>
      </c>
      <c r="K208" s="11">
        <v>3.9095173730207886</v>
      </c>
      <c r="L208" s="11">
        <v>6.8904826269792121</v>
      </c>
    </row>
    <row r="209" spans="2:5">
      <c r="C209" s="1"/>
    </row>
    <row r="210" spans="2:5">
      <c r="B210" s="2" t="s">
        <v>185</v>
      </c>
      <c r="C210" s="35"/>
      <c r="D210" s="35"/>
      <c r="E210" s="35"/>
    </row>
    <row r="211" spans="2:5">
      <c r="B211" s="2" t="s">
        <v>186</v>
      </c>
      <c r="C211" s="35"/>
      <c r="D211" s="35"/>
      <c r="E211" s="35"/>
    </row>
    <row r="212" spans="2:5">
      <c r="B212" s="35"/>
      <c r="C212" s="35"/>
      <c r="D212" s="35"/>
      <c r="E212" s="35"/>
    </row>
    <row r="232" spans="3:8">
      <c r="C232" t="s">
        <v>34</v>
      </c>
      <c r="D232" t="s">
        <v>35</v>
      </c>
      <c r="E232" t="s">
        <v>36</v>
      </c>
    </row>
    <row r="233" spans="3:8">
      <c r="C233">
        <v>85</v>
      </c>
      <c r="D233">
        <v>78</v>
      </c>
      <c r="E233">
        <v>92</v>
      </c>
      <c r="G233" t="s">
        <v>44</v>
      </c>
      <c r="H233" t="s">
        <v>45</v>
      </c>
    </row>
    <row r="234" spans="3:8">
      <c r="C234" s="1">
        <v>88</v>
      </c>
      <c r="D234" s="1">
        <v>82</v>
      </c>
      <c r="E234" s="1">
        <v>95</v>
      </c>
      <c r="G234" t="s">
        <v>46</v>
      </c>
      <c r="H234" t="s">
        <v>47</v>
      </c>
    </row>
    <row r="235" spans="3:8">
      <c r="C235" s="1">
        <v>90</v>
      </c>
      <c r="D235" s="1">
        <v>85</v>
      </c>
      <c r="E235" s="1">
        <v>98</v>
      </c>
    </row>
    <row r="236" spans="3:8">
      <c r="C236" s="1">
        <v>92</v>
      </c>
      <c r="D236" s="1">
        <v>88</v>
      </c>
      <c r="E236" s="1">
        <v>100</v>
      </c>
    </row>
    <row r="237" spans="3:8">
      <c r="C237" s="1">
        <v>95</v>
      </c>
      <c r="D237" s="1">
        <v>90</v>
      </c>
      <c r="E237" s="1">
        <v>105</v>
      </c>
    </row>
    <row r="239" spans="3:8">
      <c r="C239" t="s">
        <v>48</v>
      </c>
    </row>
    <row r="241" spans="3:9" ht="15.75" thickBot="1">
      <c r="C241" t="s">
        <v>49</v>
      </c>
    </row>
    <row r="242" spans="3:9">
      <c r="C242" s="12" t="s">
        <v>50</v>
      </c>
      <c r="D242" s="12" t="s">
        <v>51</v>
      </c>
      <c r="E242" s="12" t="s">
        <v>52</v>
      </c>
      <c r="F242" s="12" t="s">
        <v>53</v>
      </c>
      <c r="G242" s="12" t="s">
        <v>54</v>
      </c>
    </row>
    <row r="243" spans="3:9">
      <c r="C243" s="10" t="s">
        <v>34</v>
      </c>
      <c r="D243" s="10">
        <v>5</v>
      </c>
      <c r="E243" s="10">
        <v>450</v>
      </c>
      <c r="F243" s="10">
        <v>90</v>
      </c>
      <c r="G243" s="10">
        <v>14.5</v>
      </c>
    </row>
    <row r="244" spans="3:9">
      <c r="C244" s="10" t="s">
        <v>35</v>
      </c>
      <c r="D244" s="10">
        <v>5</v>
      </c>
      <c r="E244" s="10">
        <v>423</v>
      </c>
      <c r="F244" s="10">
        <v>84.6</v>
      </c>
      <c r="G244" s="10">
        <v>22.799999999999272</v>
      </c>
    </row>
    <row r="245" spans="3:9" ht="15.75" thickBot="1">
      <c r="C245" s="11" t="s">
        <v>36</v>
      </c>
      <c r="D245" s="11">
        <v>5</v>
      </c>
      <c r="E245" s="11">
        <v>490</v>
      </c>
      <c r="F245" s="11">
        <v>98</v>
      </c>
      <c r="G245" s="11">
        <v>24.5</v>
      </c>
    </row>
    <row r="248" spans="3:9" ht="15.75" thickBot="1">
      <c r="C248" t="s">
        <v>55</v>
      </c>
    </row>
    <row r="249" spans="3:9">
      <c r="C249" s="12" t="s">
        <v>56</v>
      </c>
      <c r="D249" s="12" t="s">
        <v>57</v>
      </c>
      <c r="E249" s="12" t="s">
        <v>58</v>
      </c>
      <c r="F249" s="12" t="s">
        <v>59</v>
      </c>
      <c r="G249" s="12" t="s">
        <v>39</v>
      </c>
      <c r="H249" s="12" t="s">
        <v>60</v>
      </c>
      <c r="I249" s="12" t="s">
        <v>61</v>
      </c>
    </row>
    <row r="250" spans="3:9">
      <c r="C250" s="10" t="s">
        <v>62</v>
      </c>
      <c r="D250" s="10">
        <v>454.53333333333336</v>
      </c>
      <c r="E250" s="10">
        <v>2</v>
      </c>
      <c r="F250" s="10">
        <v>227.26666666666668</v>
      </c>
      <c r="G250" s="10">
        <v>11.032362459546928</v>
      </c>
      <c r="H250" s="10">
        <v>1.9109888749300873E-3</v>
      </c>
      <c r="I250" s="10">
        <v>3.8852938347033836</v>
      </c>
    </row>
    <row r="251" spans="3:9">
      <c r="C251" s="10" t="s">
        <v>63</v>
      </c>
      <c r="D251" s="10">
        <v>247.2</v>
      </c>
      <c r="E251" s="10">
        <v>12</v>
      </c>
      <c r="F251" s="10">
        <v>20.599999999999998</v>
      </c>
      <c r="G251" s="10"/>
      <c r="H251" s="10"/>
      <c r="I251" s="10"/>
    </row>
    <row r="252" spans="3:9">
      <c r="C252" s="10"/>
      <c r="D252" s="10"/>
      <c r="E252" s="10"/>
      <c r="F252" s="10"/>
      <c r="G252" s="10"/>
      <c r="H252" s="10"/>
      <c r="I252" s="10"/>
    </row>
    <row r="253" spans="3:9" ht="15.75" thickBot="1">
      <c r="C253" s="11" t="s">
        <v>64</v>
      </c>
      <c r="D253" s="11">
        <v>701.73333333333335</v>
      </c>
      <c r="E253" s="11">
        <v>14</v>
      </c>
      <c r="F253" s="11"/>
      <c r="G253" s="11"/>
      <c r="H253" s="11"/>
      <c r="I253" s="11"/>
    </row>
    <row r="255" spans="3:9">
      <c r="D255" s="2" t="s">
        <v>65</v>
      </c>
    </row>
    <row r="256" spans="3:9">
      <c r="D256" s="2" t="s">
        <v>66</v>
      </c>
    </row>
    <row r="265" spans="3:9">
      <c r="C265" t="s">
        <v>67</v>
      </c>
      <c r="D265" t="s">
        <v>69</v>
      </c>
    </row>
    <row r="266" spans="3:9">
      <c r="C266">
        <v>100</v>
      </c>
      <c r="G266" s="14"/>
      <c r="H266" s="14" t="s">
        <v>68</v>
      </c>
      <c r="I266" s="13"/>
    </row>
    <row r="267" spans="3:9">
      <c r="C267" s="1">
        <v>102</v>
      </c>
    </row>
    <row r="268" spans="3:9">
      <c r="C268" s="1">
        <v>101</v>
      </c>
      <c r="D268">
        <f t="shared" ref="D268:D275" si="0">AVERAGE(C266:C268)</f>
        <v>101</v>
      </c>
    </row>
    <row r="269" spans="3:9">
      <c r="C269" s="1">
        <v>103</v>
      </c>
      <c r="D269">
        <f t="shared" si="0"/>
        <v>102</v>
      </c>
    </row>
    <row r="270" spans="3:9">
      <c r="C270" s="1">
        <v>105</v>
      </c>
      <c r="D270">
        <f t="shared" si="0"/>
        <v>103</v>
      </c>
    </row>
    <row r="271" spans="3:9">
      <c r="C271" s="1">
        <v>107</v>
      </c>
      <c r="D271">
        <f t="shared" si="0"/>
        <v>105</v>
      </c>
    </row>
    <row r="272" spans="3:9">
      <c r="C272" s="1">
        <v>109</v>
      </c>
      <c r="D272">
        <f t="shared" si="0"/>
        <v>107</v>
      </c>
    </row>
    <row r="273" spans="3:4">
      <c r="C273" s="1">
        <v>110</v>
      </c>
      <c r="D273">
        <f t="shared" si="0"/>
        <v>108.66666666666667</v>
      </c>
    </row>
    <row r="274" spans="3:4">
      <c r="C274" s="1">
        <v>108</v>
      </c>
      <c r="D274">
        <f t="shared" si="0"/>
        <v>109</v>
      </c>
    </row>
    <row r="275" spans="3:4">
      <c r="C275" s="1">
        <v>107</v>
      </c>
      <c r="D275">
        <f t="shared" si="0"/>
        <v>108.33333333333333</v>
      </c>
    </row>
    <row r="303" spans="3:7">
      <c r="C303" t="s">
        <v>16</v>
      </c>
      <c r="E303" s="15"/>
      <c r="F303" s="16"/>
      <c r="G303" s="17"/>
    </row>
    <row r="304" spans="3:7">
      <c r="C304">
        <v>1200</v>
      </c>
      <c r="E304" s="18"/>
      <c r="F304" s="19"/>
      <c r="G304" s="20"/>
    </row>
    <row r="305" spans="3:7">
      <c r="C305" s="1">
        <v>1300</v>
      </c>
      <c r="E305" s="18"/>
      <c r="F305" s="19"/>
      <c r="G305" s="20"/>
    </row>
    <row r="306" spans="3:7">
      <c r="C306" s="1">
        <v>1250</v>
      </c>
      <c r="E306" s="18"/>
      <c r="F306" s="19"/>
      <c r="G306" s="20"/>
    </row>
    <row r="307" spans="3:7">
      <c r="C307" s="1">
        <v>1400</v>
      </c>
      <c r="E307" s="18"/>
      <c r="F307" s="19"/>
      <c r="G307" s="20"/>
    </row>
    <row r="308" spans="3:7">
      <c r="C308" s="1">
        <v>1350</v>
      </c>
      <c r="E308" s="18"/>
      <c r="F308" s="19"/>
      <c r="G308" s="20"/>
    </row>
    <row r="309" spans="3:7">
      <c r="C309" s="1">
        <v>1500</v>
      </c>
      <c r="E309" s="18"/>
      <c r="F309" s="19"/>
      <c r="G309" s="20"/>
    </row>
    <row r="310" spans="3:7">
      <c r="C310" s="1">
        <v>1600</v>
      </c>
      <c r="E310" s="18"/>
      <c r="F310" s="19"/>
      <c r="G310" s="20"/>
    </row>
    <row r="311" spans="3:7">
      <c r="C311" s="1">
        <v>1550</v>
      </c>
      <c r="E311" s="18"/>
      <c r="F311" s="19"/>
      <c r="G311" s="20"/>
    </row>
    <row r="312" spans="3:7">
      <c r="C312" s="1">
        <v>1700</v>
      </c>
      <c r="E312" s="18"/>
      <c r="F312" s="19"/>
      <c r="G312" s="20"/>
    </row>
    <row r="313" spans="3:7">
      <c r="C313" s="1">
        <v>1650</v>
      </c>
      <c r="E313" s="18"/>
      <c r="F313" s="19"/>
      <c r="G313" s="20"/>
    </row>
    <row r="314" spans="3:7">
      <c r="C314" s="1">
        <v>1800</v>
      </c>
      <c r="E314" s="18"/>
      <c r="F314" s="19"/>
      <c r="G314" s="20"/>
    </row>
    <row r="315" spans="3:7">
      <c r="C315" s="1">
        <v>1750</v>
      </c>
      <c r="E315" s="18"/>
      <c r="F315" s="19"/>
      <c r="G315" s="20"/>
    </row>
    <row r="316" spans="3:7">
      <c r="E316" s="18"/>
      <c r="F316" s="19"/>
      <c r="G316" s="20"/>
    </row>
    <row r="317" spans="3:7">
      <c r="E317" s="18"/>
      <c r="F317" s="19"/>
      <c r="G317" s="20"/>
    </row>
    <row r="318" spans="3:7">
      <c r="E318" s="18"/>
      <c r="F318" s="19"/>
      <c r="G318" s="20"/>
    </row>
    <row r="319" spans="3:7">
      <c r="E319" s="18"/>
      <c r="F319" s="19"/>
      <c r="G319" s="20"/>
    </row>
    <row r="320" spans="3:7">
      <c r="E320" s="21"/>
      <c r="F320" s="22"/>
      <c r="G320" s="23"/>
    </row>
    <row r="322" spans="3:9">
      <c r="C322" t="s">
        <v>70</v>
      </c>
    </row>
    <row r="324" spans="3:9">
      <c r="C324" t="s">
        <v>71</v>
      </c>
      <c r="F324" s="42" t="s">
        <v>76</v>
      </c>
      <c r="G324" s="42"/>
      <c r="H324" s="42"/>
      <c r="I324" s="42"/>
    </row>
    <row r="325" spans="3:9">
      <c r="C325" t="s">
        <v>24</v>
      </c>
      <c r="E325">
        <f>SUM(C304:C306)</f>
        <v>3750</v>
      </c>
      <c r="F325" s="42">
        <f>(E325-4512.5)^2/4512.5</f>
        <v>128.84349030470915</v>
      </c>
      <c r="G325" s="42"/>
      <c r="H325" s="42"/>
      <c r="I325" s="42"/>
    </row>
    <row r="326" spans="3:9">
      <c r="C326" t="s">
        <v>72</v>
      </c>
      <c r="E326">
        <f>SUM(C307:C309)</f>
        <v>4250</v>
      </c>
      <c r="F326" s="42">
        <f>(E326-4512.5)^2/4512.5</f>
        <v>15.270083102493075</v>
      </c>
      <c r="G326" s="42"/>
      <c r="H326" s="42"/>
      <c r="I326" s="42"/>
    </row>
    <row r="327" spans="3:9">
      <c r="C327" t="s">
        <v>25</v>
      </c>
      <c r="E327">
        <f>SUM(C310:C312)</f>
        <v>4850</v>
      </c>
      <c r="F327" s="42">
        <f>(E327-4512.5)^2/4512.5</f>
        <v>25.242382271468145</v>
      </c>
      <c r="G327" s="42"/>
      <c r="H327" s="42"/>
      <c r="I327" s="42"/>
    </row>
    <row r="328" spans="3:9">
      <c r="C328" t="s">
        <v>73</v>
      </c>
      <c r="E328">
        <f>SUM(C313:C315)</f>
        <v>5200</v>
      </c>
      <c r="F328" s="42">
        <f>(E328-4512.5)^2/4512.5</f>
        <v>104.74376731301939</v>
      </c>
      <c r="G328" s="42"/>
      <c r="H328" s="42"/>
      <c r="I328" s="42"/>
    </row>
    <row r="329" spans="3:9">
      <c r="C329" t="s">
        <v>74</v>
      </c>
      <c r="E329">
        <f>SUM(E325:E328)</f>
        <v>18050</v>
      </c>
      <c r="F329" s="42"/>
      <c r="G329" s="42"/>
      <c r="H329" s="42"/>
      <c r="I329" s="42"/>
    </row>
    <row r="330" spans="3:9">
      <c r="C330" t="s">
        <v>75</v>
      </c>
      <c r="E330">
        <f>SUM(E325:E328)/4</f>
        <v>4512.5</v>
      </c>
      <c r="G330">
        <f>SUM(F325:I328)</f>
        <v>274.09972299168976</v>
      </c>
    </row>
    <row r="331" spans="3:9">
      <c r="C331" t="s">
        <v>58</v>
      </c>
      <c r="E331">
        <v>3</v>
      </c>
    </row>
    <row r="333" spans="3:9">
      <c r="C333" t="s">
        <v>77</v>
      </c>
      <c r="D333">
        <f>CHIDIST(G330,3)</f>
        <v>4.0037930871108407E-59</v>
      </c>
    </row>
    <row r="348" spans="1:8">
      <c r="B348" s="25" t="s">
        <v>34</v>
      </c>
      <c r="C348" s="25" t="s">
        <v>35</v>
      </c>
      <c r="D348" s="25" t="s">
        <v>36</v>
      </c>
      <c r="E348" s="36" t="s">
        <v>189</v>
      </c>
    </row>
    <row r="349" spans="1:8">
      <c r="B349" s="25">
        <v>50</v>
      </c>
      <c r="C349" s="25">
        <v>30</v>
      </c>
      <c r="D349" s="25">
        <v>20</v>
      </c>
      <c r="E349" s="37">
        <f>B349+C349+D349</f>
        <v>100</v>
      </c>
      <c r="H349" t="s">
        <v>78</v>
      </c>
    </row>
    <row r="350" spans="1:8">
      <c r="B350" s="25">
        <v>55</v>
      </c>
      <c r="C350" s="25">
        <v>25</v>
      </c>
      <c r="D350" s="25">
        <v>20</v>
      </c>
      <c r="E350" s="37">
        <f t="shared" ref="E350:E351" si="1">B350+C350+D350</f>
        <v>100</v>
      </c>
      <c r="H350" t="s">
        <v>79</v>
      </c>
    </row>
    <row r="351" spans="1:8">
      <c r="B351" s="25">
        <v>60</v>
      </c>
      <c r="C351" s="25">
        <v>35</v>
      </c>
      <c r="D351" s="25">
        <v>25</v>
      </c>
      <c r="E351" s="37">
        <f t="shared" si="1"/>
        <v>120</v>
      </c>
    </row>
    <row r="352" spans="1:8">
      <c r="A352" t="s">
        <v>188</v>
      </c>
      <c r="B352" s="38">
        <f>SUM(B349:B351)</f>
        <v>165</v>
      </c>
      <c r="C352" s="38">
        <f>SUM(C349:C351)</f>
        <v>90</v>
      </c>
      <c r="D352" s="38">
        <f>SUM(D349:D351)</f>
        <v>65</v>
      </c>
      <c r="E352" s="39">
        <f>SUM(B352:D352)</f>
        <v>320</v>
      </c>
    </row>
    <row r="354" spans="1:6">
      <c r="B354" t="s">
        <v>187</v>
      </c>
      <c r="C354" s="26" t="s">
        <v>34</v>
      </c>
      <c r="D354" s="26" t="s">
        <v>35</v>
      </c>
      <c r="E354" s="26" t="s">
        <v>36</v>
      </c>
    </row>
    <row r="355" spans="1:6">
      <c r="A355" t="s">
        <v>190</v>
      </c>
      <c r="B355" s="40">
        <f>(E349*B352)/E352</f>
        <v>51.5625</v>
      </c>
      <c r="C355" s="35">
        <v>51.56</v>
      </c>
      <c r="D355" s="35">
        <v>51.56</v>
      </c>
      <c r="E355" s="35">
        <v>61.88</v>
      </c>
      <c r="F355" t="s">
        <v>191</v>
      </c>
    </row>
    <row r="356" spans="1:6">
      <c r="B356" s="40">
        <f>(E350*C352)/E352</f>
        <v>28.125</v>
      </c>
      <c r="C356" s="35">
        <v>28.13</v>
      </c>
      <c r="D356" s="35">
        <v>28.13</v>
      </c>
      <c r="E356" s="35">
        <v>33.75</v>
      </c>
    </row>
    <row r="357" spans="1:6">
      <c r="B357" s="40">
        <f>(E351*D352)/E352</f>
        <v>24.375</v>
      </c>
      <c r="C357" s="35">
        <v>20.309999999999999</v>
      </c>
      <c r="D357" s="35">
        <v>20.309999999999999</v>
      </c>
      <c r="E357" s="35">
        <v>24.38</v>
      </c>
    </row>
    <row r="359" spans="1:6">
      <c r="C359" s="26" t="s">
        <v>34</v>
      </c>
      <c r="D359" s="26" t="s">
        <v>35</v>
      </c>
      <c r="E359" s="26" t="s">
        <v>36</v>
      </c>
    </row>
    <row r="360" spans="1:6">
      <c r="B360" s="35"/>
      <c r="C360" s="35">
        <f>(B349-C355)^2/C355</f>
        <v>4.7199379363848083E-2</v>
      </c>
      <c r="D360" s="35">
        <f t="shared" ref="D360:E360" si="2">(C349-D355)^2/D355</f>
        <v>9.0153917765709863</v>
      </c>
      <c r="E360" s="35">
        <f t="shared" si="2"/>
        <v>28.344124111182939</v>
      </c>
    </row>
    <row r="361" spans="1:6">
      <c r="B361" s="35"/>
      <c r="C361" s="35">
        <f t="shared" ref="C361:E362" si="3">(B350-C356)^2/C356</f>
        <v>25.666437966583722</v>
      </c>
      <c r="D361" s="35">
        <f t="shared" si="3"/>
        <v>0.34827230714539614</v>
      </c>
      <c r="E361" s="35">
        <f t="shared" si="3"/>
        <v>5.6018518518518521</v>
      </c>
    </row>
    <row r="362" spans="1:6">
      <c r="B362" s="35"/>
      <c r="C362" s="35">
        <f t="shared" si="3"/>
        <v>77.562584933530275</v>
      </c>
      <c r="D362" s="35">
        <f t="shared" si="3"/>
        <v>10.625115706548501</v>
      </c>
      <c r="E362" s="35">
        <f t="shared" si="3"/>
        <v>1.576702214930276E-2</v>
      </c>
    </row>
    <row r="363" spans="1:6">
      <c r="B363" s="35" t="s">
        <v>80</v>
      </c>
      <c r="C363" s="35">
        <f>SUM(C360:C362,D360:D362,E360:E362)</f>
        <v>157.22674505492682</v>
      </c>
      <c r="D363" s="35"/>
      <c r="E363" s="35"/>
    </row>
    <row r="364" spans="1:6">
      <c r="B364" s="35" t="s">
        <v>88</v>
      </c>
      <c r="C364" s="35">
        <f>(3-1)*(3-1)</f>
        <v>4</v>
      </c>
      <c r="D364" s="35"/>
      <c r="E364" s="35"/>
    </row>
    <row r="365" spans="1:6">
      <c r="B365" s="35"/>
      <c r="C365" s="35"/>
      <c r="D365" s="35"/>
      <c r="E365" s="35"/>
    </row>
    <row r="366" spans="1:6">
      <c r="B366" s="35" t="s">
        <v>192</v>
      </c>
      <c r="C366" s="35">
        <f>CHITEST(B349:D351,C355:E357)</f>
        <v>5.7495271505596416E-33</v>
      </c>
      <c r="D366" s="35"/>
      <c r="E366" s="35"/>
    </row>
    <row r="367" spans="1:6">
      <c r="B367" s="35" t="s">
        <v>114</v>
      </c>
      <c r="C367">
        <v>9.4879999999999995</v>
      </c>
      <c r="D367" s="35"/>
      <c r="E367" s="35"/>
    </row>
    <row r="368" spans="1:6" ht="30">
      <c r="B368" s="35"/>
      <c r="C368" s="41" t="s">
        <v>194</v>
      </c>
      <c r="D368" s="35"/>
      <c r="E368" s="35"/>
    </row>
    <row r="369" spans="2:3">
      <c r="B369" s="2" t="s">
        <v>193</v>
      </c>
    </row>
    <row r="381" spans="2:3">
      <c r="B381" t="s">
        <v>81</v>
      </c>
      <c r="C381">
        <v>0.05</v>
      </c>
    </row>
    <row r="383" spans="2:3">
      <c r="B383" t="s">
        <v>82</v>
      </c>
      <c r="C383" t="s">
        <v>93</v>
      </c>
    </row>
    <row r="384" spans="2:3">
      <c r="B384">
        <v>70</v>
      </c>
      <c r="C384">
        <f>(Table13[[#This Row],[Weights]]-71)/1.825741858</f>
        <v>-0.54772255761033228</v>
      </c>
    </row>
    <row r="385" spans="2:10">
      <c r="B385" s="1">
        <v>68</v>
      </c>
      <c r="C385">
        <f>(Table13[[#This Row],[Weights]]-71)/1.825741858</f>
        <v>-1.6431676728309967</v>
      </c>
      <c r="G385" s="42" t="s">
        <v>83</v>
      </c>
      <c r="H385" s="42"/>
      <c r="I385" s="42"/>
      <c r="J385" s="42"/>
    </row>
    <row r="386" spans="2:10">
      <c r="B386" s="1">
        <v>72</v>
      </c>
      <c r="C386">
        <f>(Table13[[#This Row],[Weights]]-71)/1.825741858</f>
        <v>0.54772255761033228</v>
      </c>
      <c r="G386" s="42" t="s">
        <v>84</v>
      </c>
      <c r="H386" s="42"/>
      <c r="I386" s="42"/>
      <c r="J386" s="42"/>
    </row>
    <row r="387" spans="2:10">
      <c r="B387" s="1">
        <v>71</v>
      </c>
      <c r="C387">
        <f>(Table13[[#This Row],[Weights]]-71)/1.825741858</f>
        <v>0</v>
      </c>
    </row>
    <row r="388" spans="2:10">
      <c r="B388" s="1">
        <v>69</v>
      </c>
      <c r="C388">
        <f>(Table13[[#This Row],[Weights]]-71)/1.825741858</f>
        <v>-1.0954451152206646</v>
      </c>
    </row>
    <row r="389" spans="2:10">
      <c r="B389" s="1">
        <v>73</v>
      </c>
      <c r="C389">
        <f>(Table13[[#This Row],[Weights]]-71)/1.825741858</f>
        <v>1.0954451152206646</v>
      </c>
    </row>
    <row r="390" spans="2:10">
      <c r="B390" s="1">
        <v>72</v>
      </c>
      <c r="C390">
        <f>(Table13[[#This Row],[Weights]]-71)/1.825741858</f>
        <v>0.54772255761033228</v>
      </c>
    </row>
    <row r="391" spans="2:10">
      <c r="B391" s="1">
        <v>74</v>
      </c>
      <c r="C391">
        <f>(Table13[[#This Row],[Weights]]-71)/1.825741858</f>
        <v>1.6431676728309967</v>
      </c>
    </row>
    <row r="392" spans="2:10">
      <c r="B392" s="1">
        <v>70</v>
      </c>
      <c r="C392">
        <f>(Table13[[#This Row],[Weights]]-71)/1.825741858</f>
        <v>-0.54772255761033228</v>
      </c>
    </row>
    <row r="393" spans="2:10">
      <c r="B393" s="1">
        <v>71</v>
      </c>
      <c r="C393">
        <f>(Table13[[#This Row],[Weights]]-71)/1.825741858</f>
        <v>0</v>
      </c>
    </row>
    <row r="395" spans="2:10">
      <c r="B395" t="s">
        <v>3</v>
      </c>
      <c r="C395">
        <f>COUNT(Table13[Weights])</f>
        <v>10</v>
      </c>
    </row>
    <row r="396" spans="2:10">
      <c r="B396" t="s">
        <v>85</v>
      </c>
      <c r="C396">
        <f>SUM(Table13[Weights])/C395</f>
        <v>71</v>
      </c>
    </row>
    <row r="397" spans="2:10">
      <c r="B397" t="s">
        <v>86</v>
      </c>
      <c r="C397">
        <v>70</v>
      </c>
    </row>
    <row r="398" spans="2:10">
      <c r="B398" t="s">
        <v>12</v>
      </c>
      <c r="C398">
        <f>STDEV(Table13[Weights])</f>
        <v>1.8257418583505538</v>
      </c>
      <c r="E398" s="24"/>
      <c r="F398" s="24"/>
      <c r="G398" s="42"/>
      <c r="H398" s="42"/>
      <c r="I398" s="24"/>
      <c r="J398" s="24"/>
    </row>
    <row r="399" spans="2:10">
      <c r="B399" t="s">
        <v>87</v>
      </c>
      <c r="C399">
        <f>C398/SQRT(C395)</f>
        <v>0.57735026918962573</v>
      </c>
      <c r="E399" s="43" t="s">
        <v>91</v>
      </c>
      <c r="F399" s="43"/>
      <c r="G399" s="43"/>
    </row>
    <row r="400" spans="2:10">
      <c r="B400" t="s">
        <v>88</v>
      </c>
      <c r="C400">
        <f>C395-1</f>
        <v>9</v>
      </c>
      <c r="E400" s="43" t="s">
        <v>92</v>
      </c>
      <c r="F400" s="43"/>
      <c r="G400" s="43"/>
    </row>
    <row r="401" spans="2:7">
      <c r="B401" t="s">
        <v>89</v>
      </c>
      <c r="C401">
        <f>(C396-C397)/C399</f>
        <v>1.7320508075688774</v>
      </c>
    </row>
    <row r="402" spans="2:7">
      <c r="B402" t="s">
        <v>90</v>
      </c>
      <c r="C402">
        <v>2.262</v>
      </c>
    </row>
    <row r="416" spans="2:7">
      <c r="B416" t="s">
        <v>94</v>
      </c>
      <c r="C416" t="s">
        <v>95</v>
      </c>
      <c r="F416" s="42"/>
      <c r="G416" s="42"/>
    </row>
    <row r="417" spans="2:9">
      <c r="B417">
        <v>40</v>
      </c>
      <c r="C417">
        <f>(Table14[[#This Row],[Annual salary]]-51)/7.527726527</f>
        <v>-1.4612645611587851</v>
      </c>
      <c r="E417" s="42"/>
      <c r="F417" s="42"/>
      <c r="G417" s="42"/>
      <c r="H417" s="42"/>
      <c r="I417" s="42"/>
    </row>
    <row r="418" spans="2:9">
      <c r="B418" s="1">
        <v>42</v>
      </c>
      <c r="C418">
        <f>(Table14[[#This Row],[Annual salary]]-51)/7.527726527</f>
        <v>-1.1955800954935514</v>
      </c>
      <c r="E418" s="42"/>
      <c r="F418" s="42"/>
      <c r="G418" s="42"/>
      <c r="H418" s="42"/>
      <c r="I418" s="42"/>
    </row>
    <row r="419" spans="2:9">
      <c r="B419" s="1">
        <v>45</v>
      </c>
      <c r="C419">
        <f>(Table14[[#This Row],[Annual salary]]-51)/7.527726527</f>
        <v>-0.79705339699570099</v>
      </c>
      <c r="E419" s="42"/>
      <c r="F419" s="42"/>
      <c r="G419" s="42"/>
      <c r="H419" s="42"/>
      <c r="I419" s="42"/>
    </row>
    <row r="420" spans="2:9">
      <c r="B420" s="1">
        <v>47</v>
      </c>
      <c r="C420">
        <f>(Table14[[#This Row],[Annual salary]]-51)/7.527726527</f>
        <v>-0.53136893133046736</v>
      </c>
      <c r="E420" s="42"/>
      <c r="F420" s="42"/>
      <c r="G420" s="42"/>
      <c r="H420" s="42"/>
      <c r="I420" s="42"/>
    </row>
    <row r="421" spans="2:9">
      <c r="B421" s="1">
        <v>50</v>
      </c>
      <c r="C421">
        <f>(Table14[[#This Row],[Annual salary]]-51)/7.527726527</f>
        <v>-0.13284223283261684</v>
      </c>
      <c r="E421" s="42"/>
      <c r="F421" s="42"/>
      <c r="G421" s="42"/>
      <c r="H421" s="42"/>
      <c r="I421" s="42"/>
    </row>
    <row r="422" spans="2:9">
      <c r="B422" s="1">
        <v>52</v>
      </c>
      <c r="C422">
        <f>(Table14[[#This Row],[Annual salary]]-51)/7.527726527</f>
        <v>0.13284223283261684</v>
      </c>
      <c r="E422" s="42"/>
      <c r="F422" s="42"/>
      <c r="G422" s="42"/>
      <c r="H422" s="42"/>
      <c r="I422" s="42"/>
    </row>
    <row r="423" spans="2:9">
      <c r="B423" s="1">
        <v>55</v>
      </c>
      <c r="C423">
        <f>(Table14[[#This Row],[Annual salary]]-51)/7.527726527</f>
        <v>0.53136893133046736</v>
      </c>
      <c r="E423" s="42"/>
      <c r="F423" s="42"/>
      <c r="G423" s="42"/>
      <c r="H423" s="42"/>
      <c r="I423" s="42"/>
    </row>
    <row r="424" spans="2:9">
      <c r="B424" s="1">
        <v>57</v>
      </c>
      <c r="C424">
        <f>(Table14[[#This Row],[Annual salary]]-51)/7.527726527</f>
        <v>0.79705339699570099</v>
      </c>
      <c r="E424" s="42"/>
      <c r="F424" s="42"/>
      <c r="G424" s="42"/>
      <c r="H424" s="42"/>
      <c r="I424" s="42"/>
    </row>
    <row r="425" spans="2:9">
      <c r="B425" s="1">
        <v>60</v>
      </c>
      <c r="C425">
        <f>(Table14[[#This Row],[Annual salary]]-51)/7.527726527</f>
        <v>1.1955800954935514</v>
      </c>
      <c r="E425" s="42"/>
      <c r="F425" s="42"/>
      <c r="G425" s="42"/>
      <c r="H425" s="42"/>
      <c r="I425" s="42"/>
    </row>
    <row r="426" spans="2:9">
      <c r="B426" s="1">
        <v>62</v>
      </c>
      <c r="C426">
        <f>(Table14[[#This Row],[Annual salary]]-51)/7.527726527</f>
        <v>1.4612645611587851</v>
      </c>
      <c r="E426" s="42"/>
      <c r="F426" s="42"/>
      <c r="G426" s="42"/>
      <c r="H426" s="42"/>
      <c r="I426" s="42"/>
    </row>
    <row r="428" spans="2:9">
      <c r="B428" t="s">
        <v>96</v>
      </c>
      <c r="C428">
        <f>SUM(Table14[Annual salary])/COUNT(Table14[Annual salary])</f>
        <v>51</v>
      </c>
    </row>
    <row r="429" spans="2:9">
      <c r="B429" t="s">
        <v>12</v>
      </c>
      <c r="C429">
        <f>STDEV(Table14[Annual salary])</f>
        <v>7.5277265270908096</v>
      </c>
    </row>
    <row r="448" spans="2:5">
      <c r="B448" t="s">
        <v>97</v>
      </c>
      <c r="C448" t="s">
        <v>103</v>
      </c>
      <c r="D448" t="s">
        <v>106</v>
      </c>
      <c r="E448" t="s">
        <v>77</v>
      </c>
    </row>
    <row r="449" spans="2:5">
      <c r="B449">
        <v>85</v>
      </c>
      <c r="D449" s="29">
        <f>(Table15[[#This Row],[scores]]-96)/7.5277</f>
        <v>-1.4612697105357546</v>
      </c>
      <c r="E449" s="28">
        <f>NORMDIST(Table15[[#This Row],[scores]],96,7.527726527,TRUE)</f>
        <v>7.1971425709048242E-2</v>
      </c>
    </row>
    <row r="450" spans="2:5">
      <c r="B450" s="1">
        <v>87</v>
      </c>
      <c r="C450">
        <v>85</v>
      </c>
      <c r="D450" s="29">
        <f>(Table15[[#This Row],[scores]]-96)/7.5277</f>
        <v>-1.1955843086201627</v>
      </c>
      <c r="E450" s="28">
        <f>NORMDIST(Table15[[#This Row],[scores]],96,7.527726527,TRUE)</f>
        <v>0.11593023138452474</v>
      </c>
    </row>
    <row r="451" spans="2:5">
      <c r="B451" s="1">
        <v>90</v>
      </c>
      <c r="C451">
        <v>90</v>
      </c>
      <c r="D451" s="29">
        <f>(Table15[[#This Row],[scores]]-96)/7.5277</f>
        <v>-0.79705620574677516</v>
      </c>
      <c r="E451" s="28">
        <f>NORMDIST(Table15[[#This Row],[scores]],96,7.527726527,TRUE)</f>
        <v>0.21271001023188241</v>
      </c>
    </row>
    <row r="452" spans="2:5">
      <c r="B452" s="1">
        <v>92</v>
      </c>
      <c r="C452">
        <v>95</v>
      </c>
      <c r="D452" s="29">
        <f>(Table15[[#This Row],[scores]]-96)/7.5277</f>
        <v>-0.53137080383118351</v>
      </c>
      <c r="E452" s="28">
        <f>NORMDIST(Table15[[#This Row],[scores]],96,7.527726527,TRUE)</f>
        <v>0.29758157335256574</v>
      </c>
    </row>
    <row r="453" spans="2:5">
      <c r="B453" s="1">
        <v>95</v>
      </c>
      <c r="C453">
        <v>100</v>
      </c>
      <c r="D453" s="29">
        <f>(Table15[[#This Row],[scores]]-96)/7.5277</f>
        <v>-0.13284270095779588</v>
      </c>
      <c r="E453" s="28">
        <f>NORMDIST(Table15[[#This Row],[scores]],96,7.527726527,TRUE)</f>
        <v>0.44715907667945431</v>
      </c>
    </row>
    <row r="454" spans="2:5">
      <c r="B454" s="1">
        <v>97</v>
      </c>
      <c r="C454">
        <v>105</v>
      </c>
      <c r="D454" s="29">
        <f>(Table15[[#This Row],[scores]]-96)/7.5277</f>
        <v>0.13284270095779588</v>
      </c>
      <c r="E454" s="28">
        <f>NORMDIST(Table15[[#This Row],[scores]],96,7.527726527,TRUE)</f>
        <v>0.55284092332054569</v>
      </c>
    </row>
    <row r="455" spans="2:5">
      <c r="B455" s="1">
        <v>100</v>
      </c>
      <c r="C455">
        <v>110</v>
      </c>
      <c r="D455" s="29">
        <f>(Table15[[#This Row],[scores]]-96)/7.5277</f>
        <v>0.53137080383118351</v>
      </c>
      <c r="E455" s="28">
        <f>NORMDIST(Table15[[#This Row],[scores]],96,7.527726527,TRUE)</f>
        <v>0.70241842664743426</v>
      </c>
    </row>
    <row r="456" spans="2:5">
      <c r="B456" s="1">
        <v>102</v>
      </c>
      <c r="D456" s="29">
        <f>(Table15[[#This Row],[scores]]-96)/7.5277</f>
        <v>0.79705620574677516</v>
      </c>
      <c r="E456" s="28">
        <f>NORMDIST(Table15[[#This Row],[scores]],96,7.527726527,TRUE)</f>
        <v>0.78728998976811759</v>
      </c>
    </row>
    <row r="457" spans="2:5">
      <c r="B457" s="1">
        <v>105</v>
      </c>
      <c r="D457" s="29">
        <f>(Table15[[#This Row],[scores]]-96)/7.5277</f>
        <v>1.1955843086201627</v>
      </c>
      <c r="E457" s="28">
        <f>NORMDIST(Table15[[#This Row],[scores]],96,7.527726527,TRUE)</f>
        <v>0.88406976861547526</v>
      </c>
    </row>
    <row r="458" spans="2:5">
      <c r="B458" s="1">
        <v>107</v>
      </c>
      <c r="D458" s="29">
        <f>(Table15[[#This Row],[scores]]-96)/7.5277</f>
        <v>1.4612697105357546</v>
      </c>
      <c r="E458" s="28">
        <f>NORMDIST(Table15[[#This Row],[scores]],96,7.527726527,TRUE)</f>
        <v>0.92802857429095176</v>
      </c>
    </row>
    <row r="460" spans="2:5">
      <c r="B460" t="s">
        <v>101</v>
      </c>
      <c r="C460">
        <v>85</v>
      </c>
    </row>
    <row r="461" spans="2:5">
      <c r="B461" t="s">
        <v>102</v>
      </c>
      <c r="C461">
        <v>107</v>
      </c>
    </row>
    <row r="462" spans="2:5">
      <c r="B462" t="s">
        <v>103</v>
      </c>
      <c r="C462">
        <f>(C461-C460)/5</f>
        <v>4.4000000000000004</v>
      </c>
      <c r="D462" t="s">
        <v>104</v>
      </c>
    </row>
    <row r="463" spans="2:5">
      <c r="B463" t="s">
        <v>105</v>
      </c>
      <c r="C463">
        <f>SUM(Table15[scores])/COUNT(Table15[scores])</f>
        <v>96</v>
      </c>
    </row>
    <row r="464" spans="2:5">
      <c r="B464" t="s">
        <v>12</v>
      </c>
      <c r="C464">
        <f>STDEV(Table15[scores])</f>
        <v>7.5277265270908096</v>
      </c>
    </row>
    <row r="469" spans="2:3" ht="15.75" thickBot="1">
      <c r="B469" t="s">
        <v>110</v>
      </c>
    </row>
    <row r="470" spans="2:3">
      <c r="B470" s="12" t="s">
        <v>98</v>
      </c>
      <c r="C470" s="12" t="s">
        <v>100</v>
      </c>
    </row>
    <row r="471" spans="2:3">
      <c r="B471" s="27">
        <v>85</v>
      </c>
      <c r="C471" s="10">
        <v>1</v>
      </c>
    </row>
    <row r="472" spans="2:3">
      <c r="B472" s="27">
        <v>90</v>
      </c>
      <c r="C472" s="10">
        <v>2</v>
      </c>
    </row>
    <row r="473" spans="2:3">
      <c r="B473" s="27">
        <v>95</v>
      </c>
      <c r="C473" s="10">
        <v>2</v>
      </c>
    </row>
    <row r="474" spans="2:3">
      <c r="B474" s="27">
        <v>100</v>
      </c>
      <c r="C474" s="10">
        <v>2</v>
      </c>
    </row>
    <row r="475" spans="2:3">
      <c r="B475" s="27">
        <v>105</v>
      </c>
      <c r="C475" s="10">
        <v>2</v>
      </c>
    </row>
    <row r="476" spans="2:3">
      <c r="B476" s="27">
        <v>110</v>
      </c>
      <c r="C476" s="10">
        <v>1</v>
      </c>
    </row>
    <row r="477" spans="2:3" ht="15.75" thickBot="1">
      <c r="B477" s="11" t="s">
        <v>99</v>
      </c>
      <c r="C477" s="11">
        <v>0</v>
      </c>
    </row>
    <row r="494" spans="2:2">
      <c r="B494" t="s">
        <v>111</v>
      </c>
    </row>
    <row r="495" spans="2:2">
      <c r="B495">
        <v>10</v>
      </c>
    </row>
    <row r="496" spans="2:2">
      <c r="B496" s="1">
        <v>12</v>
      </c>
    </row>
    <row r="497" spans="2:5">
      <c r="B497" s="1">
        <v>14</v>
      </c>
    </row>
    <row r="498" spans="2:5">
      <c r="B498" s="1">
        <v>15</v>
      </c>
      <c r="D498" s="2" t="s">
        <v>113</v>
      </c>
      <c r="E498">
        <v>0.05</v>
      </c>
    </row>
    <row r="499" spans="2:5">
      <c r="B499" s="1">
        <v>13</v>
      </c>
      <c r="D499" t="s">
        <v>87</v>
      </c>
      <c r="E499">
        <f>C507/SQRT(10)</f>
        <v>1.0132456102380447</v>
      </c>
    </row>
    <row r="500" spans="2:5">
      <c r="B500" s="1">
        <v>16</v>
      </c>
    </row>
    <row r="501" spans="2:5">
      <c r="B501" s="1">
        <v>18</v>
      </c>
    </row>
    <row r="502" spans="2:5">
      <c r="B502" s="1">
        <v>17</v>
      </c>
    </row>
    <row r="503" spans="2:5">
      <c r="B503" s="1">
        <v>19</v>
      </c>
    </row>
    <row r="504" spans="2:5">
      <c r="B504" s="1">
        <v>20</v>
      </c>
    </row>
    <row r="505" spans="2:5">
      <c r="B505" s="30" t="s">
        <v>86</v>
      </c>
      <c r="C505">
        <v>0</v>
      </c>
    </row>
    <row r="506" spans="2:5">
      <c r="B506" s="2" t="s">
        <v>105</v>
      </c>
      <c r="C506">
        <f>AVERAGE(Table16[blood pressure])</f>
        <v>15.4</v>
      </c>
    </row>
    <row r="507" spans="2:5">
      <c r="B507" s="2" t="s">
        <v>12</v>
      </c>
      <c r="C507">
        <f>STDEV(Table16[blood pressure])</f>
        <v>3.2041639575194458</v>
      </c>
    </row>
    <row r="508" spans="2:5">
      <c r="B508" s="2" t="s">
        <v>88</v>
      </c>
      <c r="C508">
        <f>COUNT(Table16[blood pressure])-1</f>
        <v>9</v>
      </c>
    </row>
    <row r="509" spans="2:5">
      <c r="B509" s="2" t="s">
        <v>112</v>
      </c>
      <c r="C509">
        <f>(C506-C505)/E499</f>
        <v>15.198684153570657</v>
      </c>
    </row>
    <row r="510" spans="2:5">
      <c r="B510" s="2" t="s">
        <v>114</v>
      </c>
      <c r="C510">
        <v>2.262</v>
      </c>
    </row>
    <row r="512" spans="2:5">
      <c r="B512" s="2" t="s">
        <v>115</v>
      </c>
    </row>
    <row r="513" spans="2:3">
      <c r="B513" s="2" t="s">
        <v>116</v>
      </c>
    </row>
    <row r="515" spans="2:3">
      <c r="B515" s="2" t="s">
        <v>107</v>
      </c>
      <c r="C515">
        <f>TDIST(C509,C508,2)</f>
        <v>1.0062192291676458E-7</v>
      </c>
    </row>
    <row r="516" spans="2:3">
      <c r="B516" s="2" t="s">
        <v>117</v>
      </c>
    </row>
    <row r="518" spans="2:3">
      <c r="B518" s="2" t="s">
        <v>118</v>
      </c>
    </row>
    <row r="519" spans="2:3">
      <c r="B519" s="2" t="s">
        <v>119</v>
      </c>
    </row>
    <row r="530" spans="2:4">
      <c r="B530" t="s">
        <v>120</v>
      </c>
    </row>
    <row r="531" spans="2:4">
      <c r="B531">
        <v>3.5</v>
      </c>
    </row>
    <row r="532" spans="2:4">
      <c r="B532" s="1">
        <v>4</v>
      </c>
    </row>
    <row r="533" spans="2:4">
      <c r="B533" s="1">
        <v>4.2</v>
      </c>
    </row>
    <row r="534" spans="2:4">
      <c r="B534" s="1">
        <v>4.5</v>
      </c>
    </row>
    <row r="535" spans="2:4">
      <c r="B535" s="1">
        <v>4.7</v>
      </c>
    </row>
    <row r="536" spans="2:4">
      <c r="B536" s="1">
        <v>5</v>
      </c>
    </row>
    <row r="537" spans="2:4">
      <c r="B537" s="1">
        <v>5.3</v>
      </c>
    </row>
    <row r="538" spans="2:4">
      <c r="B538" s="1">
        <v>5.5</v>
      </c>
    </row>
    <row r="539" spans="2:4">
      <c r="B539" s="1">
        <v>5.7</v>
      </c>
    </row>
    <row r="540" spans="2:4">
      <c r="B540" s="1">
        <v>6</v>
      </c>
    </row>
    <row r="541" spans="2:4">
      <c r="D541" t="s">
        <v>121</v>
      </c>
    </row>
    <row r="542" spans="2:4">
      <c r="B542" t="s">
        <v>105</v>
      </c>
      <c r="C542">
        <f>AVERAGE(Table17[Income])</f>
        <v>4.8400000000000007</v>
      </c>
    </row>
    <row r="543" spans="2:4">
      <c r="B543" t="s">
        <v>12</v>
      </c>
      <c r="C543">
        <f>STDEV(Table17[Income])</f>
        <v>0.80304974247482697</v>
      </c>
    </row>
    <row r="544" spans="2:4">
      <c r="B544" t="s">
        <v>87</v>
      </c>
      <c r="C544">
        <f>C543/SQRT(10)</f>
        <v>0.2539466260632115</v>
      </c>
    </row>
    <row r="545" spans="2:4">
      <c r="B545" t="s">
        <v>122</v>
      </c>
      <c r="C545">
        <f>1.96*C544</f>
        <v>0.49773538708389453</v>
      </c>
    </row>
    <row r="549" spans="2:4">
      <c r="B549" s="31" t="s">
        <v>123</v>
      </c>
      <c r="C549" s="31">
        <f>C542-C545</f>
        <v>4.3422646129161064</v>
      </c>
      <c r="D549" s="31">
        <f>C542+C545</f>
        <v>5.3377353870838951</v>
      </c>
    </row>
    <row r="550" spans="2:4">
      <c r="B550" t="s">
        <v>124</v>
      </c>
    </row>
    <row r="551" spans="2:4">
      <c r="B551" t="s">
        <v>24</v>
      </c>
      <c r="C551">
        <f>QUARTILE(Table17[Income],1)</f>
        <v>4.2750000000000004</v>
      </c>
    </row>
    <row r="552" spans="2:4">
      <c r="B552" t="s">
        <v>25</v>
      </c>
      <c r="C552">
        <f>QUARTILE(Table17[Income],3)</f>
        <v>5.45</v>
      </c>
    </row>
    <row r="553" spans="2:4">
      <c r="B553" t="s">
        <v>22</v>
      </c>
      <c r="C553">
        <f>C552-C551</f>
        <v>1.1749999999999998</v>
      </c>
    </row>
    <row r="554" spans="2:4">
      <c r="B554" t="s">
        <v>26</v>
      </c>
      <c r="C554">
        <f>C551-1.5*C553</f>
        <v>2.5125000000000006</v>
      </c>
    </row>
    <row r="555" spans="2:4">
      <c r="B555" t="s">
        <v>27</v>
      </c>
      <c r="C555">
        <f>C552+1.5*C553</f>
        <v>7.2125000000000004</v>
      </c>
    </row>
    <row r="557" spans="2:4">
      <c r="B557" t="s">
        <v>125</v>
      </c>
    </row>
    <row r="574" spans="2:2">
      <c r="B574" t="s">
        <v>126</v>
      </c>
    </row>
    <row r="575" spans="2:2">
      <c r="B575">
        <v>25</v>
      </c>
    </row>
    <row r="576" spans="2:2">
      <c r="B576" s="1">
        <v>26</v>
      </c>
    </row>
    <row r="577" spans="2:3">
      <c r="B577" s="1">
        <v>27</v>
      </c>
    </row>
    <row r="578" spans="2:3">
      <c r="B578" s="1">
        <v>28</v>
      </c>
    </row>
    <row r="579" spans="2:3">
      <c r="B579" s="1">
        <v>29</v>
      </c>
    </row>
    <row r="580" spans="2:3">
      <c r="B580" s="1">
        <v>30</v>
      </c>
    </row>
    <row r="581" spans="2:3">
      <c r="B581" s="1">
        <v>31</v>
      </c>
    </row>
    <row r="582" spans="2:3">
      <c r="B582" s="1">
        <v>32</v>
      </c>
    </row>
    <row r="583" spans="2:3">
      <c r="B583" s="1">
        <v>33</v>
      </c>
    </row>
    <row r="584" spans="2:3">
      <c r="B584" s="1">
        <v>34</v>
      </c>
    </row>
    <row r="585" spans="2:3">
      <c r="B585" s="1">
        <v>35</v>
      </c>
    </row>
    <row r="586" spans="2:3">
      <c r="B586" s="1">
        <v>36</v>
      </c>
    </row>
    <row r="587" spans="2:3">
      <c r="B587" s="1">
        <v>37</v>
      </c>
    </row>
    <row r="588" spans="2:3">
      <c r="B588" s="1">
        <v>38</v>
      </c>
    </row>
    <row r="590" spans="2:3">
      <c r="B590" t="s">
        <v>127</v>
      </c>
      <c r="C590">
        <f>QUARTILE(Table18[temperature],1)</f>
        <v>28.25</v>
      </c>
    </row>
    <row r="591" spans="2:3">
      <c r="B591" t="s">
        <v>128</v>
      </c>
      <c r="C591">
        <f>QUARTILE(Table18[temperature],3)</f>
        <v>34.75</v>
      </c>
    </row>
    <row r="592" spans="2:3">
      <c r="B592" t="s">
        <v>22</v>
      </c>
      <c r="C592">
        <f>C591-C590</f>
        <v>6.5</v>
      </c>
    </row>
    <row r="593" spans="2:3">
      <c r="B593" t="s">
        <v>26</v>
      </c>
      <c r="C593">
        <f>C590-1.5*C592</f>
        <v>18.5</v>
      </c>
    </row>
    <row r="594" spans="2:3">
      <c r="B594" t="s">
        <v>27</v>
      </c>
      <c r="C594">
        <f>C591+1.5*C592</f>
        <v>44.5</v>
      </c>
    </row>
    <row r="596" spans="2:3">
      <c r="B596" t="s">
        <v>129</v>
      </c>
    </row>
    <row r="621" spans="2:4">
      <c r="B621" t="s">
        <v>130</v>
      </c>
      <c r="C621" t="s">
        <v>16</v>
      </c>
      <c r="D621" t="s">
        <v>131</v>
      </c>
    </row>
    <row r="622" spans="2:4">
      <c r="B622">
        <v>10</v>
      </c>
      <c r="C622">
        <v>100</v>
      </c>
      <c r="D622">
        <v>100</v>
      </c>
    </row>
    <row r="623" spans="2:4">
      <c r="B623" s="1">
        <v>20</v>
      </c>
      <c r="C623">
        <v>150</v>
      </c>
      <c r="D623">
        <f>0.5*Table19[[#This Row],[sales]]+(1-0.5)*D622</f>
        <v>125</v>
      </c>
    </row>
    <row r="624" spans="2:4">
      <c r="B624" s="1">
        <v>30</v>
      </c>
      <c r="C624">
        <v>200</v>
      </c>
      <c r="D624">
        <f>0.5*Table19[[#This Row],[sales]]+(1-0.5)*D623</f>
        <v>162.5</v>
      </c>
    </row>
    <row r="625" spans="2:4">
      <c r="B625" s="1">
        <v>40</v>
      </c>
      <c r="C625">
        <v>250</v>
      </c>
      <c r="D625">
        <f>0.5*Table19[[#This Row],[sales]]+(1-0.5)*D624</f>
        <v>206.25</v>
      </c>
    </row>
    <row r="626" spans="2:4">
      <c r="B626" s="1">
        <v>50</v>
      </c>
      <c r="C626">
        <v>300</v>
      </c>
      <c r="D626">
        <f>0.5*Table19[[#This Row],[sales]]+(1-0.5)*D625</f>
        <v>253.125</v>
      </c>
    </row>
    <row r="653" spans="1:3">
      <c r="A653" t="s">
        <v>135</v>
      </c>
      <c r="B653" t="s">
        <v>132</v>
      </c>
      <c r="C653" t="s">
        <v>133</v>
      </c>
    </row>
    <row r="654" spans="1:3">
      <c r="A654">
        <v>1</v>
      </c>
      <c r="B654">
        <v>150</v>
      </c>
      <c r="C654">
        <v>150</v>
      </c>
    </row>
    <row r="655" spans="1:3">
      <c r="A655">
        <v>2</v>
      </c>
      <c r="B655" s="1">
        <v>160</v>
      </c>
      <c r="C655">
        <f>0.5*Table20[[#This Row],[monthly sale]]+(1-0.5)*C654</f>
        <v>155</v>
      </c>
    </row>
    <row r="656" spans="1:3">
      <c r="A656">
        <v>3</v>
      </c>
      <c r="B656" s="1">
        <v>170</v>
      </c>
      <c r="C656">
        <f>0.5*Table20[[#This Row],[monthly sale]]+(1-0.5)*C655</f>
        <v>162.5</v>
      </c>
    </row>
    <row r="657" spans="1:3">
      <c r="A657">
        <v>4</v>
      </c>
      <c r="B657" s="1">
        <v>180</v>
      </c>
      <c r="C657">
        <f>0.5*Table20[[#This Row],[monthly sale]]+(1-0.5)*C656</f>
        <v>171.25</v>
      </c>
    </row>
    <row r="658" spans="1:3">
      <c r="A658">
        <v>5</v>
      </c>
      <c r="B658" s="1">
        <v>190</v>
      </c>
      <c r="C658">
        <f>0.5*Table20[[#This Row],[monthly sale]]+(1-0.5)*C657</f>
        <v>180.625</v>
      </c>
    </row>
    <row r="659" spans="1:3">
      <c r="A659">
        <v>6</v>
      </c>
      <c r="B659" s="1">
        <v>200</v>
      </c>
      <c r="C659">
        <f>0.5*Table20[[#This Row],[monthly sale]]+(1-0.5)*C658</f>
        <v>190.3125</v>
      </c>
    </row>
    <row r="660" spans="1:3">
      <c r="A660">
        <v>7</v>
      </c>
      <c r="B660" s="1">
        <v>210</v>
      </c>
      <c r="C660">
        <f>0.5*Table20[[#This Row],[monthly sale]]+(1-0.5)*C659</f>
        <v>200.15625</v>
      </c>
    </row>
    <row r="661" spans="1:3">
      <c r="A661">
        <v>8</v>
      </c>
      <c r="B661" s="1">
        <v>220</v>
      </c>
      <c r="C661">
        <f>0.5*Table20[[#This Row],[monthly sale]]+(1-0.5)*C660</f>
        <v>210.078125</v>
      </c>
    </row>
    <row r="662" spans="1:3">
      <c r="A662">
        <v>9</v>
      </c>
      <c r="B662" s="1">
        <v>230</v>
      </c>
      <c r="C662">
        <f>0.5*Table20[[#This Row],[monthly sale]]+(1-0.5)*C661</f>
        <v>220.0390625</v>
      </c>
    </row>
    <row r="663" spans="1:3">
      <c r="A663">
        <v>10</v>
      </c>
      <c r="B663" s="1">
        <v>240</v>
      </c>
      <c r="C663">
        <f>0.5*Table20[[#This Row],[monthly sale]]+(1-0.5)*C662</f>
        <v>230.01953125</v>
      </c>
    </row>
    <row r="664" spans="1:3">
      <c r="A664">
        <v>11</v>
      </c>
      <c r="B664" s="1">
        <v>250</v>
      </c>
      <c r="C664">
        <f>0.5*Table20[[#This Row],[monthly sale]]+(1-0.5)*C663</f>
        <v>240.009765625</v>
      </c>
    </row>
    <row r="665" spans="1:3">
      <c r="A665">
        <v>12</v>
      </c>
      <c r="B665" s="1">
        <v>260</v>
      </c>
      <c r="C665">
        <f>0.5*Table20[[#This Row],[monthly sale]]+(1-0.5)*C664</f>
        <v>250.0048828125</v>
      </c>
    </row>
    <row r="682" spans="2:11">
      <c r="B682" t="s">
        <v>134</v>
      </c>
    </row>
    <row r="684" spans="2:11">
      <c r="B684" t="s">
        <v>136</v>
      </c>
      <c r="K684" t="s">
        <v>136</v>
      </c>
    </row>
    <row r="685" spans="2:11" ht="15.75" thickBot="1"/>
    <row r="686" spans="2:11">
      <c r="B686" s="32" t="s">
        <v>137</v>
      </c>
      <c r="C686" s="32"/>
      <c r="K686" s="32" t="s">
        <v>137</v>
      </c>
    </row>
    <row r="687" spans="2:11">
      <c r="B687" s="10" t="s">
        <v>138</v>
      </c>
      <c r="C687" s="10">
        <v>1</v>
      </c>
      <c r="K687" s="10" t="s">
        <v>138</v>
      </c>
    </row>
    <row r="688" spans="2:11">
      <c r="B688" s="10" t="s">
        <v>139</v>
      </c>
      <c r="C688" s="10">
        <v>1</v>
      </c>
      <c r="K688" s="10" t="s">
        <v>139</v>
      </c>
    </row>
    <row r="689" spans="2:11">
      <c r="B689" s="10" t="s">
        <v>140</v>
      </c>
      <c r="C689" s="10">
        <v>1</v>
      </c>
      <c r="K689" s="10" t="s">
        <v>140</v>
      </c>
    </row>
    <row r="690" spans="2:11">
      <c r="B690" s="10" t="s">
        <v>141</v>
      </c>
      <c r="C690" s="10">
        <v>0</v>
      </c>
      <c r="K690" s="10" t="s">
        <v>141</v>
      </c>
    </row>
    <row r="691" spans="2:11" ht="15.75" thickBot="1">
      <c r="B691" t="s">
        <v>136</v>
      </c>
      <c r="K691" s="11" t="s">
        <v>142</v>
      </c>
    </row>
    <row r="692" spans="2:11" ht="15.75" thickBot="1"/>
    <row r="693" spans="2:11" ht="15.75" thickBot="1">
      <c r="B693" s="32" t="s">
        <v>137</v>
      </c>
      <c r="C693" s="32"/>
      <c r="K693" t="s">
        <v>55</v>
      </c>
    </row>
    <row r="694" spans="2:11">
      <c r="B694" s="10" t="s">
        <v>138</v>
      </c>
      <c r="C694" s="10">
        <v>1</v>
      </c>
      <c r="K694" s="12"/>
    </row>
    <row r="695" spans="2:11">
      <c r="B695" s="10" t="s">
        <v>139</v>
      </c>
      <c r="C695" s="10">
        <v>1</v>
      </c>
      <c r="K695" s="10" t="s">
        <v>143</v>
      </c>
    </row>
    <row r="696" spans="2:11">
      <c r="B696" s="10" t="s">
        <v>140</v>
      </c>
      <c r="C696" s="10">
        <v>0.66666666666666663</v>
      </c>
      <c r="K696" s="10" t="s">
        <v>144</v>
      </c>
    </row>
    <row r="697" spans="2:11" ht="15.75" thickBot="1">
      <c r="B697" s="10" t="s">
        <v>141</v>
      </c>
      <c r="C697" s="10">
        <v>0</v>
      </c>
      <c r="K697" s="11" t="s">
        <v>64</v>
      </c>
    </row>
    <row r="698" spans="2:11" ht="15.75" thickBot="1">
      <c r="B698" s="11" t="s">
        <v>142</v>
      </c>
      <c r="C698" s="11">
        <v>5</v>
      </c>
    </row>
    <row r="699" spans="2:11">
      <c r="K699" s="12"/>
    </row>
    <row r="700" spans="2:11" ht="15.75" thickBot="1">
      <c r="B700" t="s">
        <v>55</v>
      </c>
      <c r="K700" s="10" t="s">
        <v>145</v>
      </c>
    </row>
    <row r="701" spans="2:11" ht="15.75" thickBot="1">
      <c r="B701" s="12"/>
      <c r="C701" s="12" t="s">
        <v>58</v>
      </c>
      <c r="D701" s="12" t="s">
        <v>57</v>
      </c>
      <c r="E701" s="12" t="s">
        <v>59</v>
      </c>
      <c r="F701" s="12" t="s">
        <v>39</v>
      </c>
      <c r="G701" s="12" t="s">
        <v>146</v>
      </c>
      <c r="K701" s="11" t="s">
        <v>154</v>
      </c>
    </row>
    <row r="702" spans="2:11">
      <c r="B702" s="10" t="s">
        <v>143</v>
      </c>
      <c r="C702" s="10">
        <v>2</v>
      </c>
      <c r="D702" s="10">
        <v>250</v>
      </c>
      <c r="E702" s="10">
        <v>125</v>
      </c>
      <c r="F702" s="10" t="e">
        <v>#NUM!</v>
      </c>
      <c r="G702" s="10" t="e">
        <v>#NUM!</v>
      </c>
    </row>
    <row r="703" spans="2:11">
      <c r="B703" s="10" t="s">
        <v>144</v>
      </c>
      <c r="C703" s="10">
        <v>3</v>
      </c>
      <c r="D703" s="10">
        <v>0</v>
      </c>
      <c r="E703" s="10">
        <v>0</v>
      </c>
      <c r="F703" s="10"/>
      <c r="G703" s="10"/>
    </row>
    <row r="704" spans="2:11" ht="15.75" thickBot="1">
      <c r="B704" s="11" t="s">
        <v>64</v>
      </c>
      <c r="C704" s="11">
        <v>5</v>
      </c>
      <c r="D704" s="11">
        <v>250</v>
      </c>
      <c r="E704" s="11"/>
      <c r="F704" s="11"/>
      <c r="G704" s="11"/>
    </row>
    <row r="706" spans="2:10">
      <c r="C706" t="s">
        <v>147</v>
      </c>
      <c r="D706" t="s">
        <v>141</v>
      </c>
      <c r="E706" t="s">
        <v>148</v>
      </c>
      <c r="F706" t="s">
        <v>60</v>
      </c>
      <c r="G706" t="s">
        <v>149</v>
      </c>
      <c r="H706" t="s">
        <v>150</v>
      </c>
      <c r="I706" t="s">
        <v>151</v>
      </c>
      <c r="J706" t="s">
        <v>152</v>
      </c>
    </row>
    <row r="707" spans="2:10">
      <c r="B707" t="s">
        <v>145</v>
      </c>
      <c r="C707">
        <v>-5</v>
      </c>
      <c r="D707">
        <v>0</v>
      </c>
      <c r="E707">
        <v>65535</v>
      </c>
      <c r="F707" t="e">
        <v>#NUM!</v>
      </c>
      <c r="G707">
        <v>-5</v>
      </c>
      <c r="H707">
        <v>-5</v>
      </c>
      <c r="I707">
        <v>-5</v>
      </c>
      <c r="J707">
        <v>-5</v>
      </c>
    </row>
    <row r="708" spans="2:10">
      <c r="B708" t="s">
        <v>153</v>
      </c>
      <c r="C708">
        <v>0</v>
      </c>
      <c r="D708">
        <v>0</v>
      </c>
      <c r="E708">
        <v>65535</v>
      </c>
      <c r="F708" t="e">
        <v>#NUM!</v>
      </c>
      <c r="G708">
        <v>0</v>
      </c>
      <c r="H708">
        <v>0</v>
      </c>
      <c r="I708">
        <v>0</v>
      </c>
      <c r="J708">
        <v>0</v>
      </c>
    </row>
    <row r="709" spans="2:10">
      <c r="B709" t="s">
        <v>154</v>
      </c>
      <c r="C709">
        <v>0.1</v>
      </c>
      <c r="D709">
        <v>0</v>
      </c>
      <c r="E709">
        <v>65535</v>
      </c>
      <c r="F709" t="e">
        <v>#NUM!</v>
      </c>
      <c r="G709">
        <v>0.1</v>
      </c>
      <c r="H709">
        <v>0.1</v>
      </c>
      <c r="I709">
        <v>0.1</v>
      </c>
      <c r="J709">
        <v>0.1</v>
      </c>
    </row>
    <row r="722" spans="2:4">
      <c r="B722" t="s">
        <v>155</v>
      </c>
      <c r="C722" t="s">
        <v>16</v>
      </c>
      <c r="D722" t="s">
        <v>130</v>
      </c>
    </row>
    <row r="723" spans="2:4">
      <c r="B723">
        <v>10</v>
      </c>
      <c r="C723">
        <v>100</v>
      </c>
      <c r="D723">
        <v>5</v>
      </c>
    </row>
    <row r="724" spans="2:4">
      <c r="B724" s="1">
        <v>20</v>
      </c>
      <c r="C724">
        <v>150</v>
      </c>
      <c r="D724">
        <v>10</v>
      </c>
    </row>
    <row r="725" spans="2:4">
      <c r="B725" s="1">
        <v>30</v>
      </c>
      <c r="C725">
        <v>200</v>
      </c>
      <c r="D725">
        <v>15</v>
      </c>
    </row>
    <row r="726" spans="2:4">
      <c r="B726" s="1">
        <v>40</v>
      </c>
      <c r="C726">
        <v>250</v>
      </c>
      <c r="D726">
        <v>20</v>
      </c>
    </row>
    <row r="727" spans="2:4">
      <c r="B727" s="1">
        <v>50</v>
      </c>
      <c r="C727">
        <v>300</v>
      </c>
      <c r="D727">
        <v>25</v>
      </c>
    </row>
    <row r="729" spans="2:4">
      <c r="B729" t="s">
        <v>156</v>
      </c>
      <c r="C729" t="s">
        <v>157</v>
      </c>
      <c r="D729" t="s">
        <v>158</v>
      </c>
    </row>
    <row r="731" spans="2:4">
      <c r="B731" t="s">
        <v>136</v>
      </c>
    </row>
    <row r="732" spans="2:4" ht="15.75" thickBot="1"/>
    <row r="733" spans="2:4">
      <c r="B733" s="32" t="s">
        <v>137</v>
      </c>
      <c r="C733" s="32"/>
    </row>
    <row r="734" spans="2:4">
      <c r="B734" s="10" t="s">
        <v>138</v>
      </c>
      <c r="C734" s="10">
        <v>1</v>
      </c>
    </row>
    <row r="735" spans="2:4">
      <c r="B735" s="10" t="s">
        <v>139</v>
      </c>
      <c r="C735" s="10">
        <v>1</v>
      </c>
    </row>
    <row r="736" spans="2:4">
      <c r="B736" s="10" t="s">
        <v>140</v>
      </c>
      <c r="C736" s="10">
        <v>0.5</v>
      </c>
    </row>
    <row r="737" spans="2:10">
      <c r="B737" s="10" t="s">
        <v>141</v>
      </c>
      <c r="C737" s="10">
        <v>0</v>
      </c>
    </row>
    <row r="738" spans="2:10" ht="15.75" thickBot="1">
      <c r="B738" s="11" t="s">
        <v>142</v>
      </c>
      <c r="C738" s="11">
        <v>4</v>
      </c>
    </row>
    <row r="740" spans="2:10" ht="15.75" thickBot="1">
      <c r="B740" t="s">
        <v>55</v>
      </c>
    </row>
    <row r="741" spans="2:10">
      <c r="B741" s="12"/>
      <c r="C741" s="12" t="s">
        <v>58</v>
      </c>
      <c r="D741" s="12" t="s">
        <v>57</v>
      </c>
      <c r="E741" s="12" t="s">
        <v>59</v>
      </c>
      <c r="F741" s="12" t="s">
        <v>39</v>
      </c>
      <c r="G741" s="12" t="s">
        <v>146</v>
      </c>
    </row>
    <row r="742" spans="2:10">
      <c r="B742" s="10" t="s">
        <v>143</v>
      </c>
      <c r="C742" s="10">
        <v>2</v>
      </c>
      <c r="D742" s="10">
        <v>125</v>
      </c>
      <c r="E742" s="10">
        <v>62.5</v>
      </c>
      <c r="F742" s="10" t="e">
        <v>#NUM!</v>
      </c>
      <c r="G742" s="10" t="e">
        <v>#NUM!</v>
      </c>
    </row>
    <row r="743" spans="2:10">
      <c r="B743" s="10" t="s">
        <v>144</v>
      </c>
      <c r="C743" s="10">
        <v>2</v>
      </c>
      <c r="D743" s="10">
        <v>0</v>
      </c>
      <c r="E743" s="10">
        <v>0</v>
      </c>
      <c r="F743" s="10"/>
      <c r="G743" s="10"/>
    </row>
    <row r="744" spans="2:10" ht="15.75" thickBot="1">
      <c r="B744" s="11" t="s">
        <v>64</v>
      </c>
      <c r="C744" s="11">
        <v>4</v>
      </c>
      <c r="D744" s="11">
        <v>125</v>
      </c>
      <c r="E744" s="11"/>
      <c r="F744" s="11"/>
      <c r="G744" s="11"/>
    </row>
    <row r="745" spans="2:10" ht="15.75" thickBot="1"/>
    <row r="746" spans="2:10">
      <c r="B746" s="12"/>
      <c r="C746" s="12" t="s">
        <v>147</v>
      </c>
      <c r="D746" s="12" t="s">
        <v>141</v>
      </c>
      <c r="E746" s="12" t="s">
        <v>148</v>
      </c>
      <c r="F746" s="12" t="s">
        <v>60</v>
      </c>
      <c r="G746" s="12" t="s">
        <v>149</v>
      </c>
      <c r="H746" s="12" t="s">
        <v>150</v>
      </c>
      <c r="I746" s="12" t="s">
        <v>151</v>
      </c>
      <c r="J746" s="12" t="s">
        <v>152</v>
      </c>
    </row>
    <row r="747" spans="2:10">
      <c r="B747" s="10" t="s">
        <v>145</v>
      </c>
      <c r="C747" s="10">
        <v>-5</v>
      </c>
      <c r="D747" s="10">
        <v>0</v>
      </c>
      <c r="E747" s="10">
        <v>65535</v>
      </c>
      <c r="F747" s="10" t="e">
        <v>#NUM!</v>
      </c>
      <c r="G747" s="10">
        <v>-5</v>
      </c>
      <c r="H747" s="10">
        <v>-5</v>
      </c>
      <c r="I747" s="10">
        <v>-5</v>
      </c>
      <c r="J747" s="10">
        <v>-5</v>
      </c>
    </row>
    <row r="748" spans="2:10">
      <c r="B748" s="10">
        <v>10</v>
      </c>
      <c r="C748" s="10">
        <v>0</v>
      </c>
      <c r="D748" s="10">
        <v>0</v>
      </c>
      <c r="E748" s="10">
        <v>65535</v>
      </c>
      <c r="F748" s="10" t="e">
        <v>#NUM!</v>
      </c>
      <c r="G748" s="10">
        <v>0</v>
      </c>
      <c r="H748" s="10">
        <v>0</v>
      </c>
      <c r="I748" s="10">
        <v>0</v>
      </c>
      <c r="J748" s="10">
        <v>0</v>
      </c>
    </row>
    <row r="749" spans="2:10" ht="15.75" thickBot="1">
      <c r="B749" s="11">
        <v>100</v>
      </c>
      <c r="C749" s="11">
        <v>0.1</v>
      </c>
      <c r="D749" s="11">
        <v>0</v>
      </c>
      <c r="E749" s="11">
        <v>65535</v>
      </c>
      <c r="F749" s="11" t="e">
        <v>#NUM!</v>
      </c>
      <c r="G749" s="11">
        <v>0.1</v>
      </c>
      <c r="H749" s="11">
        <v>0.1</v>
      </c>
      <c r="I749" s="11">
        <v>0.1</v>
      </c>
      <c r="J749" s="11">
        <v>0.1</v>
      </c>
    </row>
    <row r="759" spans="2:3">
      <c r="B759" t="s">
        <v>159</v>
      </c>
    </row>
    <row r="760" spans="2:3">
      <c r="B760" t="s">
        <v>160</v>
      </c>
    </row>
    <row r="762" spans="2:3">
      <c r="B762" t="s">
        <v>161</v>
      </c>
      <c r="C762">
        <v>0.05</v>
      </c>
    </row>
    <row r="763" spans="2:3">
      <c r="B763" t="s">
        <v>3</v>
      </c>
      <c r="C763">
        <v>50</v>
      </c>
    </row>
    <row r="764" spans="2:3">
      <c r="B764" t="s">
        <v>12</v>
      </c>
      <c r="C764">
        <v>3.5</v>
      </c>
    </row>
    <row r="765" spans="2:3">
      <c r="B765" t="s">
        <v>162</v>
      </c>
      <c r="C765">
        <v>10</v>
      </c>
    </row>
    <row r="766" spans="2:3">
      <c r="B766" t="s">
        <v>163</v>
      </c>
      <c r="C766">
        <v>9.5</v>
      </c>
    </row>
    <row r="767" spans="2:3">
      <c r="B767" t="s">
        <v>87</v>
      </c>
      <c r="C767">
        <f>C764/SQRT(C763)</f>
        <v>0.49497474683058323</v>
      </c>
    </row>
    <row r="768" spans="2:3">
      <c r="B768" t="s">
        <v>164</v>
      </c>
      <c r="C768">
        <f>(C765-C766)/C767</f>
        <v>1.0101525445522108</v>
      </c>
    </row>
    <row r="769" spans="2:3">
      <c r="B769" t="s">
        <v>88</v>
      </c>
      <c r="C769">
        <v>49</v>
      </c>
    </row>
    <row r="770" spans="2:3">
      <c r="B770" t="s">
        <v>114</v>
      </c>
      <c r="C770">
        <v>1.671</v>
      </c>
    </row>
    <row r="772" spans="2:3">
      <c r="B772" t="s">
        <v>165</v>
      </c>
    </row>
    <row r="773" spans="2:3">
      <c r="B773" t="s">
        <v>166</v>
      </c>
    </row>
    <row r="782" spans="2:3">
      <c r="B782" t="s">
        <v>167</v>
      </c>
    </row>
    <row r="783" spans="2:3">
      <c r="B783" t="s">
        <v>168</v>
      </c>
    </row>
    <row r="785" spans="2:6">
      <c r="B785" t="s">
        <v>3</v>
      </c>
      <c r="C785">
        <v>100</v>
      </c>
    </row>
    <row r="786" spans="2:6">
      <c r="B786" t="s">
        <v>162</v>
      </c>
      <c r="C786">
        <v>390</v>
      </c>
      <c r="E786" t="s">
        <v>169</v>
      </c>
      <c r="F786">
        <v>0.01</v>
      </c>
    </row>
    <row r="787" spans="2:6">
      <c r="B787" t="s">
        <v>163</v>
      </c>
      <c r="C787">
        <v>400</v>
      </c>
      <c r="F787" t="s">
        <v>170</v>
      </c>
    </row>
    <row r="788" spans="2:6">
      <c r="B788" t="s">
        <v>12</v>
      </c>
      <c r="C788">
        <v>20</v>
      </c>
    </row>
    <row r="789" spans="2:6">
      <c r="B789" t="s">
        <v>87</v>
      </c>
      <c r="C789">
        <f>C788/SQRT(C785)</f>
        <v>2</v>
      </c>
    </row>
    <row r="790" spans="2:6">
      <c r="B790" t="s">
        <v>164</v>
      </c>
      <c r="C790">
        <f>(C786-C787)/C789</f>
        <v>-5</v>
      </c>
    </row>
    <row r="791" spans="2:6">
      <c r="B791" t="s">
        <v>114</v>
      </c>
      <c r="C791">
        <v>2.66</v>
      </c>
    </row>
    <row r="793" spans="2:6">
      <c r="B793" t="s">
        <v>171</v>
      </c>
    </row>
    <row r="795" spans="2:6">
      <c r="B795" t="s">
        <v>172</v>
      </c>
    </row>
    <row r="804" spans="2:6">
      <c r="B804" t="s">
        <v>173</v>
      </c>
    </row>
    <row r="805" spans="2:6">
      <c r="B805" t="s">
        <v>174</v>
      </c>
    </row>
    <row r="808" spans="2:6">
      <c r="B808" t="s">
        <v>3</v>
      </c>
      <c r="C808">
        <v>400</v>
      </c>
      <c r="E808" t="s">
        <v>161</v>
      </c>
      <c r="F808">
        <v>0.05</v>
      </c>
    </row>
    <row r="809" spans="2:6">
      <c r="B809" t="s">
        <v>162</v>
      </c>
      <c r="C809">
        <v>153.69999999999999</v>
      </c>
      <c r="E809" t="s">
        <v>170</v>
      </c>
    </row>
    <row r="810" spans="2:6">
      <c r="B810" t="s">
        <v>163</v>
      </c>
      <c r="C810">
        <v>146.30000000000001</v>
      </c>
    </row>
    <row r="811" spans="2:6">
      <c r="B811" t="s">
        <v>12</v>
      </c>
      <c r="C811">
        <v>17.2</v>
      </c>
    </row>
    <row r="812" spans="2:6">
      <c r="B812" t="s">
        <v>87</v>
      </c>
      <c r="C812">
        <f>C811/SQRT(C808)</f>
        <v>0.86</v>
      </c>
    </row>
    <row r="813" spans="2:6">
      <c r="B813" t="s">
        <v>164</v>
      </c>
      <c r="C813">
        <f>(C809-C810)/C812</f>
        <v>8.6046511627906721</v>
      </c>
    </row>
    <row r="814" spans="2:6">
      <c r="B814" t="s">
        <v>114</v>
      </c>
      <c r="C814">
        <v>1.962</v>
      </c>
    </row>
    <row r="816" spans="2:6">
      <c r="B816" t="s">
        <v>175</v>
      </c>
    </row>
    <row r="818" spans="2:2">
      <c r="B818" t="s">
        <v>176</v>
      </c>
    </row>
  </sheetData>
  <sortState ref="B430:B435">
    <sortCondition ref="B430"/>
  </sortState>
  <mergeCells count="22">
    <mergeCell ref="E417:I417"/>
    <mergeCell ref="E418:I418"/>
    <mergeCell ref="E419:I419"/>
    <mergeCell ref="E420:I420"/>
    <mergeCell ref="E421:I421"/>
    <mergeCell ref="E422:I422"/>
    <mergeCell ref="E423:I423"/>
    <mergeCell ref="E424:I424"/>
    <mergeCell ref="E425:I425"/>
    <mergeCell ref="E426:I426"/>
    <mergeCell ref="E400:G400"/>
    <mergeCell ref="F416:G416"/>
    <mergeCell ref="F329:I329"/>
    <mergeCell ref="G385:J385"/>
    <mergeCell ref="G386:J386"/>
    <mergeCell ref="E399:G399"/>
    <mergeCell ref="G398:H398"/>
    <mergeCell ref="F324:I324"/>
    <mergeCell ref="F325:I325"/>
    <mergeCell ref="F326:I326"/>
    <mergeCell ref="F327:I327"/>
    <mergeCell ref="F328:I328"/>
  </mergeCells>
  <pageMargins left="0.70866141732283472" right="0.70866141732283472" top="0.74803149606299213" bottom="0.74803149606299213" header="0.31496062992125984" footer="0.31496062992125984"/>
  <pageSetup paperSize="8" orientation="landscape" r:id="rId2"/>
  <drawing r:id="rId3"/>
  <tableParts count="21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cp:lastPrinted>2024-06-24T07:35:04Z</cp:lastPrinted>
  <dcterms:created xsi:type="dcterms:W3CDTF">2024-06-18T04:15:56Z</dcterms:created>
  <dcterms:modified xsi:type="dcterms:W3CDTF">2024-06-24T07:40:01Z</dcterms:modified>
</cp:coreProperties>
</file>