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\Desktop\H2-CCGT\Repo\"/>
    </mc:Choice>
  </mc:AlternateContent>
  <xr:revisionPtr revIDLastSave="0" documentId="13_ncr:1_{F4D5D617-513E-405B-8B4B-51E831F64754}" xr6:coauthVersionLast="47" xr6:coauthVersionMax="47" xr10:uidLastSave="{00000000-0000-0000-0000-000000000000}"/>
  <bookViews>
    <workbookView xWindow="-120" yWindow="-120" windowWidth="29040" windowHeight="16440" tabRatio="960" activeTab="3" xr2:uid="{2D0C450C-55BE-461E-9BD1-349BFA4D11C6}"/>
  </bookViews>
  <sheets>
    <sheet name="Info" sheetId="15" r:id="rId1"/>
    <sheet name="Single Fuel_New" sheetId="1" r:id="rId2"/>
    <sheet name="Firing Comparison" sheetId="19" r:id="rId3"/>
    <sheet name="Keadby" sheetId="20" r:id="rId4"/>
    <sheet name="UK" sheetId="23" r:id="rId5"/>
    <sheet name="DE" sheetId="22" r:id="rId6"/>
    <sheet name="Inflation_Adjustment" sheetId="18" r:id="rId7"/>
    <sheet name="Inputs" sheetId="2" r:id="rId8"/>
    <sheet name="Methods" sheetId="16" r:id="rId9"/>
    <sheet name="New_built_LCOE" sheetId="10" r:id="rId10"/>
    <sheet name="LCO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3" l="1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M31" i="20"/>
  <c r="G2" i="22"/>
  <c r="E2" i="22"/>
  <c r="E2" i="23"/>
  <c r="E15" i="1"/>
  <c r="E16" i="1"/>
  <c r="E17" i="1"/>
  <c r="E18" i="1"/>
  <c r="E19" i="1"/>
  <c r="E20" i="1"/>
  <c r="E21" i="1"/>
  <c r="E22" i="1"/>
  <c r="E23" i="1"/>
  <c r="E24" i="1"/>
  <c r="E25" i="1"/>
  <c r="E14" i="1"/>
  <c r="G20" i="18" a="1"/>
  <c r="G20" i="18" s="1"/>
  <c r="G17" i="18"/>
  <c r="I19" i="1"/>
  <c r="F19" i="1"/>
  <c r="I18" i="1"/>
  <c r="H18" i="1"/>
  <c r="F18" i="1"/>
  <c r="V17" i="1"/>
  <c r="I17" i="1"/>
  <c r="H17" i="1"/>
  <c r="F17" i="1"/>
  <c r="I16" i="1"/>
  <c r="F16" i="1"/>
  <c r="W15" i="1"/>
  <c r="X15" i="1" s="1"/>
  <c r="Y15" i="1" s="1"/>
  <c r="I15" i="1"/>
  <c r="H15" i="1"/>
  <c r="F15" i="1"/>
  <c r="I14" i="1"/>
  <c r="H14" i="1"/>
  <c r="F14" i="1"/>
  <c r="B28" i="18"/>
  <c r="B29" i="22"/>
  <c r="K48" i="22" s="1"/>
  <c r="S48" i="23"/>
  <c r="O48" i="23"/>
  <c r="K48" i="23"/>
  <c r="G48" i="23"/>
  <c r="C48" i="23"/>
  <c r="Y35" i="23"/>
  <c r="U35" i="23"/>
  <c r="Q35" i="23"/>
  <c r="M35" i="23"/>
  <c r="Y33" i="23"/>
  <c r="Y34" i="23" s="1"/>
  <c r="Y36" i="23" s="1"/>
  <c r="U33" i="23"/>
  <c r="Q33" i="23"/>
  <c r="M33" i="23"/>
  <c r="Y32" i="23"/>
  <c r="U32" i="23"/>
  <c r="Q32" i="23"/>
  <c r="M32" i="23"/>
  <c r="S48" i="22"/>
  <c r="O48" i="22"/>
  <c r="G48" i="22"/>
  <c r="C48" i="22"/>
  <c r="Y35" i="22"/>
  <c r="U35" i="22"/>
  <c r="Q35" i="22"/>
  <c r="M35" i="22"/>
  <c r="Y33" i="22"/>
  <c r="U33" i="22"/>
  <c r="Q33" i="22"/>
  <c r="M33" i="22"/>
  <c r="Y32" i="22"/>
  <c r="U32" i="22"/>
  <c r="Q32" i="22"/>
  <c r="M32" i="22"/>
  <c r="S47" i="20"/>
  <c r="O47" i="20"/>
  <c r="K47" i="20"/>
  <c r="G47" i="20"/>
  <c r="C47" i="20"/>
  <c r="Y34" i="20"/>
  <c r="Y32" i="20"/>
  <c r="Y31" i="20"/>
  <c r="U34" i="20"/>
  <c r="U32" i="20"/>
  <c r="U31" i="20"/>
  <c r="Q34" i="20"/>
  <c r="Q32" i="20"/>
  <c r="Q31" i="20"/>
  <c r="M34" i="20"/>
  <c r="M32" i="20"/>
  <c r="BA75" i="10"/>
  <c r="AZ75" i="10"/>
  <c r="AS75" i="10"/>
  <c r="AR75" i="10"/>
  <c r="AK75" i="10"/>
  <c r="AJ75" i="10"/>
  <c r="AC75" i="10"/>
  <c r="AB75" i="10"/>
  <c r="U75" i="10"/>
  <c r="T75" i="10"/>
  <c r="M75" i="10"/>
  <c r="L75" i="10"/>
  <c r="E75" i="10"/>
  <c r="BE74" i="10"/>
  <c r="BE75" i="10" s="1"/>
  <c r="BD74" i="10"/>
  <c r="BD75" i="10" s="1"/>
  <c r="BC74" i="10"/>
  <c r="BC75" i="10" s="1"/>
  <c r="BB74" i="10"/>
  <c r="BB75" i="10" s="1"/>
  <c r="BA74" i="10"/>
  <c r="AZ74" i="10"/>
  <c r="AY74" i="10"/>
  <c r="AY75" i="10" s="1"/>
  <c r="AX74" i="10"/>
  <c r="AX75" i="10" s="1"/>
  <c r="AW74" i="10"/>
  <c r="AW75" i="10" s="1"/>
  <c r="AV74" i="10"/>
  <c r="AV75" i="10" s="1"/>
  <c r="AU74" i="10"/>
  <c r="AU75" i="10" s="1"/>
  <c r="AT74" i="10"/>
  <c r="AT75" i="10" s="1"/>
  <c r="AS74" i="10"/>
  <c r="AR74" i="10"/>
  <c r="AQ74" i="10"/>
  <c r="AQ75" i="10" s="1"/>
  <c r="AP74" i="10"/>
  <c r="AP75" i="10" s="1"/>
  <c r="AO74" i="10"/>
  <c r="AO75" i="10" s="1"/>
  <c r="AN74" i="10"/>
  <c r="AN75" i="10" s="1"/>
  <c r="AM74" i="10"/>
  <c r="AM75" i="10" s="1"/>
  <c r="AL74" i="10"/>
  <c r="AL75" i="10" s="1"/>
  <c r="AK74" i="10"/>
  <c r="AJ74" i="10"/>
  <c r="AI74" i="10"/>
  <c r="AI75" i="10" s="1"/>
  <c r="AH74" i="10"/>
  <c r="AH75" i="10" s="1"/>
  <c r="AG74" i="10"/>
  <c r="AG75" i="10" s="1"/>
  <c r="AF74" i="10"/>
  <c r="AF75" i="10" s="1"/>
  <c r="AE74" i="10"/>
  <c r="AE75" i="10" s="1"/>
  <c r="AD74" i="10"/>
  <c r="AD75" i="10" s="1"/>
  <c r="AC74" i="10"/>
  <c r="AB74" i="10"/>
  <c r="AA74" i="10"/>
  <c r="AA75" i="10" s="1"/>
  <c r="Z74" i="10"/>
  <c r="Z75" i="10" s="1"/>
  <c r="Y74" i="10"/>
  <c r="Y75" i="10" s="1"/>
  <c r="X74" i="10"/>
  <c r="X75" i="10" s="1"/>
  <c r="W74" i="10"/>
  <c r="W75" i="10" s="1"/>
  <c r="V74" i="10"/>
  <c r="V75" i="10" s="1"/>
  <c r="U74" i="10"/>
  <c r="T74" i="10"/>
  <c r="S74" i="10"/>
  <c r="S75" i="10" s="1"/>
  <c r="R74" i="10"/>
  <c r="R75" i="10" s="1"/>
  <c r="Q74" i="10"/>
  <c r="Q75" i="10" s="1"/>
  <c r="P74" i="10"/>
  <c r="P75" i="10" s="1"/>
  <c r="O74" i="10"/>
  <c r="O75" i="10" s="1"/>
  <c r="N74" i="10"/>
  <c r="N75" i="10" s="1"/>
  <c r="M74" i="10"/>
  <c r="L74" i="10"/>
  <c r="K74" i="10"/>
  <c r="K75" i="10" s="1"/>
  <c r="J74" i="10"/>
  <c r="J75" i="10" s="1"/>
  <c r="I74" i="10"/>
  <c r="I75" i="10" s="1"/>
  <c r="H74" i="10"/>
  <c r="H75" i="10" s="1"/>
  <c r="G74" i="10"/>
  <c r="G75" i="10" s="1"/>
  <c r="F74" i="10"/>
  <c r="F75" i="10" s="1"/>
  <c r="E74" i="10"/>
  <c r="P11" i="2"/>
  <c r="B5" i="2"/>
  <c r="Z10" i="18"/>
  <c r="D3" i="18"/>
  <c r="D4" i="18" s="1"/>
  <c r="D5" i="18" s="1"/>
  <c r="D6" i="18" s="1"/>
  <c r="D7" i="18" s="1"/>
  <c r="D8" i="18" s="1"/>
  <c r="D9" i="18" s="1"/>
  <c r="E3" i="18"/>
  <c r="E4" i="18"/>
  <c r="E5" i="18" s="1"/>
  <c r="E6" i="18" s="1"/>
  <c r="E7" i="18" s="1"/>
  <c r="E8" i="18" s="1"/>
  <c r="E9" i="18" s="1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91" i="18"/>
  <c r="B38" i="18"/>
  <c r="B36" i="18"/>
  <c r="M17" i="18" s="1"/>
  <c r="B42" i="2"/>
  <c r="B49" i="18"/>
  <c r="AB10" i="18" s="1"/>
  <c r="B48" i="18"/>
  <c r="AA10" i="18" s="1"/>
  <c r="B10" i="2"/>
  <c r="F17" i="18"/>
  <c r="B29" i="18"/>
  <c r="H17" i="18" s="1"/>
  <c r="B42" i="18"/>
  <c r="L15" i="18"/>
  <c r="S15" i="18"/>
  <c r="T13" i="18"/>
  <c r="R13" i="18"/>
  <c r="O14" i="18"/>
  <c r="Y14" i="18"/>
  <c r="W12" i="18"/>
  <c r="X13" i="18"/>
  <c r="M34" i="23" l="1"/>
  <c r="M36" i="23" s="1"/>
  <c r="Q34" i="23"/>
  <c r="Q36" i="23" s="1"/>
  <c r="U34" i="23"/>
  <c r="U36" i="23" s="1"/>
  <c r="AB20" i="18" a="1"/>
  <c r="AB20" i="18" s="1"/>
  <c r="M34" i="22"/>
  <c r="M36" i="22" s="1"/>
  <c r="U34" i="22"/>
  <c r="U36" i="22" s="1"/>
  <c r="Y34" i="22"/>
  <c r="Y36" i="22" s="1"/>
  <c r="Q34" i="22"/>
  <c r="Q36" i="22" s="1"/>
  <c r="Q33" i="20"/>
  <c r="Q35" i="20" s="1"/>
  <c r="U33" i="20"/>
  <c r="U35" i="20" s="1"/>
  <c r="Y33" i="20"/>
  <c r="Y35" i="20" s="1"/>
  <c r="M33" i="20"/>
  <c r="M35" i="20" s="1"/>
  <c r="D10" i="18"/>
  <c r="D11" i="18" s="1"/>
  <c r="D12" i="18" s="1"/>
  <c r="D13" i="18" s="1"/>
  <c r="D14" i="18" s="1"/>
  <c r="D15" i="18" s="1"/>
  <c r="D16" i="18" s="1"/>
  <c r="D17" i="18" s="1"/>
  <c r="D18" i="18" s="1"/>
  <c r="D19" i="18" s="1"/>
  <c r="E10" i="18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Z20" i="18" s="1" a="1"/>
  <c r="Z20" i="18" s="1"/>
  <c r="N17" i="18"/>
  <c r="V13" i="18"/>
  <c r="Q14" i="18"/>
  <c r="P11" i="18"/>
  <c r="P20" i="18" s="1" a="1"/>
  <c r="P20" i="18" s="1"/>
  <c r="K14" i="18"/>
  <c r="J14" i="18"/>
  <c r="I14" i="18"/>
  <c r="U14" i="18"/>
  <c r="W3" i="1"/>
  <c r="X3" i="1" s="1"/>
  <c r="Y3" i="1" s="1"/>
  <c r="B20" i="18"/>
  <c r="E5" i="13"/>
  <c r="E9" i="13"/>
  <c r="E11" i="13" s="1"/>
  <c r="F24" i="1" l="1"/>
  <c r="F25" i="1"/>
  <c r="F21" i="1"/>
  <c r="F20" i="1"/>
  <c r="F23" i="1"/>
  <c r="F22" i="1"/>
  <c r="L20" i="18" a="1"/>
  <c r="L20" i="18" s="1"/>
  <c r="S20" i="18" a="1"/>
  <c r="S20" i="18" s="1"/>
  <c r="AA20" i="18" a="1"/>
  <c r="AA20" i="18" s="1"/>
  <c r="D20" i="18"/>
  <c r="J20" i="18" s="1" a="1"/>
  <c r="J20" i="18" s="1"/>
  <c r="T20" i="18" a="1"/>
  <c r="T20" i="18" s="1"/>
  <c r="R20" i="18" a="1"/>
  <c r="R20" i="18" s="1"/>
  <c r="K20" i="18" a="1"/>
  <c r="K20" i="18" s="1"/>
  <c r="H20" i="18" a="1"/>
  <c r="H20" i="18" s="1"/>
  <c r="I20" i="18" a="1"/>
  <c r="I20" i="18" s="1"/>
  <c r="F20" i="18" a="1"/>
  <c r="F20" i="18" s="1"/>
  <c r="F9" i="13"/>
  <c r="E10" i="10"/>
  <c r="B26" i="2"/>
  <c r="B27" i="2" s="1"/>
  <c r="H21" i="1" l="1"/>
  <c r="H24" i="1"/>
  <c r="H16" i="1"/>
  <c r="H19" i="1"/>
  <c r="H25" i="1"/>
  <c r="H22" i="1"/>
  <c r="H23" i="1"/>
  <c r="H20" i="1"/>
  <c r="J11" i="2"/>
  <c r="J13" i="2"/>
  <c r="J12" i="2"/>
  <c r="L31" i="1"/>
  <c r="L30" i="1"/>
  <c r="L29" i="1"/>
  <c r="L28" i="1"/>
  <c r="L27" i="1"/>
  <c r="E5" i="10"/>
  <c r="E9" i="10"/>
  <c r="E7" i="10"/>
  <c r="M20" i="18" l="1" a="1"/>
  <c r="M20" i="18" s="1"/>
  <c r="Y20" i="18" a="1"/>
  <c r="Y20" i="18" s="1"/>
  <c r="F6" i="1"/>
  <c r="N20" i="18" a="1"/>
  <c r="N20" i="18" s="1"/>
  <c r="O20" i="18" a="1"/>
  <c r="O20" i="18" s="1"/>
  <c r="U20" i="18" a="1"/>
  <c r="U20" i="18" s="1"/>
  <c r="V20" i="18" a="1"/>
  <c r="V20" i="18" s="1"/>
  <c r="E26" i="1" s="1"/>
  <c r="K26" i="1" s="1"/>
  <c r="M26" i="1" s="1"/>
  <c r="Q20" i="18" a="1"/>
  <c r="Q20" i="18" s="1"/>
  <c r="G8" i="1" s="1"/>
  <c r="W20" i="18" a="1"/>
  <c r="W20" i="18" s="1"/>
  <c r="H26" i="1" s="1"/>
  <c r="X20" i="18" a="1"/>
  <c r="X20" i="18" s="1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M13" i="2"/>
  <c r="BE13" i="10"/>
  <c r="BE60" i="10" s="1"/>
  <c r="BD13" i="10"/>
  <c r="BD60" i="10" s="1"/>
  <c r="BC13" i="10"/>
  <c r="BC46" i="10" s="1"/>
  <c r="BB13" i="10"/>
  <c r="BB60" i="10" s="1"/>
  <c r="BA13" i="10"/>
  <c r="BA60" i="10" s="1"/>
  <c r="AZ13" i="10"/>
  <c r="AZ46" i="10" s="1"/>
  <c r="AY13" i="10"/>
  <c r="AY46" i="10" s="1"/>
  <c r="AX13" i="10"/>
  <c r="AX46" i="10" s="1"/>
  <c r="AW13" i="10"/>
  <c r="AW46" i="10" s="1"/>
  <c r="AV13" i="10"/>
  <c r="AV46" i="10" s="1"/>
  <c r="AU13" i="10"/>
  <c r="AU46" i="10" s="1"/>
  <c r="AT13" i="10"/>
  <c r="AT60" i="10" s="1"/>
  <c r="AS13" i="10"/>
  <c r="AS60" i="10" s="1"/>
  <c r="AR13" i="10"/>
  <c r="AR46" i="10" s="1"/>
  <c r="AQ13" i="10"/>
  <c r="AQ60" i="10" s="1"/>
  <c r="AP13" i="10"/>
  <c r="AP46" i="10" s="1"/>
  <c r="AO13" i="10"/>
  <c r="AO46" i="10" s="1"/>
  <c r="AN13" i="10"/>
  <c r="AN46" i="10" s="1"/>
  <c r="AM13" i="10"/>
  <c r="AM60" i="10" s="1"/>
  <c r="AL13" i="10"/>
  <c r="AL60" i="10" s="1"/>
  <c r="AK13" i="10"/>
  <c r="AK60" i="10" s="1"/>
  <c r="AJ13" i="10"/>
  <c r="AJ46" i="10" s="1"/>
  <c r="AI13" i="10"/>
  <c r="AI60" i="10" s="1"/>
  <c r="AH13" i="10"/>
  <c r="AH60" i="10" s="1"/>
  <c r="AG13" i="10"/>
  <c r="AG46" i="10" s="1"/>
  <c r="AF13" i="10"/>
  <c r="AF46" i="10" s="1"/>
  <c r="AE13" i="10"/>
  <c r="AE46" i="10" s="1"/>
  <c r="AD13" i="10"/>
  <c r="AD60" i="10" s="1"/>
  <c r="AC13" i="10"/>
  <c r="AC60" i="10" s="1"/>
  <c r="AB13" i="10"/>
  <c r="AB46" i="10" s="1"/>
  <c r="AA13" i="10"/>
  <c r="AA60" i="10" s="1"/>
  <c r="Z13" i="10"/>
  <c r="Z60" i="10" s="1"/>
  <c r="Y13" i="10"/>
  <c r="Y46" i="10" s="1"/>
  <c r="X13" i="10"/>
  <c r="X46" i="10" s="1"/>
  <c r="W13" i="10"/>
  <c r="W60" i="10" s="1"/>
  <c r="V13" i="10"/>
  <c r="V46" i="10" s="1"/>
  <c r="U13" i="10"/>
  <c r="U46" i="10" s="1"/>
  <c r="T13" i="10"/>
  <c r="T46" i="10" s="1"/>
  <c r="S13" i="10"/>
  <c r="S46" i="10" s="1"/>
  <c r="R13" i="10"/>
  <c r="R60" i="10" s="1"/>
  <c r="Q13" i="10"/>
  <c r="Q46" i="10" s="1"/>
  <c r="P13" i="10"/>
  <c r="P46" i="10" s="1"/>
  <c r="O13" i="10"/>
  <c r="O46" i="10" s="1"/>
  <c r="N13" i="10"/>
  <c r="N46" i="10" s="1"/>
  <c r="M13" i="10"/>
  <c r="M46" i="10" s="1"/>
  <c r="L13" i="10"/>
  <c r="L46" i="10" s="1"/>
  <c r="K13" i="10"/>
  <c r="K60" i="10" s="1"/>
  <c r="J13" i="10"/>
  <c r="J60" i="10" s="1"/>
  <c r="I13" i="10"/>
  <c r="I60" i="10" s="1"/>
  <c r="H13" i="10"/>
  <c r="H46" i="10" s="1"/>
  <c r="G13" i="10"/>
  <c r="G60" i="10" s="1"/>
  <c r="F13" i="10"/>
  <c r="F46" i="10" s="1"/>
  <c r="E13" i="10"/>
  <c r="E46" i="10" s="1"/>
  <c r="B33" i="2" l="1"/>
  <c r="B38" i="22"/>
  <c r="M31" i="22" s="1"/>
  <c r="M37" i="22" s="1"/>
  <c r="B38" i="23"/>
  <c r="M31" i="23" s="1"/>
  <c r="M37" i="23" s="1"/>
  <c r="B37" i="20"/>
  <c r="M30" i="20" s="1"/>
  <c r="M36" i="20" s="1"/>
  <c r="B41" i="23"/>
  <c r="Y31" i="23" s="1"/>
  <c r="Y37" i="23" s="1"/>
  <c r="B36" i="2"/>
  <c r="B41" i="22"/>
  <c r="Y31" i="22" s="1"/>
  <c r="Y37" i="22" s="1"/>
  <c r="B40" i="20"/>
  <c r="Y30" i="20" s="1"/>
  <c r="Y36" i="20" s="1"/>
  <c r="B39" i="20"/>
  <c r="U30" i="20" s="1"/>
  <c r="U36" i="20" s="1"/>
  <c r="D6" i="20" s="1"/>
  <c r="B40" i="23"/>
  <c r="U31" i="23" s="1"/>
  <c r="U37" i="23" s="1"/>
  <c r="D7" i="23" s="1"/>
  <c r="B35" i="2"/>
  <c r="B40" i="22"/>
  <c r="U31" i="22" s="1"/>
  <c r="U37" i="22" s="1"/>
  <c r="D7" i="22" s="1"/>
  <c r="B39" i="22"/>
  <c r="Q31" i="22" s="1"/>
  <c r="Q37" i="22" s="1"/>
  <c r="B38" i="20"/>
  <c r="Q30" i="20" s="1"/>
  <c r="Q36" i="20" s="1"/>
  <c r="B39" i="23"/>
  <c r="Q31" i="23" s="1"/>
  <c r="Q37" i="23" s="1"/>
  <c r="B34" i="2"/>
  <c r="B32" i="2"/>
  <c r="B44" i="2" s="1"/>
  <c r="B48" i="2" s="1"/>
  <c r="B37" i="22"/>
  <c r="B37" i="23"/>
  <c r="B36" i="20"/>
  <c r="I2" i="1"/>
  <c r="I6" i="1"/>
  <c r="I5" i="1"/>
  <c r="I3" i="1"/>
  <c r="I4" i="1"/>
  <c r="I7" i="1"/>
  <c r="G11" i="1"/>
  <c r="G10" i="1"/>
  <c r="B38" i="2"/>
  <c r="G9" i="1"/>
  <c r="B39" i="2"/>
  <c r="G13" i="1"/>
  <c r="G12" i="1"/>
  <c r="F4" i="1"/>
  <c r="F3" i="1"/>
  <c r="F7" i="1"/>
  <c r="F5" i="1"/>
  <c r="F2" i="1"/>
  <c r="H2" i="1"/>
  <c r="H5" i="1"/>
  <c r="H6" i="1"/>
  <c r="H10" i="1"/>
  <c r="H13" i="1"/>
  <c r="H12" i="1"/>
  <c r="H9" i="1"/>
  <c r="H11" i="1"/>
  <c r="H8" i="1"/>
  <c r="V5" i="1"/>
  <c r="H7" i="1"/>
  <c r="H4" i="1"/>
  <c r="H29" i="1"/>
  <c r="H27" i="1"/>
  <c r="H28" i="1"/>
  <c r="H30" i="1"/>
  <c r="H31" i="1"/>
  <c r="F8" i="1"/>
  <c r="F12" i="1"/>
  <c r="F13" i="1"/>
  <c r="F9" i="1"/>
  <c r="F10" i="1"/>
  <c r="F11" i="1"/>
  <c r="G2" i="1"/>
  <c r="G7" i="1"/>
  <c r="G4" i="1"/>
  <c r="G6" i="1"/>
  <c r="G3" i="1"/>
  <c r="G5" i="1"/>
  <c r="H3" i="1"/>
  <c r="BC60" i="10"/>
  <c r="AC46" i="10"/>
  <c r="J46" i="10"/>
  <c r="AP60" i="10"/>
  <c r="AK46" i="10"/>
  <c r="W46" i="10"/>
  <c r="L60" i="10"/>
  <c r="AE60" i="10"/>
  <c r="Q60" i="10"/>
  <c r="BA46" i="10"/>
  <c r="Z46" i="10"/>
  <c r="P60" i="10"/>
  <c r="AO60" i="10"/>
  <c r="AX60" i="10"/>
  <c r="Y60" i="10"/>
  <c r="AF60" i="10"/>
  <c r="F60" i="10"/>
  <c r="AL46" i="10"/>
  <c r="BD46" i="10"/>
  <c r="H60" i="10"/>
  <c r="BE46" i="10"/>
  <c r="AT46" i="10"/>
  <c r="E60" i="10"/>
  <c r="V60" i="10"/>
  <c r="O60" i="10"/>
  <c r="G46" i="10"/>
  <c r="U60" i="10"/>
  <c r="T60" i="10"/>
  <c r="K46" i="10"/>
  <c r="X60" i="10"/>
  <c r="AG60" i="10"/>
  <c r="R46" i="10"/>
  <c r="AS46" i="10"/>
  <c r="I46" i="10"/>
  <c r="BB46" i="10"/>
  <c r="AB60" i="10"/>
  <c r="M60" i="10"/>
  <c r="N60" i="10"/>
  <c r="AJ60" i="10"/>
  <c r="AA46" i="10"/>
  <c r="AN60" i="10"/>
  <c r="AH46" i="10"/>
  <c r="AW60" i="10"/>
  <c r="AU60" i="10"/>
  <c r="S60" i="10"/>
  <c r="AR60" i="10"/>
  <c r="AI46" i="10"/>
  <c r="AV60" i="10"/>
  <c r="AM46" i="10"/>
  <c r="AZ60" i="10"/>
  <c r="AQ46" i="10"/>
  <c r="AY60" i="10"/>
  <c r="AD46" i="10"/>
  <c r="W32" i="10"/>
  <c r="W18" i="10"/>
  <c r="BC32" i="10"/>
  <c r="BC18" i="10"/>
  <c r="H32" i="10"/>
  <c r="H18" i="10"/>
  <c r="BD32" i="10"/>
  <c r="BD18" i="10"/>
  <c r="I32" i="10"/>
  <c r="I18" i="10"/>
  <c r="Q32" i="10"/>
  <c r="Q18" i="10"/>
  <c r="Y32" i="10"/>
  <c r="Y18" i="10"/>
  <c r="AG32" i="10"/>
  <c r="AG18" i="10"/>
  <c r="AO32" i="10"/>
  <c r="AO18" i="10"/>
  <c r="AW32" i="10"/>
  <c r="AW18" i="10"/>
  <c r="BE32" i="10"/>
  <c r="BE18" i="10"/>
  <c r="X18" i="10"/>
  <c r="X32" i="10"/>
  <c r="J18" i="10"/>
  <c r="J32" i="10"/>
  <c r="R18" i="10"/>
  <c r="R32" i="10"/>
  <c r="Z18" i="10"/>
  <c r="Z32" i="10"/>
  <c r="AH18" i="10"/>
  <c r="AH32" i="10"/>
  <c r="AP32" i="10"/>
  <c r="AP18" i="10"/>
  <c r="AX18" i="10"/>
  <c r="AX32" i="10"/>
  <c r="G32" i="10"/>
  <c r="G18" i="10"/>
  <c r="AU32" i="10"/>
  <c r="AU18" i="10"/>
  <c r="P32" i="10"/>
  <c r="P18" i="10"/>
  <c r="S18" i="10"/>
  <c r="S32" i="10"/>
  <c r="AI18" i="10"/>
  <c r="AI32" i="10"/>
  <c r="AV32" i="10"/>
  <c r="AV18" i="10"/>
  <c r="AY18" i="10"/>
  <c r="AY32" i="10"/>
  <c r="T18" i="10"/>
  <c r="T32" i="10"/>
  <c r="AR18" i="10"/>
  <c r="AR32" i="10"/>
  <c r="O32" i="10"/>
  <c r="O18" i="10"/>
  <c r="AM32" i="10"/>
  <c r="AM18" i="10"/>
  <c r="AF32" i="10"/>
  <c r="AF18" i="10"/>
  <c r="K18" i="10"/>
  <c r="K32" i="10"/>
  <c r="AA18" i="10"/>
  <c r="AA32" i="10"/>
  <c r="AQ18" i="10"/>
  <c r="AQ32" i="10"/>
  <c r="L18" i="10"/>
  <c r="L32" i="10"/>
  <c r="AB18" i="10"/>
  <c r="AB32" i="10"/>
  <c r="AJ18" i="10"/>
  <c r="AJ32" i="10"/>
  <c r="AZ18" i="10"/>
  <c r="AZ32" i="10"/>
  <c r="E18" i="10"/>
  <c r="E32" i="10"/>
  <c r="M32" i="10"/>
  <c r="M18" i="10"/>
  <c r="U18" i="10"/>
  <c r="U32" i="10"/>
  <c r="AC32" i="10"/>
  <c r="AC18" i="10"/>
  <c r="AK18" i="10"/>
  <c r="AK32" i="10"/>
  <c r="AS32" i="10"/>
  <c r="AS18" i="10"/>
  <c r="BA32" i="10"/>
  <c r="BA18" i="10"/>
  <c r="AE32" i="10"/>
  <c r="AE18" i="10"/>
  <c r="AN32" i="10"/>
  <c r="AN18" i="10"/>
  <c r="F32" i="10"/>
  <c r="F18" i="10"/>
  <c r="N32" i="10"/>
  <c r="N18" i="10"/>
  <c r="V32" i="10"/>
  <c r="V18" i="10"/>
  <c r="AD32" i="10"/>
  <c r="AD18" i="10"/>
  <c r="AL32" i="10"/>
  <c r="AL18" i="10"/>
  <c r="AT32" i="10"/>
  <c r="AT18" i="10"/>
  <c r="BB32" i="10"/>
  <c r="BB18" i="10"/>
  <c r="M11" i="2"/>
  <c r="M12" i="2"/>
  <c r="E7" i="1" l="1"/>
  <c r="K25" i="1"/>
  <c r="M25" i="1" s="1"/>
  <c r="K14" i="1"/>
  <c r="M14" i="1" s="1"/>
  <c r="K24" i="1"/>
  <c r="M24" i="1" s="1"/>
  <c r="K16" i="1"/>
  <c r="M16" i="1" s="1"/>
  <c r="K17" i="1"/>
  <c r="M17" i="1" s="1"/>
  <c r="K23" i="1"/>
  <c r="M23" i="1" s="1"/>
  <c r="K19" i="1"/>
  <c r="M19" i="1" s="1"/>
  <c r="K18" i="1"/>
  <c r="M18" i="1" s="1"/>
  <c r="K15" i="1"/>
  <c r="M15" i="1" s="1"/>
  <c r="B43" i="2"/>
  <c r="B46" i="2" s="1"/>
  <c r="C9" i="23"/>
  <c r="C4" i="23"/>
  <c r="C20" i="23"/>
  <c r="C10" i="23"/>
  <c r="C8" i="23"/>
  <c r="C19" i="23"/>
  <c r="E6" i="22"/>
  <c r="E12" i="22"/>
  <c r="E17" i="22"/>
  <c r="E14" i="22"/>
  <c r="E18" i="22"/>
  <c r="E16" i="22"/>
  <c r="E19" i="22"/>
  <c r="E20" i="22"/>
  <c r="E15" i="22"/>
  <c r="E9" i="22"/>
  <c r="C3" i="20"/>
  <c r="C9" i="20"/>
  <c r="C7" i="20"/>
  <c r="C19" i="20"/>
  <c r="C18" i="20"/>
  <c r="C8" i="20"/>
  <c r="E17" i="20"/>
  <c r="E14" i="20"/>
  <c r="E8" i="20"/>
  <c r="E5" i="20"/>
  <c r="E16" i="20"/>
  <c r="E18" i="20"/>
  <c r="E11" i="20"/>
  <c r="E15" i="20"/>
  <c r="E13" i="20"/>
  <c r="E19" i="20"/>
  <c r="B35" i="22"/>
  <c r="O49" i="22" s="1"/>
  <c r="B34" i="20"/>
  <c r="O48" i="20" s="1"/>
  <c r="B35" i="23"/>
  <c r="O49" i="23" s="1"/>
  <c r="E71" i="10"/>
  <c r="O46" i="20"/>
  <c r="S46" i="20"/>
  <c r="C46" i="20"/>
  <c r="G46" i="20"/>
  <c r="K46" i="20"/>
  <c r="K49" i="20" s="1"/>
  <c r="D10" i="22"/>
  <c r="D20" i="22"/>
  <c r="D18" i="22"/>
  <c r="D14" i="22"/>
  <c r="D13" i="22"/>
  <c r="D11" i="22"/>
  <c r="D19" i="22"/>
  <c r="D16" i="22"/>
  <c r="D17" i="22"/>
  <c r="D8" i="22"/>
  <c r="D5" i="22"/>
  <c r="D15" i="22"/>
  <c r="B10" i="20"/>
  <c r="B12" i="20"/>
  <c r="B2" i="20"/>
  <c r="B15" i="20"/>
  <c r="B11" i="20"/>
  <c r="B16" i="20"/>
  <c r="C4" i="22"/>
  <c r="C20" i="22"/>
  <c r="C9" i="22"/>
  <c r="C19" i="22"/>
  <c r="C8" i="22"/>
  <c r="C10" i="22"/>
  <c r="K47" i="23"/>
  <c r="K50" i="23" s="1"/>
  <c r="S47" i="23"/>
  <c r="C47" i="23"/>
  <c r="G47" i="23"/>
  <c r="O47" i="23"/>
  <c r="B3" i="23"/>
  <c r="B12" i="23"/>
  <c r="B13" i="23"/>
  <c r="B11" i="23"/>
  <c r="B16" i="23"/>
  <c r="B17" i="23"/>
  <c r="E15" i="23"/>
  <c r="E16" i="23"/>
  <c r="E9" i="23"/>
  <c r="E18" i="23"/>
  <c r="E12" i="23"/>
  <c r="E17" i="23"/>
  <c r="E14" i="23"/>
  <c r="E6" i="23"/>
  <c r="E19" i="23"/>
  <c r="E20" i="23"/>
  <c r="K47" i="22"/>
  <c r="K50" i="22" s="1"/>
  <c r="G7" i="22" s="1"/>
  <c r="O47" i="22"/>
  <c r="S47" i="22"/>
  <c r="C47" i="22"/>
  <c r="G47" i="22"/>
  <c r="D5" i="23"/>
  <c r="D16" i="23"/>
  <c r="D8" i="23"/>
  <c r="D10" i="23"/>
  <c r="D19" i="23"/>
  <c r="D18" i="23"/>
  <c r="D11" i="23"/>
  <c r="D14" i="23"/>
  <c r="D15" i="23"/>
  <c r="D17" i="23"/>
  <c r="D20" i="23"/>
  <c r="D13" i="23"/>
  <c r="B12" i="22"/>
  <c r="B16" i="22"/>
  <c r="B17" i="22"/>
  <c r="B11" i="22"/>
  <c r="B3" i="22"/>
  <c r="B13" i="22"/>
  <c r="D10" i="20"/>
  <c r="D14" i="20"/>
  <c r="D15" i="20"/>
  <c r="D4" i="20"/>
  <c r="D13" i="20"/>
  <c r="D7" i="20"/>
  <c r="D18" i="20"/>
  <c r="D12" i="20"/>
  <c r="D9" i="20"/>
  <c r="D19" i="20"/>
  <c r="D17" i="20"/>
  <c r="D16" i="20"/>
  <c r="B47" i="2"/>
  <c r="E10" i="1"/>
  <c r="J10" i="1" s="1"/>
  <c r="E13" i="1"/>
  <c r="E11" i="1"/>
  <c r="E2" i="1"/>
  <c r="E6" i="1"/>
  <c r="E12" i="1"/>
  <c r="E8" i="1"/>
  <c r="J8" i="1" s="1"/>
  <c r="E3" i="1"/>
  <c r="E4" i="1"/>
  <c r="E9" i="1"/>
  <c r="J9" i="1" s="1"/>
  <c r="E5" i="1"/>
  <c r="O50" i="23" l="1"/>
  <c r="F18" i="23" s="1"/>
  <c r="J21" i="1"/>
  <c r="K21" i="1" s="1"/>
  <c r="M21" i="1" s="1"/>
  <c r="J20" i="1"/>
  <c r="K20" i="1" s="1"/>
  <c r="M20" i="1" s="1"/>
  <c r="J22" i="1"/>
  <c r="K22" i="1" s="1"/>
  <c r="M22" i="1" s="1"/>
  <c r="O49" i="20"/>
  <c r="F18" i="20" s="1"/>
  <c r="B49" i="2"/>
  <c r="B36" i="22" s="1"/>
  <c r="S49" i="22" s="1"/>
  <c r="S50" i="22" s="1"/>
  <c r="B33" i="23"/>
  <c r="G49" i="23" s="1"/>
  <c r="G50" i="23" s="1"/>
  <c r="B33" i="22"/>
  <c r="G49" i="22" s="1"/>
  <c r="G50" i="22" s="1"/>
  <c r="B32" i="20"/>
  <c r="G48" i="20" s="1"/>
  <c r="O50" i="22"/>
  <c r="G49" i="20"/>
  <c r="G11" i="22"/>
  <c r="G9" i="22"/>
  <c r="G10" i="22"/>
  <c r="G17" i="22"/>
  <c r="G18" i="22"/>
  <c r="G13" i="22"/>
  <c r="G15" i="22"/>
  <c r="G4" i="22"/>
  <c r="G16" i="22"/>
  <c r="G20" i="22"/>
  <c r="G6" i="22"/>
  <c r="G12" i="22"/>
  <c r="G8" i="22"/>
  <c r="G14" i="22"/>
  <c r="G19" i="22"/>
  <c r="G5" i="22"/>
  <c r="G3" i="22"/>
  <c r="E8" i="10"/>
  <c r="B31" i="20"/>
  <c r="C48" i="20" s="1"/>
  <c r="C49" i="20" s="1"/>
  <c r="F6" i="20" s="1"/>
  <c r="B32" i="22"/>
  <c r="C49" i="22" s="1"/>
  <c r="C50" i="22" s="1"/>
  <c r="F7" i="22" s="1"/>
  <c r="B32" i="23"/>
  <c r="C49" i="23" s="1"/>
  <c r="C50" i="23" s="1"/>
  <c r="F7" i="23" s="1"/>
  <c r="E29" i="10"/>
  <c r="B16" i="2"/>
  <c r="L12" i="2"/>
  <c r="K12" i="2" s="1"/>
  <c r="L13" i="2"/>
  <c r="K13" i="2" s="1"/>
  <c r="L11" i="2"/>
  <c r="K11" i="2" s="1"/>
  <c r="B36" i="23" l="1"/>
  <c r="S49" i="23" s="1"/>
  <c r="S50" i="23" s="1"/>
  <c r="F20" i="23" s="1"/>
  <c r="B35" i="20"/>
  <c r="S48" i="20" s="1"/>
  <c r="S49" i="20" s="1"/>
  <c r="F16" i="20" s="1"/>
  <c r="F17" i="20"/>
  <c r="F15" i="20"/>
  <c r="F19" i="23"/>
  <c r="F16" i="23"/>
  <c r="F9" i="20"/>
  <c r="F2" i="20"/>
  <c r="F12" i="20"/>
  <c r="F11" i="20"/>
  <c r="F8" i="20"/>
  <c r="F14" i="20"/>
  <c r="F3" i="20"/>
  <c r="F12" i="22"/>
  <c r="F15" i="22"/>
  <c r="F9" i="22"/>
  <c r="F4" i="22"/>
  <c r="F13" i="22"/>
  <c r="F10" i="22"/>
  <c r="F3" i="22"/>
  <c r="F4" i="23"/>
  <c r="F10" i="23"/>
  <c r="F3" i="23"/>
  <c r="F9" i="23"/>
  <c r="F15" i="23"/>
  <c r="F12" i="23"/>
  <c r="F13" i="23"/>
  <c r="F18" i="22"/>
  <c r="F16" i="22"/>
  <c r="F19" i="22"/>
  <c r="F14" i="22"/>
  <c r="F5" i="22"/>
  <c r="F11" i="22"/>
  <c r="F8" i="22"/>
  <c r="F7" i="20"/>
  <c r="F13" i="20"/>
  <c r="F10" i="20"/>
  <c r="F4" i="20"/>
  <c r="F20" i="22"/>
  <c r="F17" i="22"/>
  <c r="F5" i="23"/>
  <c r="F8" i="23"/>
  <c r="F14" i="23"/>
  <c r="F11" i="23"/>
  <c r="E6" i="13"/>
  <c r="E6" i="10"/>
  <c r="Q26" i="2"/>
  <c r="Q34" i="2"/>
  <c r="P26" i="2"/>
  <c r="Q35" i="2"/>
  <c r="Q31" i="2"/>
  <c r="Q25" i="2"/>
  <c r="Q27" i="2"/>
  <c r="P27" i="2"/>
  <c r="Q22" i="2"/>
  <c r="P23" i="2"/>
  <c r="P24" i="2"/>
  <c r="Q28" i="2"/>
  <c r="Q36" i="2"/>
  <c r="P22" i="2"/>
  <c r="Q37" i="2"/>
  <c r="Q30" i="2"/>
  <c r="Q23" i="2"/>
  <c r="Q32" i="2"/>
  <c r="P25" i="2"/>
  <c r="Q29" i="2"/>
  <c r="Q24" i="2"/>
  <c r="Q33" i="2"/>
  <c r="B18" i="2"/>
  <c r="B28" i="2"/>
  <c r="B20" i="2"/>
  <c r="F19" i="20" l="1"/>
  <c r="F17" i="23"/>
  <c r="AU47" i="10"/>
  <c r="AO47" i="10"/>
  <c r="AX47" i="10"/>
  <c r="AF47" i="10"/>
  <c r="AR47" i="10"/>
  <c r="M47" i="10"/>
  <c r="V47" i="10"/>
  <c r="Z61" i="10"/>
  <c r="T47" i="10"/>
  <c r="BA61" i="10"/>
  <c r="AH61" i="10"/>
  <c r="AB47" i="10"/>
  <c r="AV47" i="10"/>
  <c r="AP47" i="10"/>
  <c r="AJ47" i="10"/>
  <c r="N47" i="10"/>
  <c r="BC47" i="10"/>
  <c r="AW47" i="10"/>
  <c r="W61" i="10"/>
  <c r="K61" i="10"/>
  <c r="AZ47" i="10"/>
  <c r="U47" i="10"/>
  <c r="AD61" i="10"/>
  <c r="O47" i="10"/>
  <c r="BE61" i="10"/>
  <c r="BD61" i="10"/>
  <c r="AA61" i="10"/>
  <c r="G61" i="10"/>
  <c r="AC61" i="10"/>
  <c r="AL61" i="10"/>
  <c r="S47" i="10"/>
  <c r="AM61" i="10"/>
  <c r="J61" i="10"/>
  <c r="Q47" i="10"/>
  <c r="AQ61" i="10"/>
  <c r="AE47" i="10"/>
  <c r="AK61" i="10"/>
  <c r="AT61" i="10"/>
  <c r="P47" i="10"/>
  <c r="R61" i="10"/>
  <c r="AG47" i="10"/>
  <c r="L47" i="10"/>
  <c r="H47" i="10"/>
  <c r="AS61" i="10"/>
  <c r="BB61" i="10"/>
  <c r="AN47" i="10"/>
  <c r="X47" i="10"/>
  <c r="I61" i="10"/>
  <c r="AI61" i="10"/>
  <c r="F47" i="10"/>
  <c r="Y47" i="10"/>
  <c r="AY47" i="10"/>
  <c r="E47" i="10"/>
  <c r="AE61" i="10"/>
  <c r="BC61" i="10"/>
  <c r="E61" i="10"/>
  <c r="W47" i="10"/>
  <c r="AK47" i="10"/>
  <c r="AU61" i="10"/>
  <c r="BB47" i="10"/>
  <c r="T61" i="10"/>
  <c r="AL47" i="10"/>
  <c r="AO61" i="10"/>
  <c r="AZ61" i="10"/>
  <c r="AA47" i="10"/>
  <c r="Y61" i="10"/>
  <c r="AV61" i="10"/>
  <c r="AH47" i="10"/>
  <c r="AB61" i="10"/>
  <c r="U61" i="10"/>
  <c r="BD47" i="10"/>
  <c r="V61" i="10"/>
  <c r="BA47" i="10"/>
  <c r="X61" i="10"/>
  <c r="K47" i="10"/>
  <c r="I47" i="10"/>
  <c r="R47" i="10"/>
  <c r="L61" i="10"/>
  <c r="AD47" i="10"/>
  <c r="G47" i="10"/>
  <c r="AR61" i="10"/>
  <c r="S61" i="10"/>
  <c r="H61" i="10"/>
  <c r="Z47" i="10"/>
  <c r="AI47" i="10"/>
  <c r="O61" i="10"/>
  <c r="AJ61" i="10"/>
  <c r="AT47" i="10"/>
  <c r="Q61" i="10"/>
  <c r="F61" i="10"/>
  <c r="AX61" i="10"/>
  <c r="AW61" i="10"/>
  <c r="AC47" i="10"/>
  <c r="AF61" i="10"/>
  <c r="N61" i="10"/>
  <c r="M61" i="10"/>
  <c r="AN61" i="10"/>
  <c r="P61" i="10"/>
  <c r="J47" i="10"/>
  <c r="AM47" i="10"/>
  <c r="AP61" i="10"/>
  <c r="AS47" i="10"/>
  <c r="BE47" i="10"/>
  <c r="AQ47" i="10"/>
  <c r="AG61" i="10"/>
  <c r="AY61" i="10"/>
  <c r="N41" i="2"/>
  <c r="N42" i="2"/>
  <c r="B22" i="2" l="1"/>
  <c r="B23" i="2" s="1"/>
  <c r="B30" i="2" s="1"/>
  <c r="E45" i="13" l="1"/>
  <c r="D48" i="13" s="1"/>
  <c r="E58" i="13"/>
  <c r="D61" i="13" s="1"/>
  <c r="E3" i="13"/>
  <c r="D22" i="13" s="1"/>
  <c r="E32" i="13"/>
  <c r="D35" i="13" s="1"/>
  <c r="B29" i="2"/>
  <c r="E3" i="10" s="1"/>
  <c r="D74" i="10" s="1"/>
  <c r="D75" i="10" s="1"/>
  <c r="D76" i="10" s="1"/>
  <c r="D49" i="13" l="1"/>
  <c r="J48" i="13"/>
  <c r="J49" i="13" s="1"/>
  <c r="K48" i="13"/>
  <c r="K49" i="13" s="1"/>
  <c r="S48" i="13"/>
  <c r="S49" i="13" s="1"/>
  <c r="AA48" i="13"/>
  <c r="AA49" i="13" s="1"/>
  <c r="AI48" i="13"/>
  <c r="AI49" i="13" s="1"/>
  <c r="AQ48" i="13"/>
  <c r="AQ49" i="13" s="1"/>
  <c r="H48" i="13"/>
  <c r="H49" i="13" s="1"/>
  <c r="X48" i="13"/>
  <c r="X49" i="13" s="1"/>
  <c r="AN48" i="13"/>
  <c r="AN49" i="13" s="1"/>
  <c r="E48" i="13"/>
  <c r="E49" i="13" s="1"/>
  <c r="Z48" i="13"/>
  <c r="Z49" i="13" s="1"/>
  <c r="L48" i="13"/>
  <c r="L49" i="13" s="1"/>
  <c r="T48" i="13"/>
  <c r="T49" i="13" s="1"/>
  <c r="AB48" i="13"/>
  <c r="AB49" i="13" s="1"/>
  <c r="AJ48" i="13"/>
  <c r="AJ49" i="13" s="1"/>
  <c r="AR48" i="13"/>
  <c r="AR49" i="13" s="1"/>
  <c r="M48" i="13"/>
  <c r="M49" i="13" s="1"/>
  <c r="U48" i="13"/>
  <c r="U49" i="13" s="1"/>
  <c r="AC48" i="13"/>
  <c r="AC49" i="13" s="1"/>
  <c r="AK48" i="13"/>
  <c r="AK49" i="13" s="1"/>
  <c r="AS48" i="13"/>
  <c r="AS49" i="13" s="1"/>
  <c r="F48" i="13"/>
  <c r="F49" i="13" s="1"/>
  <c r="N48" i="13"/>
  <c r="N49" i="13" s="1"/>
  <c r="V48" i="13"/>
  <c r="V49" i="13" s="1"/>
  <c r="AD48" i="13"/>
  <c r="AD49" i="13" s="1"/>
  <c r="AL48" i="13"/>
  <c r="AL49" i="13" s="1"/>
  <c r="AT48" i="13"/>
  <c r="AT49" i="13" s="1"/>
  <c r="G48" i="13"/>
  <c r="G49" i="13" s="1"/>
  <c r="O48" i="13"/>
  <c r="O49" i="13" s="1"/>
  <c r="W48" i="13"/>
  <c r="W49" i="13" s="1"/>
  <c r="AE48" i="13"/>
  <c r="AE49" i="13" s="1"/>
  <c r="AM48" i="13"/>
  <c r="AM49" i="13" s="1"/>
  <c r="AU48" i="13"/>
  <c r="AU49" i="13" s="1"/>
  <c r="P48" i="13"/>
  <c r="P49" i="13" s="1"/>
  <c r="AF48" i="13"/>
  <c r="AF49" i="13" s="1"/>
  <c r="AV48" i="13"/>
  <c r="AV49" i="13" s="1"/>
  <c r="I48" i="13"/>
  <c r="I49" i="13" s="1"/>
  <c r="Q48" i="13"/>
  <c r="Q49" i="13" s="1"/>
  <c r="Y48" i="13"/>
  <c r="Y49" i="13" s="1"/>
  <c r="AG48" i="13"/>
  <c r="AG49" i="13" s="1"/>
  <c r="AO48" i="13"/>
  <c r="AO49" i="13" s="1"/>
  <c r="R48" i="13"/>
  <c r="R49" i="13" s="1"/>
  <c r="AH48" i="13"/>
  <c r="AH49" i="13" s="1"/>
  <c r="AP48" i="13"/>
  <c r="AP49" i="13" s="1"/>
  <c r="D62" i="13"/>
  <c r="F61" i="13"/>
  <c r="F62" i="13" s="1"/>
  <c r="N61" i="13"/>
  <c r="N62" i="13" s="1"/>
  <c r="V61" i="13"/>
  <c r="V62" i="13" s="1"/>
  <c r="AD61" i="13"/>
  <c r="AD62" i="13" s="1"/>
  <c r="AL61" i="13"/>
  <c r="AL62" i="13" s="1"/>
  <c r="AT61" i="13"/>
  <c r="AT62" i="13" s="1"/>
  <c r="K61" i="13"/>
  <c r="K62" i="13" s="1"/>
  <c r="AI61" i="13"/>
  <c r="AI62" i="13" s="1"/>
  <c r="G61" i="13"/>
  <c r="G62" i="13" s="1"/>
  <c r="O61" i="13"/>
  <c r="O62" i="13" s="1"/>
  <c r="W61" i="13"/>
  <c r="W62" i="13" s="1"/>
  <c r="AE61" i="13"/>
  <c r="AE62" i="13" s="1"/>
  <c r="AM61" i="13"/>
  <c r="AM62" i="13" s="1"/>
  <c r="AU61" i="13"/>
  <c r="AU62" i="13" s="1"/>
  <c r="H61" i="13"/>
  <c r="H62" i="13" s="1"/>
  <c r="P61" i="13"/>
  <c r="P62" i="13" s="1"/>
  <c r="X61" i="13"/>
  <c r="X62" i="13" s="1"/>
  <c r="AF61" i="13"/>
  <c r="AF62" i="13" s="1"/>
  <c r="AN61" i="13"/>
  <c r="AN62" i="13" s="1"/>
  <c r="AV61" i="13"/>
  <c r="AV62" i="13" s="1"/>
  <c r="I61" i="13"/>
  <c r="I62" i="13" s="1"/>
  <c r="Q61" i="13"/>
  <c r="Q62" i="13" s="1"/>
  <c r="Y61" i="13"/>
  <c r="Y62" i="13" s="1"/>
  <c r="AG61" i="13"/>
  <c r="AG62" i="13" s="1"/>
  <c r="AO61" i="13"/>
  <c r="AO62" i="13" s="1"/>
  <c r="E61" i="13"/>
  <c r="E62" i="13" s="1"/>
  <c r="J61" i="13"/>
  <c r="J62" i="13" s="1"/>
  <c r="R61" i="13"/>
  <c r="R62" i="13" s="1"/>
  <c r="Z61" i="13"/>
  <c r="Z62" i="13" s="1"/>
  <c r="AH61" i="13"/>
  <c r="AH62" i="13" s="1"/>
  <c r="AP61" i="13"/>
  <c r="AP62" i="13" s="1"/>
  <c r="S61" i="13"/>
  <c r="S62" i="13" s="1"/>
  <c r="AA61" i="13"/>
  <c r="AA62" i="13" s="1"/>
  <c r="AQ61" i="13"/>
  <c r="AQ62" i="13" s="1"/>
  <c r="L61" i="13"/>
  <c r="L62" i="13" s="1"/>
  <c r="T61" i="13"/>
  <c r="T62" i="13" s="1"/>
  <c r="AB61" i="13"/>
  <c r="AB62" i="13" s="1"/>
  <c r="AJ61" i="13"/>
  <c r="AJ62" i="13" s="1"/>
  <c r="AR61" i="13"/>
  <c r="AR62" i="13" s="1"/>
  <c r="M61" i="13"/>
  <c r="M62" i="13" s="1"/>
  <c r="U61" i="13"/>
  <c r="U62" i="13" s="1"/>
  <c r="AC61" i="13"/>
  <c r="AC62" i="13" s="1"/>
  <c r="AK61" i="13"/>
  <c r="AK62" i="13" s="1"/>
  <c r="AS61" i="13"/>
  <c r="AS62" i="13" s="1"/>
  <c r="Z22" i="13"/>
  <c r="Z23" i="13" s="1"/>
  <c r="O22" i="13"/>
  <c r="O23" i="13" s="1"/>
  <c r="AP22" i="13"/>
  <c r="AP23" i="13" s="1"/>
  <c r="X22" i="13"/>
  <c r="X23" i="13" s="1"/>
  <c r="AU22" i="13"/>
  <c r="AU23" i="13" s="1"/>
  <c r="P22" i="13"/>
  <c r="P23" i="13" s="1"/>
  <c r="AK22" i="13"/>
  <c r="AK23" i="13" s="1"/>
  <c r="AB22" i="13"/>
  <c r="AB23" i="13" s="1"/>
  <c r="AQ22" i="13"/>
  <c r="AQ23" i="13" s="1"/>
  <c r="AH22" i="13"/>
  <c r="AH23" i="13" s="1"/>
  <c r="AC22" i="13"/>
  <c r="AC23" i="13" s="1"/>
  <c r="K22" i="13"/>
  <c r="K23" i="13" s="1"/>
  <c r="AS22" i="13"/>
  <c r="AS23" i="13" s="1"/>
  <c r="V22" i="13"/>
  <c r="V23" i="13" s="1"/>
  <c r="AN22" i="13"/>
  <c r="AN23" i="13" s="1"/>
  <c r="U22" i="13"/>
  <c r="U23" i="13" s="1"/>
  <c r="F22" i="13"/>
  <c r="F23" i="13" s="1"/>
  <c r="AA22" i="13"/>
  <c r="AA23" i="13" s="1"/>
  <c r="N22" i="13"/>
  <c r="N23" i="13" s="1"/>
  <c r="AT22" i="13"/>
  <c r="AT23" i="13" s="1"/>
  <c r="AJ22" i="13"/>
  <c r="AJ23" i="13" s="1"/>
  <c r="S22" i="13"/>
  <c r="S23" i="13" s="1"/>
  <c r="I22" i="13"/>
  <c r="I23" i="13" s="1"/>
  <c r="R22" i="13"/>
  <c r="R23" i="13" s="1"/>
  <c r="AL22" i="13"/>
  <c r="AL23" i="13" s="1"/>
  <c r="Y22" i="13"/>
  <c r="Y23" i="13" s="1"/>
  <c r="AI22" i="13"/>
  <c r="AI23" i="13" s="1"/>
  <c r="H22" i="13"/>
  <c r="H23" i="13" s="1"/>
  <c r="L22" i="13"/>
  <c r="L23" i="13" s="1"/>
  <c r="E22" i="13"/>
  <c r="E23" i="13" s="1"/>
  <c r="AM22" i="13"/>
  <c r="AM23" i="13" s="1"/>
  <c r="AV22" i="13"/>
  <c r="AV23" i="13" s="1"/>
  <c r="AG22" i="13"/>
  <c r="AG23" i="13" s="1"/>
  <c r="AR22" i="13"/>
  <c r="AR23" i="13" s="1"/>
  <c r="W22" i="13"/>
  <c r="W23" i="13" s="1"/>
  <c r="M22" i="13"/>
  <c r="M23" i="13" s="1"/>
  <c r="AD22" i="13"/>
  <c r="AD23" i="13" s="1"/>
  <c r="G22" i="13"/>
  <c r="G23" i="13" s="1"/>
  <c r="AF22" i="13"/>
  <c r="AF23" i="13" s="1"/>
  <c r="AE22" i="13"/>
  <c r="AE23" i="13" s="1"/>
  <c r="AO22" i="13"/>
  <c r="AO23" i="13" s="1"/>
  <c r="T22" i="13"/>
  <c r="T23" i="13" s="1"/>
  <c r="Q22" i="13"/>
  <c r="Q23" i="13" s="1"/>
  <c r="J22" i="13"/>
  <c r="J23" i="13" s="1"/>
  <c r="Y35" i="13"/>
  <c r="Y36" i="13" s="1"/>
  <c r="AT35" i="13"/>
  <c r="AT36" i="13" s="1"/>
  <c r="AS35" i="13"/>
  <c r="AS36" i="13" s="1"/>
  <c r="W35" i="13"/>
  <c r="W36" i="13" s="1"/>
  <c r="AH35" i="13"/>
  <c r="AH36" i="13" s="1"/>
  <c r="M35" i="13"/>
  <c r="M36" i="13" s="1"/>
  <c r="AL35" i="13"/>
  <c r="AL36" i="13" s="1"/>
  <c r="AV35" i="13"/>
  <c r="AV36" i="13" s="1"/>
  <c r="T35" i="13"/>
  <c r="T36" i="13" s="1"/>
  <c r="AD35" i="13"/>
  <c r="AD36" i="13" s="1"/>
  <c r="E35" i="13"/>
  <c r="E36" i="13" s="1"/>
  <c r="L35" i="13"/>
  <c r="L36" i="13" s="1"/>
  <c r="J35" i="13"/>
  <c r="J36" i="13" s="1"/>
  <c r="S35" i="13"/>
  <c r="S36" i="13" s="1"/>
  <c r="V35" i="13"/>
  <c r="V36" i="13" s="1"/>
  <c r="P35" i="13"/>
  <c r="P36" i="13" s="1"/>
  <c r="AO35" i="13"/>
  <c r="AO36" i="13" s="1"/>
  <c r="AQ35" i="13"/>
  <c r="AQ36" i="13" s="1"/>
  <c r="Z35" i="13"/>
  <c r="Z36" i="13" s="1"/>
  <c r="AN35" i="13"/>
  <c r="AN36" i="13" s="1"/>
  <c r="AR35" i="13"/>
  <c r="AR36" i="13" s="1"/>
  <c r="AM35" i="13"/>
  <c r="AM36" i="13" s="1"/>
  <c r="G35" i="13"/>
  <c r="G36" i="13" s="1"/>
  <c r="AE35" i="13"/>
  <c r="AE36" i="13" s="1"/>
  <c r="O35" i="13"/>
  <c r="O36" i="13" s="1"/>
  <c r="AF35" i="13"/>
  <c r="AF36" i="13" s="1"/>
  <c r="AG35" i="13"/>
  <c r="AG36" i="13" s="1"/>
  <c r="R35" i="13"/>
  <c r="R36" i="13" s="1"/>
  <c r="AP35" i="13"/>
  <c r="AP36" i="13" s="1"/>
  <c r="K35" i="13"/>
  <c r="K36" i="13" s="1"/>
  <c r="N35" i="13"/>
  <c r="N36" i="13" s="1"/>
  <c r="AK35" i="13"/>
  <c r="AK36" i="13" s="1"/>
  <c r="Q35" i="13"/>
  <c r="Q36" i="13" s="1"/>
  <c r="AC35" i="13"/>
  <c r="AC36" i="13" s="1"/>
  <c r="AJ35" i="13"/>
  <c r="AJ36" i="13" s="1"/>
  <c r="I35" i="13"/>
  <c r="I36" i="13" s="1"/>
  <c r="AB35" i="13"/>
  <c r="AB36" i="13" s="1"/>
  <c r="F35" i="13"/>
  <c r="F36" i="13" s="1"/>
  <c r="X35" i="13"/>
  <c r="X36" i="13" s="1"/>
  <c r="AI35" i="13"/>
  <c r="AI36" i="13" s="1"/>
  <c r="U35" i="13"/>
  <c r="U36" i="13" s="1"/>
  <c r="AA35" i="13"/>
  <c r="AA36" i="13" s="1"/>
  <c r="H35" i="13"/>
  <c r="H36" i="13" s="1"/>
  <c r="AU35" i="13"/>
  <c r="AU36" i="13" s="1"/>
  <c r="BC19" i="10"/>
  <c r="AW14" i="10"/>
  <c r="V18" i="13"/>
  <c r="AI18" i="13"/>
  <c r="AD18" i="13"/>
  <c r="AM18" i="13"/>
  <c r="Y18" i="13"/>
  <c r="H18" i="13"/>
  <c r="D23" i="13"/>
  <c r="AB18" i="13"/>
  <c r="D36" i="13"/>
  <c r="G18" i="13"/>
  <c r="AU18" i="13"/>
  <c r="AG18" i="13"/>
  <c r="AN18" i="13"/>
  <c r="AJ18" i="13"/>
  <c r="T18" i="13"/>
  <c r="E18" i="13"/>
  <c r="O18" i="13"/>
  <c r="AO18" i="13"/>
  <c r="AR18" i="13"/>
  <c r="M18" i="13"/>
  <c r="W18" i="13"/>
  <c r="F18" i="13"/>
  <c r="J18" i="13"/>
  <c r="P18" i="13"/>
  <c r="AS18" i="13"/>
  <c r="AL18" i="13"/>
  <c r="U18" i="13"/>
  <c r="AE18" i="13"/>
  <c r="R18" i="13"/>
  <c r="AV18" i="13"/>
  <c r="X18" i="13"/>
  <c r="K18" i="13"/>
  <c r="AC18" i="13"/>
  <c r="AF18" i="13"/>
  <c r="Z18" i="13"/>
  <c r="AT18" i="13"/>
  <c r="S18" i="13"/>
  <c r="AK18" i="13"/>
  <c r="I18" i="13"/>
  <c r="N18" i="13"/>
  <c r="AH18" i="13"/>
  <c r="L18" i="13"/>
  <c r="AA18" i="13"/>
  <c r="Q18" i="13"/>
  <c r="AQ18" i="13"/>
  <c r="AP18" i="13"/>
  <c r="AZ14" i="10"/>
  <c r="G14" i="10"/>
  <c r="Q14" i="10"/>
  <c r="D50" i="13" l="1"/>
  <c r="D60" i="10"/>
  <c r="D61" i="10" s="1"/>
  <c r="D62" i="10" s="1"/>
  <c r="D46" i="10"/>
  <c r="D47" i="10" s="1"/>
  <c r="D48" i="10" s="1"/>
  <c r="D18" i="10"/>
  <c r="D19" i="10" s="1"/>
  <c r="D32" i="10"/>
  <c r="D33" i="10" s="1"/>
  <c r="D63" i="13"/>
  <c r="S19" i="10"/>
  <c r="AI33" i="10"/>
  <c r="AE33" i="10"/>
  <c r="N33" i="10"/>
  <c r="V14" i="10"/>
  <c r="AK33" i="10"/>
  <c r="O14" i="10"/>
  <c r="F33" i="10"/>
  <c r="M19" i="10"/>
  <c r="F19" i="10"/>
  <c r="AP14" i="10"/>
  <c r="AJ14" i="10"/>
  <c r="M14" i="10"/>
  <c r="AF33" i="10"/>
  <c r="AV33" i="10"/>
  <c r="BA33" i="10"/>
  <c r="BD14" i="10"/>
  <c r="BC14" i="10"/>
  <c r="AB19" i="10"/>
  <c r="AL33" i="10"/>
  <c r="T33" i="10"/>
  <c r="N19" i="10"/>
  <c r="AO33" i="10"/>
  <c r="AH14" i="10"/>
  <c r="AK19" i="10"/>
  <c r="N14" i="10"/>
  <c r="L14" i="10"/>
  <c r="AM33" i="10"/>
  <c r="AX14" i="10"/>
  <c r="AY19" i="10"/>
  <c r="AS14" i="10"/>
  <c r="AF14" i="10"/>
  <c r="H14" i="10"/>
  <c r="T14" i="10"/>
  <c r="AD33" i="10"/>
  <c r="I33" i="10"/>
  <c r="BC33" i="10"/>
  <c r="BD33" i="10"/>
  <c r="AU33" i="10"/>
  <c r="W33" i="10"/>
  <c r="Q33" i="10"/>
  <c r="AC33" i="10"/>
  <c r="AI19" i="10"/>
  <c r="AK14" i="10"/>
  <c r="Z14" i="10"/>
  <c r="AR14" i="10"/>
  <c r="AG33" i="10"/>
  <c r="P33" i="10"/>
  <c r="BB33" i="10"/>
  <c r="AP33" i="10"/>
  <c r="AT14" i="10"/>
  <c r="X33" i="10"/>
  <c r="H19" i="10"/>
  <c r="Z33" i="10"/>
  <c r="U33" i="10"/>
  <c r="AB14" i="10"/>
  <c r="X14" i="10"/>
  <c r="BB14" i="10"/>
  <c r="AH33" i="10"/>
  <c r="AX33" i="10"/>
  <c r="AS19" i="10"/>
  <c r="AQ33" i="10"/>
  <c r="AT19" i="10"/>
  <c r="AQ19" i="10"/>
  <c r="AL19" i="10"/>
  <c r="AA19" i="10"/>
  <c r="AT33" i="10"/>
  <c r="R33" i="10"/>
  <c r="AY33" i="10"/>
  <c r="S14" i="10"/>
  <c r="AN14" i="10"/>
  <c r="BE33" i="10"/>
  <c r="AY14" i="10"/>
  <c r="Y14" i="10"/>
  <c r="AD14" i="10"/>
  <c r="L33" i="10"/>
  <c r="K14" i="10"/>
  <c r="O33" i="10"/>
  <c r="AC14" i="10"/>
  <c r="K19" i="10"/>
  <c r="AR33" i="10"/>
  <c r="AD19" i="10"/>
  <c r="I14" i="10"/>
  <c r="V33" i="10"/>
  <c r="Q19" i="10"/>
  <c r="U19" i="10"/>
  <c r="S33" i="10"/>
  <c r="AN33" i="10"/>
  <c r="AW33" i="10"/>
  <c r="AB33" i="10"/>
  <c r="AA14" i="10"/>
  <c r="AG14" i="10"/>
  <c r="F14" i="10"/>
  <c r="E14" i="10"/>
  <c r="AL14" i="10"/>
  <c r="U14" i="10"/>
  <c r="AM14" i="10"/>
  <c r="R19" i="10"/>
  <c r="AS33" i="10"/>
  <c r="AR19" i="10"/>
  <c r="AW19" i="10"/>
  <c r="J19" i="10"/>
  <c r="J14" i="10"/>
  <c r="AU14" i="10"/>
  <c r="G33" i="10"/>
  <c r="BA14" i="10"/>
  <c r="AA33" i="10"/>
  <c r="R14" i="10"/>
  <c r="AX19" i="10"/>
  <c r="W14" i="10"/>
  <c r="AZ19" i="10"/>
  <c r="P19" i="10"/>
  <c r="I19" i="10"/>
  <c r="AN19" i="10"/>
  <c r="AI14" i="10"/>
  <c r="Y33" i="10"/>
  <c r="AV19" i="10"/>
  <c r="AE19" i="10"/>
  <c r="AG19" i="10"/>
  <c r="M33" i="10"/>
  <c r="AO14" i="10"/>
  <c r="X19" i="10"/>
  <c r="E33" i="10"/>
  <c r="AJ33" i="10"/>
  <c r="BE14" i="10"/>
  <c r="AE14" i="10"/>
  <c r="AZ33" i="10"/>
  <c r="AV14" i="10"/>
  <c r="J33" i="10"/>
  <c r="W19" i="10"/>
  <c r="H33" i="10"/>
  <c r="Y19" i="10"/>
  <c r="K33" i="10"/>
  <c r="V19" i="10"/>
  <c r="T19" i="10"/>
  <c r="AM19" i="10"/>
  <c r="AJ19" i="10"/>
  <c r="AO19" i="10"/>
  <c r="Z19" i="10"/>
  <c r="O19" i="10"/>
  <c r="AU19" i="10"/>
  <c r="L19" i="10"/>
  <c r="AP19" i="10"/>
  <c r="AH19" i="10"/>
  <c r="AF19" i="10"/>
  <c r="AC19" i="10"/>
  <c r="BD19" i="10"/>
  <c r="P14" i="10"/>
  <c r="BE19" i="10"/>
  <c r="G19" i="10"/>
  <c r="AQ14" i="10"/>
  <c r="BA19" i="10"/>
  <c r="BB19" i="10"/>
  <c r="E19" i="10"/>
  <c r="D37" i="13"/>
  <c r="D24" i="13"/>
  <c r="D19" i="13"/>
  <c r="D66" i="13" l="1"/>
  <c r="BB6" i="13" s="1"/>
  <c r="D53" i="13"/>
  <c r="BB5" i="13" s="1"/>
  <c r="D40" i="13"/>
  <c r="BB4" i="13" s="1"/>
  <c r="D27" i="13"/>
  <c r="D20" i="10"/>
  <c r="D34" i="10"/>
  <c r="D15" i="10"/>
  <c r="D79" i="10" s="1"/>
  <c r="N17" i="1" l="1"/>
  <c r="N19" i="1"/>
  <c r="N18" i="1"/>
  <c r="N21" i="1"/>
  <c r="N20" i="1"/>
  <c r="N25" i="1"/>
  <c r="N24" i="1"/>
  <c r="N23" i="1"/>
  <c r="N22" i="1"/>
  <c r="N26" i="1"/>
  <c r="B9" i="19"/>
  <c r="BB3" i="13"/>
  <c r="D5" i="19"/>
  <c r="D3" i="19"/>
  <c r="D2" i="19"/>
  <c r="D4" i="19"/>
  <c r="D6" i="19"/>
  <c r="N30" i="1"/>
  <c r="N29" i="1"/>
  <c r="N28" i="1"/>
  <c r="N27" i="1"/>
  <c r="N31" i="1"/>
  <c r="N11" i="1"/>
  <c r="N8" i="1"/>
  <c r="N9" i="1"/>
  <c r="N13" i="1"/>
  <c r="N10" i="1"/>
  <c r="N12" i="1"/>
  <c r="N6" i="1"/>
  <c r="N7" i="1"/>
  <c r="N5" i="1"/>
  <c r="D51" i="10"/>
  <c r="D65" i="10"/>
  <c r="D37" i="10"/>
  <c r="D23" i="10"/>
  <c r="N4" i="1" l="1"/>
  <c r="N14" i="1"/>
  <c r="N16" i="1"/>
  <c r="N15" i="1"/>
  <c r="O20" i="1"/>
  <c r="P20" i="1" s="1"/>
  <c r="O14" i="1"/>
  <c r="O17" i="1"/>
  <c r="P17" i="1" s="1"/>
  <c r="O16" i="1"/>
  <c r="O19" i="1"/>
  <c r="P19" i="1" s="1"/>
  <c r="O22" i="1"/>
  <c r="P22" i="1" s="1"/>
  <c r="O18" i="1"/>
  <c r="P18" i="1" s="1"/>
  <c r="O21" i="1"/>
  <c r="P21" i="1" s="1"/>
  <c r="O15" i="1"/>
  <c r="O25" i="1"/>
  <c r="P25" i="1" s="1"/>
  <c r="O24" i="1"/>
  <c r="P24" i="1" s="1"/>
  <c r="O23" i="1"/>
  <c r="P23" i="1" s="1"/>
  <c r="O26" i="1"/>
  <c r="P26" i="1" s="1"/>
  <c r="B8" i="19"/>
  <c r="B6" i="19"/>
  <c r="B5" i="19"/>
  <c r="B7" i="19"/>
  <c r="N2" i="1"/>
  <c r="N3" i="1"/>
  <c r="D7" i="19"/>
  <c r="K11" i="1"/>
  <c r="M11" i="1" s="1"/>
  <c r="K31" i="1"/>
  <c r="M31" i="1" s="1"/>
  <c r="K5" i="1"/>
  <c r="M5" i="1" s="1"/>
  <c r="K7" i="1"/>
  <c r="M7" i="1" s="1"/>
  <c r="K3" i="1"/>
  <c r="M3" i="1" s="1"/>
  <c r="K4" i="1"/>
  <c r="M4" i="1" s="1"/>
  <c r="K12" i="1"/>
  <c r="M12" i="1" s="1"/>
  <c r="K29" i="1"/>
  <c r="M29" i="1" s="1"/>
  <c r="K13" i="1"/>
  <c r="M13" i="1" s="1"/>
  <c r="K27" i="1"/>
  <c r="M27" i="1" s="1"/>
  <c r="K30" i="1"/>
  <c r="M30" i="1" s="1"/>
  <c r="K6" i="1"/>
  <c r="M6" i="1" s="1"/>
  <c r="K28" i="1"/>
  <c r="M28" i="1" s="1"/>
  <c r="B3" i="19"/>
  <c r="B2" i="19"/>
  <c r="B4" i="19"/>
  <c r="O8" i="1"/>
  <c r="O9" i="1"/>
  <c r="O10" i="1"/>
  <c r="K2" i="1"/>
  <c r="M2" i="1" s="1"/>
  <c r="O29" i="1"/>
  <c r="O27" i="1"/>
  <c r="O28" i="1"/>
  <c r="O30" i="1"/>
  <c r="O31" i="1"/>
  <c r="O11" i="1"/>
  <c r="O7" i="1"/>
  <c r="O2" i="1"/>
  <c r="O5" i="1"/>
  <c r="O4" i="1"/>
  <c r="O12" i="1"/>
  <c r="O6" i="1"/>
  <c r="O13" i="1"/>
  <c r="O3" i="1"/>
  <c r="C7" i="19" l="1"/>
  <c r="P6" i="1"/>
  <c r="P13" i="1"/>
  <c r="P16" i="1"/>
  <c r="P15" i="1"/>
  <c r="P14" i="1"/>
  <c r="P28" i="1"/>
  <c r="P5" i="1"/>
  <c r="P4" i="1"/>
  <c r="P29" i="1"/>
  <c r="P7" i="1"/>
  <c r="C8" i="19"/>
  <c r="C9" i="19"/>
  <c r="C6" i="19"/>
  <c r="C5" i="19"/>
  <c r="C4" i="19"/>
  <c r="P2" i="1"/>
  <c r="P12" i="1"/>
  <c r="P31" i="1"/>
  <c r="P30" i="1"/>
  <c r="P27" i="1"/>
  <c r="P3" i="1"/>
  <c r="P11" i="1"/>
  <c r="K8" i="1" l="1"/>
  <c r="M8" i="1" s="1"/>
  <c r="P8" i="1" s="1"/>
  <c r="K10" i="1"/>
  <c r="M10" i="1" s="1"/>
  <c r="P10" i="1" s="1"/>
  <c r="K9" i="1"/>
  <c r="M9" i="1" s="1"/>
  <c r="P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tc={354AA874-D1AE-426F-9699-CBA3B513A9F1}</author>
  </authors>
  <commentList>
    <comment ref="W28" authorId="0" shapeId="0" xr:uid="{354AA874-D1AE-426F-9699-CBA3B513A9F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included or zero? Ideally zero!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tc={5D857C4C-14A9-4C67-AA78-C3C778FDEC98}</author>
  </authors>
  <commentList>
    <comment ref="W29" authorId="0" shapeId="0" xr:uid="{5D857C4C-14A9-4C67-AA78-C3C778FDEC9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included or zero? Ideally zero!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tc={0A4E647F-6713-44C1-BA56-59DC9D1C1D29}</author>
  </authors>
  <commentList>
    <comment ref="W29" authorId="0" shapeId="0" xr:uid="{0A4E647F-6713-44C1-BA56-59DC9D1C1D2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included or zero? Ideally zero!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tc={16F9FF05-F8A9-46C7-AEE8-93443328049E}</author>
  </authors>
  <commentList>
    <comment ref="B27" authorId="0" shapeId="0" xr:uid="{16F9FF05-F8A9-46C7-AEE8-93443328049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equity to real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<sst xmlns="http://schemas.openxmlformats.org/spreadsheetml/2006/main" count="1179" uniqueCount="327">
  <si>
    <t>Production</t>
  </si>
  <si>
    <t>Shipping</t>
  </si>
  <si>
    <t>Delivery</t>
  </si>
  <si>
    <t>Storage</t>
  </si>
  <si>
    <t>Firing</t>
  </si>
  <si>
    <t>CCGT Cost</t>
  </si>
  <si>
    <t>%</t>
  </si>
  <si>
    <t>Unit</t>
  </si>
  <si>
    <t>Value</t>
  </si>
  <si>
    <r>
      <t>EUR/kW</t>
    </r>
    <r>
      <rPr>
        <vertAlign val="subscript"/>
        <sz val="10"/>
        <color theme="1"/>
        <rFont val="Arial"/>
        <family val="2"/>
      </rPr>
      <t>p</t>
    </r>
  </si>
  <si>
    <t>Plant size</t>
  </si>
  <si>
    <r>
      <t>kW</t>
    </r>
    <r>
      <rPr>
        <vertAlign val="subscript"/>
        <sz val="10"/>
        <color theme="1"/>
        <rFont val="Arial"/>
        <family val="2"/>
      </rPr>
      <t>p</t>
    </r>
  </si>
  <si>
    <t>Year</t>
  </si>
  <si>
    <t>Energy</t>
  </si>
  <si>
    <t>Discounted energy</t>
  </si>
  <si>
    <t>Total Discounted Energy</t>
  </si>
  <si>
    <t>kWh</t>
  </si>
  <si>
    <t>Cash flows</t>
  </si>
  <si>
    <t>Discounted cash flows</t>
  </si>
  <si>
    <t>Total Dscounted Cost</t>
  </si>
  <si>
    <t>Euro</t>
  </si>
  <si>
    <t>LCOE</t>
  </si>
  <si>
    <t>Euro/MWh</t>
  </si>
  <si>
    <t>H2-CCGT</t>
  </si>
  <si>
    <t>FLH</t>
  </si>
  <si>
    <t>h</t>
  </si>
  <si>
    <r>
      <t>MW</t>
    </r>
    <r>
      <rPr>
        <vertAlign val="subscript"/>
        <sz val="10"/>
        <color theme="1"/>
        <rFont val="Arial"/>
        <family val="2"/>
      </rPr>
      <t>p</t>
    </r>
  </si>
  <si>
    <t>FOM</t>
  </si>
  <si>
    <t>Retrofitting</t>
  </si>
  <si>
    <t>lifetime</t>
  </si>
  <si>
    <t>years</t>
  </si>
  <si>
    <t>LH2-Storage</t>
  </si>
  <si>
    <t>efficiency</t>
  </si>
  <si>
    <t>Reserve capacity</t>
  </si>
  <si>
    <t>Eur/MWh</t>
  </si>
  <si>
    <t>MWh_el</t>
  </si>
  <si>
    <t>MWh_fuel</t>
  </si>
  <si>
    <t>LCOS</t>
  </si>
  <si>
    <t>H2-Storage tank</t>
  </si>
  <si>
    <t>H2-Storage salt cavern</t>
  </si>
  <si>
    <t>NH3-CCGT</t>
  </si>
  <si>
    <t>Synthesis</t>
  </si>
  <si>
    <t>NH3-Storage</t>
  </si>
  <si>
    <t>Route</t>
  </si>
  <si>
    <t>Cracking</t>
  </si>
  <si>
    <t>Biomethane</t>
  </si>
  <si>
    <t>CH4-Storage</t>
  </si>
  <si>
    <t>Carbon</t>
  </si>
  <si>
    <t>Fuel cost</t>
  </si>
  <si>
    <t>Electricity Cost</t>
  </si>
  <si>
    <t>year</t>
  </si>
  <si>
    <t>depreciation</t>
  </si>
  <si>
    <t>7 year</t>
  </si>
  <si>
    <t>Share of debt</t>
  </si>
  <si>
    <t>interest on debt</t>
  </si>
  <si>
    <t>WACC Nominal</t>
  </si>
  <si>
    <t>WACC Real</t>
  </si>
  <si>
    <t>Inflation</t>
  </si>
  <si>
    <t>VOM</t>
  </si>
  <si>
    <t>USD_to_Eur</t>
  </si>
  <si>
    <t>v-7y</t>
  </si>
  <si>
    <t>v-15y</t>
  </si>
  <si>
    <t>PV Depreciation-15y</t>
  </si>
  <si>
    <t>CRF_CCGT</t>
  </si>
  <si>
    <t>CRF_Storage</t>
  </si>
  <si>
    <t>CCGT lifetime</t>
  </si>
  <si>
    <t>Storage lifetime</t>
  </si>
  <si>
    <t>PVD</t>
  </si>
  <si>
    <t>PFF</t>
  </si>
  <si>
    <t>C</t>
  </si>
  <si>
    <t>Capital</t>
  </si>
  <si>
    <t>Equity</t>
  </si>
  <si>
    <t>Equity Cost</t>
  </si>
  <si>
    <t>Interest</t>
  </si>
  <si>
    <t>IDC</t>
  </si>
  <si>
    <t>REDC</t>
  </si>
  <si>
    <t>Leaverage</t>
  </si>
  <si>
    <t>CFF</t>
  </si>
  <si>
    <t>CH4-CCGT</t>
  </si>
  <si>
    <t>Description</t>
  </si>
  <si>
    <t>CAPEX</t>
  </si>
  <si>
    <t>Variable</t>
  </si>
  <si>
    <t>Weighted Average Cost of Capital - Real</t>
  </si>
  <si>
    <t>Weighted Average Cost of Capital - Nominal</t>
  </si>
  <si>
    <t>Calculated</t>
  </si>
  <si>
    <t>V(Equity)</t>
  </si>
  <si>
    <t>Share of equity</t>
  </si>
  <si>
    <t>Re</t>
  </si>
  <si>
    <t>Return on Equity</t>
  </si>
  <si>
    <t>V(Debt)</t>
  </si>
  <si>
    <t>Rd</t>
  </si>
  <si>
    <t>TR</t>
  </si>
  <si>
    <t>i</t>
  </si>
  <si>
    <t>Average 2024 - investing.com</t>
  </si>
  <si>
    <t>Average exchange rate</t>
  </si>
  <si>
    <t>Capital Recovery Factor</t>
  </si>
  <si>
    <t>Lifetime of CCGT</t>
  </si>
  <si>
    <t>Lifetime of on-site storage</t>
  </si>
  <si>
    <t>Project Finance Factor</t>
  </si>
  <si>
    <t>Construction years</t>
  </si>
  <si>
    <t>Interest during construction</t>
  </si>
  <si>
    <t>Return on Equity during construction</t>
  </si>
  <si>
    <t>Construction Finance Factor</t>
  </si>
  <si>
    <t>FCR_CCGT</t>
  </si>
  <si>
    <t>Fixed Charge Rate - CCGT</t>
  </si>
  <si>
    <t>Fixed Charge Rate - Storage</t>
  </si>
  <si>
    <t>FCR_Storage</t>
  </si>
  <si>
    <t>Overnight capital cost [Eur/kW]</t>
  </si>
  <si>
    <t>Fixed Operation &amp; Maintenance Cost [Eur/kW/a]</t>
  </si>
  <si>
    <t>DE-Inflation</t>
  </si>
  <si>
    <t>US-Inflation</t>
  </si>
  <si>
    <t>Present Value of Depreciation - MARCS15</t>
  </si>
  <si>
    <t>Links</t>
  </si>
  <si>
    <t>https://trinomics.eu/wp-content/uploads/2020/11/Final-Report-Cost-of-Energy-LCOE.pdf</t>
  </si>
  <si>
    <t>https://doi.org/10.1038/s41560-020-0661-2</t>
  </si>
  <si>
    <t>https://www.ise.fraunhofer.de/content/dam/ise/en/documents/publications/studies/EN2024_ISE_Study_Levelized_Cost_of_Electricity_Renewable_Energy_Technologies.pdf</t>
  </si>
  <si>
    <t>Variable Operation &amp; Maintenance Cost [Eur/MWh]</t>
  </si>
  <si>
    <t>https://www.lazard.com/media/xemfey0k/lazards-lcoeplus-june-2024-_vf.pdf</t>
  </si>
  <si>
    <t>[1],[3-4]</t>
  </si>
  <si>
    <t>[3-4]</t>
  </si>
  <si>
    <t>[5]</t>
  </si>
  <si>
    <t>https://doi.org/10.1016/j.joule.2019.07.005</t>
  </si>
  <si>
    <t>[6]</t>
  </si>
  <si>
    <t>https://doi.org/10.1016/j.joule.2023.06.016</t>
  </si>
  <si>
    <t>PV Depreciation-7y</t>
  </si>
  <si>
    <t>Tax rate</t>
  </si>
  <si>
    <t>Factor</t>
  </si>
  <si>
    <t>Info/Value</t>
  </si>
  <si>
    <t>Lifetime (t)</t>
  </si>
  <si>
    <t>Construction (C)</t>
  </si>
  <si>
    <r>
      <t>〖</t>
    </r>
    <r>
      <rPr>
        <sz val="8"/>
        <rFont val="Cambria Math"/>
        <family val="1"/>
      </rPr>
      <t>FC</t>
    </r>
    <r>
      <rPr>
        <sz val="8"/>
        <rFont val="Arial"/>
        <family val="2"/>
      </rPr>
      <t>〗_</t>
    </r>
    <r>
      <rPr>
        <sz val="8"/>
        <rFont val="Cambria Math"/>
        <family val="1"/>
      </rPr>
      <t xml:space="preserve">y  </t>
    </r>
  </si>
  <si>
    <t>Inflation (i)</t>
  </si>
  <si>
    <t>Year (y)</t>
  </si>
  <si>
    <t>n.a.</t>
  </si>
  <si>
    <t>r_E</t>
  </si>
  <si>
    <t>Return on equity</t>
  </si>
  <si>
    <t>r_D</t>
  </si>
  <si>
    <t>Interest on debt</t>
  </si>
  <si>
    <t>r_EDC</t>
  </si>
  <si>
    <t>Return on equity during construction</t>
  </si>
  <si>
    <t>Corporate tax</t>
  </si>
  <si>
    <t>CRF</t>
  </si>
  <si>
    <t>Present value of depreciation</t>
  </si>
  <si>
    <t>DF</t>
  </si>
  <si>
    <t>Depreciation Fraction</t>
  </si>
  <si>
    <t>Capital Cost</t>
  </si>
  <si>
    <t>Fixed Operation and Maintenance cost</t>
  </si>
  <si>
    <t>Variable Operation and Maintenance Cost</t>
  </si>
  <si>
    <t>Useful lifetime</t>
  </si>
  <si>
    <t>Construction Period</t>
  </si>
  <si>
    <t>Inflation rate</t>
  </si>
  <si>
    <t>Fraction of capital at construction year y
(Assumed 80% in year 0, 10% in year 1 and 2)</t>
  </si>
  <si>
    <t>NG-CCGT</t>
  </si>
  <si>
    <t>Full load hours</t>
  </si>
  <si>
    <t>Assumption</t>
  </si>
  <si>
    <t>EU ETS [Eur/tCO2]</t>
  </si>
  <si>
    <t>CO2 Intensity</t>
  </si>
  <si>
    <t>tCO2/MWh_th</t>
  </si>
  <si>
    <t>Hydrogen Production Cost</t>
  </si>
  <si>
    <t>https://doi.org/10.1016/j.crsus.2025.100338</t>
  </si>
  <si>
    <t>[7]</t>
  </si>
  <si>
    <t>[2,3]</t>
  </si>
  <si>
    <t>https://www.iea.org/reports/projected-costs-of-generating-electricity-2020</t>
  </si>
  <si>
    <t>[3,8]</t>
  </si>
  <si>
    <t>[1,8]</t>
  </si>
  <si>
    <t>https://www.irena.org/-/media/Files/IRENA/Agency/Publication/2024/Sep/IRENA_Renewable_power_generation_costs_in_2023.pdf</t>
  </si>
  <si>
    <t>[1],[3],[9]</t>
  </si>
  <si>
    <t>[1],[3-4],[9]</t>
  </si>
  <si>
    <t>https://ens.dk/en/analyses-and-statistics/technology-data-generation-electricity-and-district-heating</t>
  </si>
  <si>
    <t>IDC_real</t>
  </si>
  <si>
    <t>WACC</t>
  </si>
  <si>
    <t>days</t>
  </si>
  <si>
    <t>MWh</t>
  </si>
  <si>
    <t>Tech</t>
  </si>
  <si>
    <t>H2-Storage Tank</t>
  </si>
  <si>
    <t>Marginal Cost</t>
  </si>
  <si>
    <t>Source</t>
  </si>
  <si>
    <t>Overnight capital cost [Eur/MWh]</t>
  </si>
  <si>
    <t>Sources</t>
  </si>
  <si>
    <t>https://doi.org/10.1016/j.ijhydene.2023.05.012</t>
  </si>
  <si>
    <t>[1]</t>
  </si>
  <si>
    <t>Efficiency</t>
  </si>
  <si>
    <t>CCGT Efficiency</t>
  </si>
  <si>
    <t>[11]</t>
  </si>
  <si>
    <t>https://www.ise.fraunhofer.de/en/publications/studies/paths-to-a-climate-neutral-energy-system.html</t>
  </si>
  <si>
    <t>Eur/kW</t>
  </si>
  <si>
    <t>https://doi.org/10.1016/j.apenergy.2021.117481</t>
  </si>
  <si>
    <t>on-site storage capability</t>
  </si>
  <si>
    <t>H2 Production cost</t>
  </si>
  <si>
    <t>H2 Shipping</t>
  </si>
  <si>
    <t>H2 Pipelines</t>
  </si>
  <si>
    <t>H2 Storage tank</t>
  </si>
  <si>
    <t>H2 Salt cavern</t>
  </si>
  <si>
    <t>NH3 Synthesis</t>
  </si>
  <si>
    <t>NH3 Shipping</t>
  </si>
  <si>
    <t>H2 Truck</t>
  </si>
  <si>
    <t>NH3 Truck</t>
  </si>
  <si>
    <t>NH3 Pipelines</t>
  </si>
  <si>
    <t>NH3 Rail</t>
  </si>
  <si>
    <t>NH3 Storage tank</t>
  </si>
  <si>
    <t>Biomethane Production cost</t>
  </si>
  <si>
    <t>Biomethane Storage</t>
  </si>
  <si>
    <t>Biomethane Pipelines</t>
  </si>
  <si>
    <t>H2 Rail</t>
  </si>
  <si>
    <t>https://doi.org/10.1016/j.jclepro.2019.118466</t>
  </si>
  <si>
    <t>[4]</t>
  </si>
  <si>
    <t>https://doi.org/10.1016/j.apenergy.2020.116170</t>
  </si>
  <si>
    <t>https://doi.org/10.1016/j.apenergy.2023.121369</t>
  </si>
  <si>
    <t>https://doi.org/10.1016/j.ijhydene.2024.09.099</t>
  </si>
  <si>
    <t>Eur/MWh_H2</t>
  </si>
  <si>
    <t>Delivery type</t>
  </si>
  <si>
    <t>Rail</t>
  </si>
  <si>
    <t>Truck</t>
  </si>
  <si>
    <t>Pipeline</t>
  </si>
  <si>
    <t>[8]</t>
  </si>
  <si>
    <t xml:space="preserve">Reported in $, coverted using USD/EUR </t>
  </si>
  <si>
    <t>Note</t>
  </si>
  <si>
    <t>Long distance shipping</t>
  </si>
  <si>
    <t>For 500 km</t>
  </si>
  <si>
    <t>https://doi.org/10.1016/j.esr.2024.101322</t>
  </si>
  <si>
    <t>[9]</t>
  </si>
  <si>
    <t>[10]</t>
  </si>
  <si>
    <t>https://doi.org/10.1016/j.isci.2021.103495</t>
  </si>
  <si>
    <t>https://ris.utwente.nl/ws/portalfiles/portal/276441421/3_s2.0_B9780128205600000084_main.pdf</t>
  </si>
  <si>
    <t>Reported in $, coverted using USD/EUR, for 500 km</t>
  </si>
  <si>
    <t>[12]</t>
  </si>
  <si>
    <t>https://doi.org/10.1016/j.ijhydene.2022.08.131</t>
  </si>
  <si>
    <t>https://doi.org/10.1016/j.xcrp.2024.102171</t>
  </si>
  <si>
    <t>H2 Liquefaction</t>
  </si>
  <si>
    <t>Ammonia</t>
  </si>
  <si>
    <t>Natural Gas with carbon</t>
  </si>
  <si>
    <t>Hydrogen Tank</t>
  </si>
  <si>
    <t>Hydrogen Cavern</t>
  </si>
  <si>
    <t>Hydrogen Ammonia</t>
  </si>
  <si>
    <t>[1,13]</t>
  </si>
  <si>
    <t>https://doi.org/10.1038/s41467-024-51251-7</t>
  </si>
  <si>
    <t>MACRS 15-y</t>
  </si>
  <si>
    <t>[14]</t>
  </si>
  <si>
    <t>SCR Catalyst 90%</t>
  </si>
  <si>
    <t>H2-CCGT Retrofit</t>
  </si>
  <si>
    <t xml:space="preserve">Cost increase due to retrofitting </t>
  </si>
  <si>
    <t>https://doi.org/10.1016/j.ijhydene.2024.06.164</t>
  </si>
  <si>
    <t>NH3-CCGT Retrofit</t>
  </si>
  <si>
    <t>https://doi.org/10.1016/j.enpol.2020.111924</t>
  </si>
  <si>
    <t>SCR Catalyst Low 1</t>
  </si>
  <si>
    <t>SCR Catalyst Low 2</t>
  </si>
  <si>
    <t>Increase in cost due to Burner modeification</t>
  </si>
  <si>
    <t>SCR Normal</t>
  </si>
  <si>
    <t>SCR Catalyst Low</t>
  </si>
  <si>
    <t>Retrofitting increase</t>
  </si>
  <si>
    <t>Increase in cost due to SCR catalyst</t>
  </si>
  <si>
    <t>SCR High</t>
  </si>
  <si>
    <t>Retrofit increase + Normal SCR</t>
  </si>
  <si>
    <t>Retrofit increase + Advanced SCR</t>
  </si>
  <si>
    <t>Mechanical Retrofit</t>
  </si>
  <si>
    <t>Fuel System Retrofit</t>
  </si>
  <si>
    <t>Increase in cost due to Fuel supply modeification</t>
  </si>
  <si>
    <t>Basic increase in cost due to modeification</t>
  </si>
  <si>
    <t>[13]</t>
  </si>
  <si>
    <t xml:space="preserve">Advanced SCR + twice the retrofitting increase </t>
  </si>
  <si>
    <t>H2 Regasification</t>
  </si>
  <si>
    <t>[15]</t>
  </si>
  <si>
    <t>Regasification</t>
  </si>
  <si>
    <t>https://doi.org/10.1016/j.ijhydene.2023.10.107</t>
  </si>
  <si>
    <t>Natural Gas</t>
  </si>
  <si>
    <t>Hydrogen Cracking</t>
  </si>
  <si>
    <t>Hydrogen (tank)</t>
  </si>
  <si>
    <t>Hydrogen (cavern)</t>
  </si>
  <si>
    <t>CPI USD</t>
  </si>
  <si>
    <t>CPI EU</t>
  </si>
  <si>
    <t>Inflation values</t>
  </si>
  <si>
    <t>https://data.worldbank.org/indicator/FP.CPI.TOTL.ZG</t>
  </si>
  <si>
    <t>See Inflation_Adjustment slide</t>
  </si>
  <si>
    <t>Reference/Note</t>
  </si>
  <si>
    <t>Biomethane Mid</t>
  </si>
  <si>
    <t>Synthesis type</t>
  </si>
  <si>
    <t>Liquefaction</t>
  </si>
  <si>
    <t>Haber-Bosch</t>
  </si>
  <si>
    <t>Natural gas</t>
  </si>
  <si>
    <t>Ternary Combustion</t>
  </si>
  <si>
    <t>CCGT Investment Cost</t>
  </si>
  <si>
    <t>Binary Combustion</t>
  </si>
  <si>
    <t>Capacity</t>
  </si>
  <si>
    <t>Nominal capacity in MW</t>
  </si>
  <si>
    <t>Thermal efficiency</t>
  </si>
  <si>
    <t>Retrofit H2</t>
  </si>
  <si>
    <t>Retrofit NH3</t>
  </si>
  <si>
    <t>Investment</t>
  </si>
  <si>
    <t>Eur</t>
  </si>
  <si>
    <t>Retrofit for H2-tank</t>
  </si>
  <si>
    <t>Retrofit for H2-cavern</t>
  </si>
  <si>
    <t>Retrofit for NH3</t>
  </si>
  <si>
    <t>Retrofit for CH4</t>
  </si>
  <si>
    <t>Retrofit CH4</t>
  </si>
  <si>
    <t>Ternary-CCGT</t>
  </si>
  <si>
    <t>Retrofit Ternary with NH3</t>
  </si>
  <si>
    <t>Retrofit Ternary without NH3</t>
  </si>
  <si>
    <t>Retrofit Investment</t>
  </si>
  <si>
    <t>Salt cavern</t>
  </si>
  <si>
    <t>Retrofit capacity</t>
  </si>
  <si>
    <t>NDP</t>
  </si>
  <si>
    <t>Ternary-CCGT Retrofit-NH3</t>
  </si>
  <si>
    <t>Ternary-CCGT Retrofit -NH3c</t>
  </si>
  <si>
    <t>Ternary-Retrofit</t>
  </si>
  <si>
    <t>H2-Local Production Cost</t>
  </si>
  <si>
    <t>Local LH2</t>
  </si>
  <si>
    <t>Local NH3-Cracking</t>
  </si>
  <si>
    <t>Local NH3</t>
  </si>
  <si>
    <t>Global LH2</t>
  </si>
  <si>
    <t>Global NH3-Cracking</t>
  </si>
  <si>
    <t>Global NH3</t>
  </si>
  <si>
    <t>Retrofit for NH3c</t>
  </si>
  <si>
    <t>Natural gas firing</t>
  </si>
  <si>
    <t>Retrofit H2 cavern-NH3</t>
  </si>
  <si>
    <t>Retrofit H2 cavern-CH4</t>
  </si>
  <si>
    <t>Retrofit H2 cavern-NH3c</t>
  </si>
  <si>
    <t>Retrofit H2 tank-NH3</t>
  </si>
  <si>
    <t>Retrofit H2 tank-CH4</t>
  </si>
  <si>
    <t>Retrofit H2 tank-NH3c</t>
  </si>
  <si>
    <t>Retrofit CH4-NH3</t>
  </si>
  <si>
    <t>Retrofit CH4-NH3c</t>
  </si>
  <si>
    <t>Retrofit H2 tank-NH3-CH4</t>
  </si>
  <si>
    <t>Retrofit H2 tank-NH3c-CH4</t>
  </si>
  <si>
    <t>Retrofit NH3-NH3c-CH4</t>
  </si>
  <si>
    <t>Retrofit H2 cavern-NH3-CH4</t>
  </si>
  <si>
    <t>Retrofit H2 cavern-NH3c-CH4</t>
  </si>
  <si>
    <r>
      <rPr>
        <b/>
        <sz val="11"/>
        <color theme="1"/>
        <rFont val="Aptos Narrow"/>
        <family val="2"/>
        <scheme val="minor"/>
      </rPr>
      <t>Exploring the feasibility of low-carbon fuel blends in CCGTs for deep decarbonization of power systems</t>
    </r>
    <r>
      <rPr>
        <sz val="11"/>
        <color theme="1"/>
        <rFont val="Aptos Narrow"/>
        <family val="2"/>
        <scheme val="minor"/>
      </rPr>
      <t xml:space="preserve">
Anas Abuzayed, Michael Pollitt, Mario Liebensteiner, Simone Hochgreb
This spreadsheet contains the techno-economic model for low-carbon fuels retrofitting in CCGT for different co-firing 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</si>
</sst>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#,##0.0000"/>
    <numFmt numFmtId="166" formatCode="#,##0.0"/>
    <numFmt numFmtId="167" formatCode="0.0%"/>
    <numFmt numFmtId="168" formatCode="0.000"/>
    <numFmt numFmtId="169" formatCode="0.0"/>
    <numFmt numFmtId="170" formatCode="0.00000000000"/>
  </numFmts>
  <fonts count="1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8"/>
      <name val="Arial"/>
      <family val="2"/>
    </font>
    <font>
      <sz val="8"/>
      <name val="Cambria Math"/>
      <family val="1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9" fontId="1" fillId="0" borderId="0" xfId="0" applyNumberFormat="1" applyFont="1"/>
    <xf numFmtId="10" fontId="1" fillId="0" borderId="1" xfId="0" applyNumberFormat="1" applyFont="1" applyBorder="1" applyAlignment="1">
      <alignment horizontal="center"/>
    </xf>
    <xf numFmtId="4" fontId="1" fillId="0" borderId="0" xfId="0" applyNumberFormat="1" applyFont="1"/>
    <xf numFmtId="4" fontId="1" fillId="0" borderId="0" xfId="0" applyNumberFormat="1" applyFont="1" applyAlignment="1">
      <alignment horizontal="center"/>
    </xf>
    <xf numFmtId="4" fontId="3" fillId="0" borderId="1" xfId="0" applyNumberFormat="1" applyFont="1" applyBorder="1"/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center"/>
    </xf>
    <xf numFmtId="4" fontId="3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0" fontId="0" fillId="0" borderId="0" xfId="0" applyNumberFormat="1"/>
    <xf numFmtId="168" fontId="0" fillId="0" borderId="0" xfId="0" applyNumberFormat="1"/>
    <xf numFmtId="2" fontId="0" fillId="0" borderId="0" xfId="0" applyNumberFormat="1"/>
    <xf numFmtId="169" fontId="0" fillId="0" borderId="0" xfId="0" applyNumberFormat="1"/>
    <xf numFmtId="0" fontId="0" fillId="3" borderId="0" xfId="0" applyFill="1"/>
    <xf numFmtId="0" fontId="6" fillId="0" borderId="0" xfId="1"/>
    <xf numFmtId="0" fontId="0" fillId="4" borderId="0" xfId="0" applyFill="1"/>
    <xf numFmtId="10" fontId="0" fillId="4" borderId="0" xfId="0" applyNumberFormat="1" applyFill="1"/>
    <xf numFmtId="9" fontId="0" fillId="4" borderId="0" xfId="0" applyNumberFormat="1" applyFill="1"/>
    <xf numFmtId="0" fontId="0" fillId="5" borderId="0" xfId="0" applyFill="1"/>
    <xf numFmtId="10" fontId="1" fillId="5" borderId="0" xfId="0" applyNumberFormat="1" applyFont="1" applyFill="1"/>
    <xf numFmtId="0" fontId="7" fillId="6" borderId="2" xfId="0" applyFont="1" applyFill="1" applyBorder="1" applyAlignment="1">
      <alignment horizontal="left" vertical="center" wrapText="1" readingOrder="1"/>
    </xf>
    <xf numFmtId="0" fontId="8" fillId="8" borderId="3" xfId="0" applyFont="1" applyFill="1" applyBorder="1" applyAlignment="1">
      <alignment horizontal="left" vertical="center" wrapText="1" readingOrder="1"/>
    </xf>
    <xf numFmtId="0" fontId="8" fillId="7" borderId="3" xfId="0" applyFont="1" applyFill="1" applyBorder="1" applyAlignment="1">
      <alignment horizontal="left" vertical="center" wrapText="1" readingOrder="1"/>
    </xf>
    <xf numFmtId="0" fontId="9" fillId="7" borderId="3" xfId="0" applyFont="1" applyFill="1" applyBorder="1" applyAlignment="1">
      <alignment horizontal="left" vertical="center" wrapText="1" readingOrder="1"/>
    </xf>
    <xf numFmtId="10" fontId="8" fillId="8" borderId="3" xfId="0" applyNumberFormat="1" applyFont="1" applyFill="1" applyBorder="1" applyAlignment="1">
      <alignment horizontal="left" vertical="center" wrapText="1" readingOrder="1"/>
    </xf>
    <xf numFmtId="0" fontId="10" fillId="8" borderId="3" xfId="0" applyFont="1" applyFill="1" applyBorder="1" applyAlignment="1">
      <alignment horizontal="left" vertical="center" wrapText="1" readingOrder="1"/>
    </xf>
    <xf numFmtId="0" fontId="10" fillId="7" borderId="3" xfId="0" applyFont="1" applyFill="1" applyBorder="1" applyAlignment="1">
      <alignment horizontal="left" vertical="center" wrapText="1" readingOrder="1"/>
    </xf>
    <xf numFmtId="10" fontId="0" fillId="5" borderId="0" xfId="0" applyNumberFormat="1" applyFill="1"/>
    <xf numFmtId="0" fontId="0" fillId="9" borderId="0" xfId="0" applyFill="1"/>
    <xf numFmtId="10" fontId="0" fillId="9" borderId="0" xfId="0" applyNumberFormat="1" applyFill="1"/>
    <xf numFmtId="170" fontId="0" fillId="0" borderId="0" xfId="0" applyNumberForma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" fontId="3" fillId="0" borderId="7" xfId="0" applyNumberFormat="1" applyFont="1" applyBorder="1"/>
    <xf numFmtId="11" fontId="1" fillId="0" borderId="8" xfId="0" applyNumberFormat="1" applyFont="1" applyBorder="1" applyAlignment="1">
      <alignment horizontal="center"/>
    </xf>
    <xf numFmtId="4" fontId="3" fillId="2" borderId="9" xfId="0" applyNumberFormat="1" applyFont="1" applyFill="1" applyBorder="1"/>
    <xf numFmtId="4" fontId="1" fillId="2" borderId="10" xfId="0" applyNumberFormat="1" applyFont="1" applyFill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4" fontId="1" fillId="0" borderId="11" xfId="0" applyNumberFormat="1" applyFont="1" applyBorder="1"/>
    <xf numFmtId="0" fontId="0" fillId="0" borderId="11" xfId="0" applyBorder="1"/>
    <xf numFmtId="0" fontId="0" fillId="0" borderId="12" xfId="0" applyBorder="1"/>
    <xf numFmtId="4" fontId="1" fillId="0" borderId="8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10" fontId="1" fillId="0" borderId="13" xfId="0" applyNumberFormat="1" applyFont="1" applyBorder="1" applyAlignment="1">
      <alignment horizontal="center"/>
    </xf>
    <xf numFmtId="0" fontId="1" fillId="0" borderId="7" xfId="0" applyFont="1" applyBorder="1"/>
    <xf numFmtId="3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4" fontId="0" fillId="0" borderId="0" xfId="0" applyNumberFormat="1"/>
    <xf numFmtId="1" fontId="1" fillId="0" borderId="1" xfId="0" applyNumberFormat="1" applyFont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1" fillId="10" borderId="0" xfId="0" applyNumberFormat="1" applyFont="1" applyFill="1"/>
    <xf numFmtId="0" fontId="1" fillId="10" borderId="0" xfId="0" applyFont="1" applyFill="1"/>
    <xf numFmtId="0" fontId="0" fillId="0" borderId="0" xfId="0" applyAlignment="1">
      <alignment horizontal="center"/>
    </xf>
    <xf numFmtId="168" fontId="11" fillId="0" borderId="0" xfId="0" applyNumberFormat="1" applyFont="1"/>
    <xf numFmtId="3" fontId="1" fillId="0" borderId="0" xfId="0" applyNumberFormat="1" applyFont="1"/>
    <xf numFmtId="0" fontId="0" fillId="0" borderId="0" xfId="0" applyAlignment="1">
      <alignment horizontal="center" wrapText="1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top"/>
    </xf>
    <xf numFmtId="10" fontId="0" fillId="0" borderId="0" xfId="0" applyNumberFormat="1" applyAlignment="1">
      <alignment horizontal="center"/>
    </xf>
    <xf numFmtId="0" fontId="0" fillId="9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1" fontId="1" fillId="0" borderId="8" xfId="0" applyNumberFormat="1" applyFon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5" borderId="0" xfId="0" applyFill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6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NPV depending on 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'PV plant'!#REF!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225-4866-8620-477D50F10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4624"/>
        <c:axId val="148164608"/>
      </c:lineChart>
      <c:catAx>
        <c:axId val="1481546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48164608"/>
        <c:crosses val="autoZero"/>
        <c:auto val="1"/>
        <c:lblAlgn val="ctr"/>
        <c:lblOffset val="100"/>
        <c:noMultiLvlLbl val="0"/>
      </c:catAx>
      <c:valAx>
        <c:axId val="148164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8154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NPV depending on 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'PV plant'!#REF!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B69-4A05-AEB5-EA418AB31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4624"/>
        <c:axId val="148164608"/>
      </c:lineChart>
      <c:catAx>
        <c:axId val="1481546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48164608"/>
        <c:crosses val="autoZero"/>
        <c:auto val="1"/>
        <c:lblAlgn val="ctr"/>
        <c:lblOffset val="100"/>
        <c:noMultiLvlLbl val="0"/>
      </c:catAx>
      <c:valAx>
        <c:axId val="148164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8154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NPV depending on 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'PV plant'!#REF!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3C3-4FFB-AF30-486AB8A39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4624"/>
        <c:axId val="148164608"/>
      </c:lineChart>
      <c:catAx>
        <c:axId val="1481546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48164608"/>
        <c:crosses val="autoZero"/>
        <c:auto val="1"/>
        <c:lblAlgn val="ctr"/>
        <c:lblOffset val="100"/>
        <c:noMultiLvlLbl val="0"/>
      </c:catAx>
      <c:valAx>
        <c:axId val="148164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8154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NPV depending on 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'PV plant'!#REF!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3CE-490B-82DC-60B443906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4624"/>
        <c:axId val="148164608"/>
      </c:lineChart>
      <c:catAx>
        <c:axId val="1481546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48164608"/>
        <c:crosses val="autoZero"/>
        <c:auto val="1"/>
        <c:lblAlgn val="ctr"/>
        <c:lblOffset val="100"/>
        <c:noMultiLvlLbl val="0"/>
      </c:catAx>
      <c:valAx>
        <c:axId val="148164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8154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NPV depending on 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'PV plant'!#REF!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965-4541-920B-4DCBE78F1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4624"/>
        <c:axId val="148164608"/>
      </c:lineChart>
      <c:catAx>
        <c:axId val="1481546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48164608"/>
        <c:crosses val="autoZero"/>
        <c:auto val="1"/>
        <c:lblAlgn val="ctr"/>
        <c:lblOffset val="100"/>
        <c:noMultiLvlLbl val="0"/>
      </c:catAx>
      <c:valAx>
        <c:axId val="148164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8154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NPV depending on 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'PV plant'!#REF!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8F1-4A49-B49F-19AD7AB47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4624"/>
        <c:axId val="148164608"/>
      </c:lineChart>
      <c:catAx>
        <c:axId val="1481546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48164608"/>
        <c:crosses val="autoZero"/>
        <c:auto val="1"/>
        <c:lblAlgn val="ctr"/>
        <c:lblOffset val="100"/>
        <c:noMultiLvlLbl val="0"/>
      </c:catAx>
      <c:valAx>
        <c:axId val="148164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8154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NPV depending on 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'PV plant'!#REF!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BB2-4477-999D-6EAFE7F4D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4624"/>
        <c:axId val="148164608"/>
      </c:lineChart>
      <c:catAx>
        <c:axId val="1481546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48164608"/>
        <c:crosses val="autoZero"/>
        <c:auto val="1"/>
        <c:lblAlgn val="ctr"/>
        <c:lblOffset val="100"/>
        <c:noMultiLvlLbl val="0"/>
      </c:catAx>
      <c:valAx>
        <c:axId val="148164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8154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LCOS-H2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LCOS!$BQ$19</c:f>
              <c:strCache>
                <c:ptCount val="1"/>
                <c:pt idx="0">
                  <c:v>LCOS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LCOS!$BP$21:$BP$37</c:f>
              <c:numCache>
                <c:formatCode>General</c:formatCode>
                <c:ptCount val="1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900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  <c:pt idx="12">
                  <c:v>3500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</c:numCache>
            </c:numRef>
          </c:xVal>
          <c:yVal>
            <c:numRef>
              <c:f>LCOS!$BQ$21:$BQ$37</c:f>
              <c:numCache>
                <c:formatCode>General</c:formatCode>
                <c:ptCount val="17"/>
                <c:pt idx="0">
                  <c:v>36.299999999999997</c:v>
                </c:pt>
                <c:pt idx="1">
                  <c:v>18.149999999999999</c:v>
                </c:pt>
                <c:pt idx="2">
                  <c:v>12.1</c:v>
                </c:pt>
                <c:pt idx="3">
                  <c:v>9.07</c:v>
                </c:pt>
                <c:pt idx="4">
                  <c:v>7.26</c:v>
                </c:pt>
                <c:pt idx="5">
                  <c:v>6.05</c:v>
                </c:pt>
                <c:pt idx="6">
                  <c:v>4.03</c:v>
                </c:pt>
                <c:pt idx="7">
                  <c:v>3.63</c:v>
                </c:pt>
                <c:pt idx="8">
                  <c:v>2.42</c:v>
                </c:pt>
                <c:pt idx="9">
                  <c:v>1.8149999999999999</c:v>
                </c:pt>
                <c:pt idx="10">
                  <c:v>1.452</c:v>
                </c:pt>
                <c:pt idx="11">
                  <c:v>1.21</c:v>
                </c:pt>
                <c:pt idx="12">
                  <c:v>1.03</c:v>
                </c:pt>
                <c:pt idx="13">
                  <c:v>0.9</c:v>
                </c:pt>
                <c:pt idx="14">
                  <c:v>0.72599999999999998</c:v>
                </c:pt>
                <c:pt idx="15">
                  <c:v>0.60499999999999998</c:v>
                </c:pt>
                <c:pt idx="16">
                  <c:v>0.51859999999999995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F-4300-99AA-079A70E33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3008"/>
        <c:axId val="11674448"/>
      </c:scatterChart>
      <c:valAx>
        <c:axId val="1167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448"/>
        <c:crosses val="autoZero"/>
        <c:crossBetween val="midCat"/>
      </c:valAx>
      <c:valAx>
        <c:axId val="116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Eur/MWh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NPV depending on 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'PV plant'!#REF!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E16-476C-B3C0-64E3D05FD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4624"/>
        <c:axId val="148164608"/>
      </c:lineChart>
      <c:catAx>
        <c:axId val="1481546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48164608"/>
        <c:crosses val="autoZero"/>
        <c:auto val="1"/>
        <c:lblAlgn val="ctr"/>
        <c:lblOffset val="100"/>
        <c:noMultiLvlLbl val="0"/>
      </c:catAx>
      <c:valAx>
        <c:axId val="148164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8154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NPV depending on 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'PV plant'!#REF!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851-4599-BC34-7B266B0BF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4624"/>
        <c:axId val="148164608"/>
      </c:lineChart>
      <c:catAx>
        <c:axId val="1481546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48164608"/>
        <c:crosses val="autoZero"/>
        <c:auto val="1"/>
        <c:lblAlgn val="ctr"/>
        <c:lblOffset val="100"/>
        <c:noMultiLvlLbl val="0"/>
      </c:catAx>
      <c:valAx>
        <c:axId val="148164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8154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NPV depending on 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'PV plant'!#REF!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8CF-4FF8-89BA-30983A7A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4624"/>
        <c:axId val="148164608"/>
      </c:lineChart>
      <c:catAx>
        <c:axId val="1481546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48164608"/>
        <c:crosses val="autoZero"/>
        <c:auto val="1"/>
        <c:lblAlgn val="ctr"/>
        <c:lblOffset val="100"/>
        <c:noMultiLvlLbl val="0"/>
      </c:catAx>
      <c:valAx>
        <c:axId val="148164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8154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NPV depending on 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'PV plant'!#REF!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73E-486F-9F05-9C015FF9A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4624"/>
        <c:axId val="148164608"/>
      </c:lineChart>
      <c:catAx>
        <c:axId val="1481546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48164608"/>
        <c:crosses val="autoZero"/>
        <c:auto val="1"/>
        <c:lblAlgn val="ctr"/>
        <c:lblOffset val="100"/>
        <c:noMultiLvlLbl val="0"/>
      </c:catAx>
      <c:valAx>
        <c:axId val="148164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8154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NPV depending on 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'PV plant'!#REF!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'PV plant'!#REF!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EB3-4D47-BFEF-44C8D65FD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4624"/>
        <c:axId val="148164608"/>
      </c:lineChart>
      <c:catAx>
        <c:axId val="1481546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148164608"/>
        <c:crosses val="autoZero"/>
        <c:auto val="1"/>
        <c:lblAlgn val="ctr"/>
        <c:lblOffset val="100"/>
        <c:noMultiLvlLbl val="0"/>
      </c:catAx>
      <c:valAx>
        <c:axId val="14816460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8154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9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15267</xdr:colOff>
      <xdr:row>1</xdr:row>
      <xdr:rowOff>76200</xdr:rowOff>
    </xdr:from>
    <xdr:to>
      <xdr:col>11</xdr:col>
      <xdr:colOff>330618</xdr:colOff>
      <xdr:row>5</xdr:row>
      <xdr:rowOff>52518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ontent Placeholder 2">
              <a:extLst>
                <a:ext uri="{FF2B5EF4-FFF2-40B4-BE49-F238E27FC236}">
                  <a16:creationId xmlns:a16="http://schemas.microsoft.com/office/drawing/2014/main" id="{C68BA7A5-FD0B-A116-2F4C-B1C90E60F40B}"/>
                </a:ext>
              </a:extLst>
            </xdr:cNvPr>
            <xdr:cNvSpPr>
              <a:spLocks noGrp="1"/>
            </xdr:cNvSpPr>
          </xdr:nvSpPr>
          <xdr:spPr>
            <a:xfrm>
              <a:off x="1234467" y="628650"/>
              <a:ext cx="5801751" cy="712918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normAutofit fontScale="70000" lnSpcReduction="20000"/>
            </a:bodyPr>
            <a:lstStyle>
              <a:lvl1pPr marL="228600" indent="-228600" algn="l" defTabSz="914400" rtl="0" eaLnBrk="1" latinLnBrk="0" hangingPunct="1">
                <a:lnSpc>
                  <a:spcPct val="90000"/>
                </a:lnSpc>
                <a:spcBef>
                  <a:spcPts val="1000"/>
                </a:spcBef>
                <a:buFont typeface="Arial" panose="020B0604020202020204" pitchFamily="34" charset="0"/>
                <a:buChar char="•"/>
                <a:defRPr sz="2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6858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24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1430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20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6002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0574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5146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9718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4290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8862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en-US"/>
                <a:t>LCOE = </a:t>
              </a:r>
              <a14:m>
                <m:oMath xmlns:m="http://schemas.openxmlformats.org/officeDocument/2006/math">
                  <m:f>
                    <m:fPr>
                      <m:ctrlPr>
                        <a:rPr lang="en-US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𝐹𝐶𝑅</m:t>
                      </m:r>
                      <m:r>
                        <a:rPr lang="en-US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en-US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𝐶𝐴𝑃𝐸𝑋</m:t>
                      </m:r>
                      <m:r>
                        <a:rPr lang="en-US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+</m:t>
                      </m:r>
                      <m:nary>
                        <m:naryPr>
                          <m:chr m:val="∑"/>
                          <m:ctrlPr>
                            <a:rPr lang="en-US" b="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en-US" b="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</a:rPr>
                            <m:t>𝑡</m:t>
                          </m:r>
                          <m:r>
                            <a:rPr lang="en-US" b="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</a:rPr>
                            <m:t>=0</m:t>
                          </m:r>
                        </m:sub>
                        <m:sup>
                          <m:r>
                            <a:rPr lang="en-US" b="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f>
                            <m:fPr>
                              <m:ctrlPr>
                                <a:rPr lang="en-US" b="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b="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</a:rPr>
                                <m:t>𝐹𝑂𝑀</m:t>
                              </m:r>
                              <m:r>
                                <a:rPr lang="en-US" b="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en-US" b="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</a:rPr>
                                <m:t>𝑉𝑂𝑀</m:t>
                              </m:r>
                            </m:num>
                            <m:den>
                              <m:sSup>
                                <m:sSupPr>
                                  <m:ctrlPr>
                                    <a:rPr lang="en-US" b="0" i="1">
                                      <a:solidFill>
                                        <a:schemeClr val="tx1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b="0" i="1">
                                      <a:solidFill>
                                        <a:schemeClr val="tx1"/>
                                      </a:solidFill>
                                      <a:latin typeface="Cambria Math" panose="02040503050406030204" pitchFamily="18" charset="0"/>
                                    </a:rPr>
                                    <m:t>(1+</m:t>
                                  </m:r>
                                  <m:r>
                                    <a:rPr lang="en-US" b="0" i="1">
                                      <a:solidFill>
                                        <a:schemeClr val="tx1"/>
                                      </a:solidFill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  <m:r>
                                    <a:rPr lang="en-US" b="0" i="1">
                                      <a:solidFill>
                                        <a:schemeClr val="tx1"/>
                                      </a:solidFill>
                                      <a:latin typeface="Cambria Math" panose="02040503050406030204" pitchFamily="18" charset="0"/>
                                    </a:rPr>
                                    <m:t>)</m:t>
                                  </m:r>
                                </m:e>
                                <m:sup>
                                  <m:r>
                                    <a:rPr lang="en-US" b="0" i="1">
                                      <a:solidFill>
                                        <a:schemeClr val="tx1"/>
                                      </a:solidFill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p>
                              </m:sSup>
                            </m:den>
                          </m:f>
                        </m:e>
                      </m:nary>
                    </m:num>
                    <m:den>
                      <m:nary>
                        <m:naryPr>
                          <m:chr m:val="∑"/>
                          <m:ctrlPr>
                            <a:rPr lang="en-US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a:rPr lang="en-US" b="0" i="1">
                              <a:latin typeface="Cambria Math" panose="02040503050406030204" pitchFamily="18" charset="0"/>
                            </a:rPr>
                            <m:t>𝑦</m:t>
                          </m:r>
                          <m:r>
                            <a:rPr lang="en-US" i="1">
                              <a:latin typeface="Cambria Math" panose="02040503050406030204" pitchFamily="18" charset="0"/>
                            </a:rPr>
                            <m:t>=0</m:t>
                          </m:r>
                        </m:sub>
                        <m:sup>
                          <m:r>
                            <a:rPr lang="en-US" i="1">
                              <a:latin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f>
                            <m:fPr>
                              <m:ctrlPr>
                                <a:rPr lang="en-US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b="0" i="1">
                                      <a:latin typeface="Cambria Math" panose="02040503050406030204" pitchFamily="18" charset="0"/>
                                    </a:rPr>
                                    <m:t>𝐸𝑙𝑒𝑐𝑡𝑟𝑖𝑐𝑖𝑡𝑦</m:t>
                                  </m:r>
                                </m:e>
                                <m:sub>
                                  <m:r>
                                    <a:rPr lang="en-US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num>
                            <m:den>
                              <m:sSup>
                                <m:sSupPr>
                                  <m:ctrlPr>
                                    <a:rPr lang="en-US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i="1">
                                      <a:latin typeface="Cambria Math" panose="02040503050406030204" pitchFamily="18" charset="0"/>
                                    </a:rPr>
                                    <m:t>(1+</m:t>
                                  </m:r>
                                  <m:r>
                                    <a:rPr lang="en-US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  <m:r>
                                    <a:rPr lang="en-US" i="1">
                                      <a:latin typeface="Cambria Math" panose="02040503050406030204" pitchFamily="18" charset="0"/>
                                    </a:rPr>
                                    <m:t>)</m:t>
                                  </m:r>
                                </m:e>
                                <m:sup>
                                  <m:r>
                                    <a:rPr lang="en-US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p>
                              </m:sSup>
                            </m:den>
                          </m:f>
                        </m:e>
                      </m:nary>
                    </m:den>
                  </m:f>
                </m:oMath>
              </a14:m>
              <a:r>
                <a:rPr lang="en-US"/>
                <a:t> </a:t>
              </a:r>
            </a:p>
          </xdr:txBody>
        </xdr:sp>
      </mc:Choice>
      <mc:Fallback xmlns="">
        <xdr:sp macro="" textlink="">
          <xdr:nvSpPr>
            <xdr:cNvPr id="2" name="Content Placeholder 2">
              <a:extLst>
                <a:ext uri="{FF2B5EF4-FFF2-40B4-BE49-F238E27FC236}">
                  <a16:creationId xmlns:a16="http://schemas.microsoft.com/office/drawing/2014/main" id="{C68BA7A5-FD0B-A116-2F4C-B1C90E60F40B}"/>
                </a:ext>
              </a:extLst>
            </xdr:cNvPr>
            <xdr:cNvSpPr>
              <a:spLocks noGrp="1"/>
            </xdr:cNvSpPr>
          </xdr:nvSpPr>
          <xdr:spPr>
            <a:xfrm>
              <a:off x="1234467" y="628650"/>
              <a:ext cx="5801751" cy="712918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normAutofit fontScale="70000" lnSpcReduction="20000"/>
            </a:bodyPr>
            <a:lstStyle>
              <a:lvl1pPr marL="228600" indent="-228600" algn="l" defTabSz="914400" rtl="0" eaLnBrk="1" latinLnBrk="0" hangingPunct="1">
                <a:lnSpc>
                  <a:spcPct val="90000"/>
                </a:lnSpc>
                <a:spcBef>
                  <a:spcPts val="1000"/>
                </a:spcBef>
                <a:buFont typeface="Arial" panose="020B0604020202020204" pitchFamily="34" charset="0"/>
                <a:buChar char="•"/>
                <a:defRPr sz="2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6858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24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1430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20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6002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0574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5146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9718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4290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886200" indent="-228600" algn="l" defTabSz="914400" rtl="0" eaLnBrk="1" latinLnBrk="0" hangingPunct="1">
                <a:lnSpc>
                  <a:spcPct val="90000"/>
                </a:lnSpc>
                <a:spcBef>
                  <a:spcPts val="500"/>
                </a:spcBef>
                <a:buFont typeface="Arial" panose="020B0604020202020204" pitchFamily="34" charset="0"/>
                <a:buChar char="•"/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en-US"/>
                <a:t>LCOE = </a:t>
              </a:r>
              <a:r>
                <a:rPr lang="en-US" i="0">
                  <a:latin typeface="Cambria Math" panose="02040503050406030204" pitchFamily="18" charset="0"/>
                </a:rPr>
                <a:t>(</a:t>
              </a:r>
              <a:r>
                <a:rPr lang="en-US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𝐹𝐶𝑅∗𝐶𝐴𝑃𝐸𝑋+∑_(𝑡=0)^𝑛▒(𝐹𝑂𝑀+𝑉𝑂𝑀)/〖(1+𝑖)〗^𝑦 )/(∑_(</a:t>
              </a:r>
              <a:r>
                <a:rPr lang="en-US" b="0" i="0">
                  <a:latin typeface="Cambria Math" panose="02040503050406030204" pitchFamily="18" charset="0"/>
                </a:rPr>
                <a:t>𝑦</a:t>
              </a:r>
              <a:r>
                <a:rPr lang="en-US" i="0">
                  <a:latin typeface="Cambria Math" panose="02040503050406030204" pitchFamily="18" charset="0"/>
                </a:rPr>
                <a:t>=0)^𝑛</a:t>
              </a:r>
              <a:r>
                <a:rPr lang="en-US" b="0" i="0">
                  <a:latin typeface="Cambria Math" panose="02040503050406030204" pitchFamily="18" charset="0"/>
                </a:rPr>
                <a:t>▒〖𝐸𝑙𝑒𝑐𝑡𝑟𝑖𝑐𝑖𝑡𝑦〗_𝑡/〖</a:t>
              </a:r>
              <a:r>
                <a:rPr lang="en-US" i="0">
                  <a:latin typeface="Cambria Math" panose="02040503050406030204" pitchFamily="18" charset="0"/>
                </a:rPr>
                <a:t>(1+𝑖)〗^</a:t>
              </a:r>
              <a:r>
                <a:rPr lang="en-US" b="0" i="0">
                  <a:latin typeface="Cambria Math" panose="02040503050406030204" pitchFamily="18" charset="0"/>
                </a:rPr>
                <a:t>𝑦 )</a:t>
              </a:r>
              <a:r>
                <a:rPr lang="en-US"/>
                <a:t> </a:t>
              </a:r>
            </a:p>
          </xdr:txBody>
        </xdr:sp>
      </mc:Fallback>
    </mc:AlternateContent>
    <xdr:clientData/>
  </xdr:twoCellAnchor>
  <xdr:twoCellAnchor>
    <xdr:from>
      <xdr:col>1</xdr:col>
      <xdr:colOff>181212</xdr:colOff>
      <xdr:row>9</xdr:row>
      <xdr:rowOff>25943</xdr:rowOff>
    </xdr:from>
    <xdr:to>
      <xdr:col>12</xdr:col>
      <xdr:colOff>584487</xdr:colOff>
      <xdr:row>22</xdr:row>
      <xdr:rowOff>95961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521E85E6-80E3-6E38-E683-F41013F2B61A}"/>
            </a:ext>
          </a:extLst>
        </xdr:cNvPr>
        <xdr:cNvGrpSpPr/>
      </xdr:nvGrpSpPr>
      <xdr:grpSpPr>
        <a:xfrm>
          <a:off x="790812" y="1949993"/>
          <a:ext cx="7108875" cy="3146593"/>
          <a:chOff x="-909712" y="3027884"/>
          <a:chExt cx="7108875" cy="2438568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3" name="TextBox 20">
                <a:extLst>
                  <a:ext uri="{FF2B5EF4-FFF2-40B4-BE49-F238E27FC236}">
                    <a16:creationId xmlns:a16="http://schemas.microsoft.com/office/drawing/2014/main" id="{6197F0D5-3D42-164F-8C67-A710C432135F}"/>
                  </a:ext>
                </a:extLst>
              </xdr:cNvPr>
              <xdr:cNvSpPr txBox="1"/>
            </xdr:nvSpPr>
            <xdr:spPr>
              <a:xfrm>
                <a:off x="-909712" y="3027884"/>
                <a:ext cx="7108875" cy="390748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txBody>
              <a:bodyPr wrap="square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2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i="1">
                              <a:latin typeface="Cambria Math" panose="02040503050406030204" pitchFamily="18" charset="0"/>
                              <a:ea typeface="Cambria Math"/>
                            </a:rPr>
                          </m:ctrlPr>
                        </m:sSubPr>
                        <m:e>
                          <m:r>
                            <a:rPr lang="en-US" i="1">
                              <a:latin typeface="Cambria Math" panose="02040503050406030204" pitchFamily="18" charset="0"/>
                              <a:ea typeface="Cambria Math"/>
                            </a:rPr>
                            <m:t>𝑊𝐴𝐶𝐶</m:t>
                          </m:r>
                        </m:e>
                        <m:sub>
                          <m:r>
                            <a:rPr lang="en-US" b="0" i="1">
                              <a:latin typeface="Cambria Math" panose="02040503050406030204" pitchFamily="18" charset="0"/>
                              <a:ea typeface="Cambria Math"/>
                            </a:rPr>
                            <m:t>𝑛𝑜𝑚𝑖𝑛𝑎𝑙</m:t>
                          </m:r>
                        </m:sub>
                      </m:sSub>
                      <m:r>
                        <a:rPr lang="de-DE" i="1">
                          <a:latin typeface="Cambria Math" panose="02040503050406030204" pitchFamily="18" charset="0"/>
                          <a:ea typeface="Cambria Math"/>
                        </a:rPr>
                        <m:t>=</m:t>
                      </m:r>
                      <m:r>
                        <a:rPr lang="en-US" sz="1800" b="0" i="1">
                          <a:latin typeface="Cambria Math" panose="02040503050406030204" pitchFamily="18" charset="0"/>
                        </a:rPr>
                        <m:t>𝑉</m:t>
                      </m:r>
                      <m:r>
                        <a:rPr lang="en-US" sz="18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800" b="0" i="1">
                          <a:latin typeface="Cambria Math" panose="02040503050406030204" pitchFamily="18" charset="0"/>
                        </a:rPr>
                        <m:t>𝐸𝑞𝑢𝑖𝑡𝑦</m:t>
                      </m:r>
                      <m:r>
                        <a:rPr lang="en-US" sz="1800" b="0" i="1">
                          <a:latin typeface="Cambria Math" panose="02040503050406030204" pitchFamily="18" charset="0"/>
                        </a:rPr>
                        <m:t>)∙</m:t>
                      </m:r>
                      <m:sSub>
                        <m:sSubPr>
                          <m:ctrlPr>
                            <a:rPr lang="de-DE" sz="1800" b="0" i="1">
                              <a:latin typeface="Cambria Math" panose="02040503050406030204" pitchFamily="18" charset="0"/>
                              <a:ea typeface="Cambria Math"/>
                            </a:rPr>
                          </m:ctrlPr>
                        </m:sSubPr>
                        <m:e>
                          <m:r>
                            <a:rPr lang="de-DE" sz="1800" b="0" i="1">
                              <a:latin typeface="Cambria Math"/>
                              <a:ea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800" b="0" i="1">
                              <a:latin typeface="Cambria Math"/>
                              <a:ea typeface="Cambria Math"/>
                            </a:rPr>
                            <m:t>𝐸</m:t>
                          </m:r>
                        </m:sub>
                      </m:sSub>
                      <m:r>
                        <a:rPr lang="de-DE" sz="1800" b="0" i="1">
                          <a:latin typeface="Cambria Math"/>
                          <a:ea typeface="Cambria Math"/>
                        </a:rPr>
                        <m:t>+</m:t>
                      </m:r>
                      <m:r>
                        <a:rPr lang="en-US" sz="1800" b="0" i="1">
                          <a:latin typeface="Cambria Math" panose="02040503050406030204" pitchFamily="18" charset="0"/>
                          <a:ea typeface="Cambria Math"/>
                        </a:rPr>
                        <m:t>𝑉</m:t>
                      </m:r>
                      <m:r>
                        <a:rPr lang="en-US" sz="1800" b="0" i="1">
                          <a:latin typeface="Cambria Math" panose="02040503050406030204" pitchFamily="18" charset="0"/>
                          <a:ea typeface="Cambria Math"/>
                        </a:rPr>
                        <m:t>(</m:t>
                      </m:r>
                      <m:r>
                        <a:rPr lang="en-US" sz="1800" b="0" i="1">
                          <a:latin typeface="Cambria Math" panose="02040503050406030204" pitchFamily="18" charset="0"/>
                          <a:ea typeface="Cambria Math"/>
                        </a:rPr>
                        <m:t>𝐷𝑒𝑏𝑡</m:t>
                      </m:r>
                      <m:r>
                        <a:rPr lang="en-US" sz="1800" b="0" i="1">
                          <a:latin typeface="Cambria Math" panose="02040503050406030204" pitchFamily="18" charset="0"/>
                          <a:ea typeface="Cambria Math"/>
                        </a:rPr>
                        <m:t>)∙</m:t>
                      </m:r>
                      <m:sSub>
                        <m:sSubPr>
                          <m:ctrlPr>
                            <a:rPr lang="de-DE" sz="1800" b="0" i="1">
                              <a:latin typeface="Cambria Math" panose="02040503050406030204" pitchFamily="18" charset="0"/>
                              <a:ea typeface="Cambria Math"/>
                            </a:rPr>
                          </m:ctrlPr>
                        </m:sSubPr>
                        <m:e>
                          <m:r>
                            <a:rPr lang="de-DE" sz="1800" b="0" i="1">
                              <a:latin typeface="Cambria Math"/>
                              <a:ea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800" b="0" i="1">
                              <a:latin typeface="Cambria Math"/>
                              <a:ea typeface="Cambria Math"/>
                            </a:rPr>
                            <m:t>𝐷</m:t>
                          </m:r>
                        </m:sub>
                      </m:sSub>
                      <m:r>
                        <a:rPr lang="de-DE" sz="1800" b="0" i="1">
                          <a:latin typeface="Cambria Math"/>
                          <a:ea typeface="Cambria Math"/>
                        </a:rPr>
                        <m:t>(1−</m:t>
                      </m:r>
                      <m:sSub>
                        <m:sSubPr>
                          <m:ctrlPr>
                            <a:rPr lang="de-DE" sz="1800" b="0" i="1">
                              <a:latin typeface="Cambria Math" panose="02040503050406030204" pitchFamily="18" charset="0"/>
                              <a:ea typeface="Cambria Math"/>
                            </a:rPr>
                          </m:ctrlPr>
                        </m:sSubPr>
                        <m:e>
                          <m:r>
                            <a:rPr lang="de-DE" sz="1800" b="0" i="1">
                              <a:latin typeface="Cambria Math"/>
                              <a:ea typeface="Cambria Math"/>
                            </a:rPr>
                            <m:t>𝑡𝑎𝑥</m:t>
                          </m:r>
                        </m:e>
                        <m:sub>
                          <m:r>
                            <a:rPr lang="de-DE" sz="1800" b="0" i="1">
                              <a:latin typeface="Cambria Math"/>
                              <a:ea typeface="Cambria Math"/>
                            </a:rPr>
                            <m:t>𝑐𝑜𝑟𝑝</m:t>
                          </m:r>
                        </m:sub>
                      </m:sSub>
                      <m:r>
                        <a:rPr lang="de-DE" sz="1800" b="0" i="1">
                          <a:latin typeface="Cambria Math"/>
                          <a:ea typeface="Cambria Math"/>
                        </a:rPr>
                        <m:t>)</m:t>
                      </m:r>
                    </m:oMath>
                  </m:oMathPara>
                </a14:m>
                <a:endParaRPr lang="en-US" sz="1800"/>
              </a:p>
            </xdr:txBody>
          </xdr:sp>
        </mc:Choice>
        <mc:Fallback xmlns="">
          <xdr:sp macro="" textlink="">
            <xdr:nvSpPr>
              <xdr:cNvPr id="13" name="TextBox 20">
                <a:extLst>
                  <a:ext uri="{FF2B5EF4-FFF2-40B4-BE49-F238E27FC236}">
                    <a16:creationId xmlns:a16="http://schemas.microsoft.com/office/drawing/2014/main" id="{6197F0D5-3D42-164F-8C67-A710C432135F}"/>
                  </a:ext>
                </a:extLst>
              </xdr:cNvPr>
              <xdr:cNvSpPr txBox="1"/>
            </xdr:nvSpPr>
            <xdr:spPr>
              <a:xfrm>
                <a:off x="-909712" y="3027884"/>
                <a:ext cx="7108875" cy="390748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txBody>
              <a:bodyPr wrap="square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2"/>
                <a:r>
                  <a:rPr lang="de-DE" i="0">
                    <a:latin typeface="Cambria Math" panose="02040503050406030204" pitchFamily="18" charset="0"/>
                    <a:ea typeface="Cambria Math"/>
                  </a:rPr>
                  <a:t>〖</a:t>
                </a:r>
                <a:r>
                  <a:rPr lang="en-US" i="0">
                    <a:latin typeface="Cambria Math" panose="02040503050406030204" pitchFamily="18" charset="0"/>
                    <a:ea typeface="Cambria Math"/>
                  </a:rPr>
                  <a:t>𝑊𝐴𝐶𝐶</a:t>
                </a:r>
                <a:r>
                  <a:rPr lang="de-DE" i="0">
                    <a:latin typeface="Cambria Math" panose="02040503050406030204" pitchFamily="18" charset="0"/>
                    <a:ea typeface="Cambria Math"/>
                  </a:rPr>
                  <a:t>〗_</a:t>
                </a:r>
                <a:r>
                  <a:rPr lang="en-US" b="0" i="0">
                    <a:latin typeface="Cambria Math" panose="02040503050406030204" pitchFamily="18" charset="0"/>
                    <a:ea typeface="Cambria Math"/>
                  </a:rPr>
                  <a:t>𝑛𝑜𝑚𝑖𝑛𝑎𝑙</a:t>
                </a:r>
                <a:r>
                  <a:rPr lang="de-DE" i="0">
                    <a:latin typeface="Cambria Math" panose="02040503050406030204" pitchFamily="18" charset="0"/>
                    <a:ea typeface="Cambria Math"/>
                  </a:rPr>
                  <a:t>=</a:t>
                </a:r>
                <a:r>
                  <a:rPr lang="en-US" sz="1800" b="0" i="0">
                    <a:latin typeface="Cambria Math" panose="02040503050406030204" pitchFamily="18" charset="0"/>
                  </a:rPr>
                  <a:t>𝑉(𝐸𝑞𝑢𝑖𝑡𝑦)∙</a:t>
                </a:r>
                <a:r>
                  <a:rPr lang="de-DE" sz="1800" b="0" i="0">
                    <a:latin typeface="Cambria Math"/>
                    <a:ea typeface="Cambria Math"/>
                  </a:rPr>
                  <a:t>𝑟</a:t>
                </a:r>
                <a:r>
                  <a:rPr lang="de-DE" sz="1800" b="0" i="0">
                    <a:latin typeface="Cambria Math" panose="02040503050406030204" pitchFamily="18" charset="0"/>
                    <a:ea typeface="Cambria Math"/>
                  </a:rPr>
                  <a:t>_</a:t>
                </a:r>
                <a:r>
                  <a:rPr lang="de-DE" sz="1800" b="0" i="0">
                    <a:latin typeface="Cambria Math"/>
                    <a:ea typeface="Cambria Math"/>
                  </a:rPr>
                  <a:t>𝐸+</a:t>
                </a:r>
                <a:r>
                  <a:rPr lang="en-US" sz="1800" b="0" i="0">
                    <a:latin typeface="Cambria Math" panose="02040503050406030204" pitchFamily="18" charset="0"/>
                    <a:ea typeface="Cambria Math"/>
                  </a:rPr>
                  <a:t>𝑉(𝐷𝑒𝑏𝑡)∙</a:t>
                </a:r>
                <a:r>
                  <a:rPr lang="de-DE" sz="1800" b="0" i="0">
                    <a:latin typeface="Cambria Math"/>
                    <a:ea typeface="Cambria Math"/>
                  </a:rPr>
                  <a:t>𝑟</a:t>
                </a:r>
                <a:r>
                  <a:rPr lang="de-DE" sz="1800" b="0" i="0">
                    <a:latin typeface="Cambria Math" panose="02040503050406030204" pitchFamily="18" charset="0"/>
                    <a:ea typeface="Cambria Math"/>
                  </a:rPr>
                  <a:t>_</a:t>
                </a:r>
                <a:r>
                  <a:rPr lang="de-DE" sz="1800" b="0" i="0">
                    <a:latin typeface="Cambria Math"/>
                    <a:ea typeface="Cambria Math"/>
                  </a:rPr>
                  <a:t>𝐷 (1−</a:t>
                </a:r>
                <a:r>
                  <a:rPr lang="de-DE" sz="1800" b="0" i="0">
                    <a:latin typeface="Cambria Math" panose="02040503050406030204" pitchFamily="18" charset="0"/>
                    <a:ea typeface="Cambria Math"/>
                  </a:rPr>
                  <a:t>〖</a:t>
                </a:r>
                <a:r>
                  <a:rPr lang="de-DE" sz="1800" b="0" i="0">
                    <a:latin typeface="Cambria Math"/>
                    <a:ea typeface="Cambria Math"/>
                  </a:rPr>
                  <a:t>𝑡𝑎𝑥</a:t>
                </a:r>
                <a:r>
                  <a:rPr lang="de-DE" sz="1800" b="0" i="0">
                    <a:latin typeface="Cambria Math" panose="02040503050406030204" pitchFamily="18" charset="0"/>
                    <a:ea typeface="Cambria Math"/>
                  </a:rPr>
                  <a:t>〗_</a:t>
                </a:r>
                <a:r>
                  <a:rPr lang="de-DE" sz="1800" b="0" i="0">
                    <a:latin typeface="Cambria Math"/>
                    <a:ea typeface="Cambria Math"/>
                  </a:rPr>
                  <a:t>𝑐𝑜𝑟𝑝)</a:t>
                </a:r>
                <a:endParaRPr lang="en-US" sz="18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4" name="TextBox 21">
                <a:extLst>
                  <a:ext uri="{FF2B5EF4-FFF2-40B4-BE49-F238E27FC236}">
                    <a16:creationId xmlns:a16="http://schemas.microsoft.com/office/drawing/2014/main" id="{A4BCD6B6-6F20-897E-4306-B317A4B01441}"/>
                  </a:ext>
                </a:extLst>
              </xdr:cNvPr>
              <xdr:cNvSpPr txBox="1"/>
            </xdr:nvSpPr>
            <xdr:spPr>
              <a:xfrm>
                <a:off x="-119221" y="3416300"/>
                <a:ext cx="3904957" cy="617348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txBody>
              <a:bodyPr wrap="square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800" i="1">
                              <a:latin typeface="Cambria Math" panose="02040503050406030204" pitchFamily="18" charset="0"/>
                              <a:ea typeface="Cambria Math"/>
                            </a:rPr>
                          </m:ctrlPr>
                        </m:sSubPr>
                        <m:e>
                          <m:r>
                            <a:rPr lang="en-US" sz="1800" b="0" i="1">
                              <a:latin typeface="Cambria Math" panose="02040503050406030204" pitchFamily="18" charset="0"/>
                              <a:ea typeface="Cambria Math"/>
                            </a:rPr>
                            <m:t>𝑊𝐴𝐶𝐶</m:t>
                          </m:r>
                        </m:e>
                        <m:sub>
                          <m:r>
                            <a:rPr lang="de-DE" sz="1800" b="0" i="1">
                              <a:latin typeface="Cambria Math" panose="02040503050406030204" pitchFamily="18" charset="0"/>
                              <a:ea typeface="Cambria Math"/>
                            </a:rPr>
                            <m:t>𝑟𝑒𝑎𝑙</m:t>
                          </m:r>
                        </m:sub>
                      </m:sSub>
                      <m:r>
                        <a:rPr lang="de-DE" sz="1800" b="0" i="1">
                          <a:latin typeface="Cambria Math" panose="02040503050406030204" pitchFamily="18" charset="0"/>
                          <a:ea typeface="Cambria Math"/>
                        </a:rPr>
                        <m:t>=</m:t>
                      </m:r>
                      <m:f>
                        <m:fPr>
                          <m:ctrlPr>
                            <a:rPr lang="de-DE" sz="1800" i="1">
                              <a:latin typeface="Cambria Math" panose="02040503050406030204" pitchFamily="18" charset="0"/>
                              <a:ea typeface="Cambria Math"/>
                            </a:rPr>
                          </m:ctrlPr>
                        </m:fPr>
                        <m:num>
                          <m:r>
                            <a:rPr lang="de-DE" sz="1800">
                              <a:latin typeface="Cambria Math" panose="02040503050406030204" pitchFamily="18" charset="0"/>
                              <a:ea typeface="Cambria Math"/>
                            </a:rPr>
                            <m:t>1</m:t>
                          </m:r>
                          <m:r>
                            <a:rPr lang="de-DE" sz="1800" b="0" i="1">
                              <a:latin typeface="Cambria Math" panose="02040503050406030204" pitchFamily="18" charset="0"/>
                              <a:ea typeface="Cambria Math"/>
                            </a:rPr>
                            <m:t>+</m:t>
                          </m:r>
                          <m:sSub>
                            <m:sSubPr>
                              <m:ctrlPr>
                                <a:rPr lang="de-DE" sz="1800" b="0" i="1">
                                  <a:latin typeface="Cambria Math" panose="02040503050406030204" pitchFamily="18" charset="0"/>
                                  <a:ea typeface="Cambria Math"/>
                                </a:rPr>
                              </m:ctrlPr>
                            </m:sSubPr>
                            <m:e>
                              <m:r>
                                <a:rPr lang="en-US" sz="1800" b="0" i="1">
                                  <a:latin typeface="Cambria Math" panose="02040503050406030204" pitchFamily="18" charset="0"/>
                                  <a:ea typeface="Cambria Math"/>
                                </a:rPr>
                                <m:t>𝑊𝐴𝐶𝐶</m:t>
                              </m:r>
                            </m:e>
                            <m:sub>
                              <m:r>
                                <a:rPr lang="de-DE" sz="1800" b="0" i="1">
                                  <a:latin typeface="Cambria Math" panose="02040503050406030204" pitchFamily="18" charset="0"/>
                                  <a:ea typeface="Cambria Math"/>
                                </a:rPr>
                                <m:t>𝑛𝑜𝑚𝑖𝑎𝑙</m:t>
                              </m:r>
                            </m:sub>
                          </m:sSub>
                        </m:num>
                        <m:den>
                          <m:r>
                            <a:rPr lang="de-DE" sz="1800">
                              <a:latin typeface="Cambria Math" panose="02040503050406030204" pitchFamily="18" charset="0"/>
                              <a:ea typeface="Cambria Math"/>
                            </a:rPr>
                            <m:t>1+</m:t>
                          </m:r>
                          <m:r>
                            <a:rPr lang="en-US" sz="1800" b="0" i="1">
                              <a:latin typeface="Cambria Math" panose="02040503050406030204" pitchFamily="18" charset="0"/>
                              <a:ea typeface="Cambria Math"/>
                            </a:rPr>
                            <m:t>𝑖</m:t>
                          </m:r>
                        </m:den>
                      </m:f>
                      <m:r>
                        <a:rPr lang="de-DE" sz="1800" b="0" i="1">
                          <a:latin typeface="Cambria Math" panose="02040503050406030204" pitchFamily="18" charset="0"/>
                          <a:ea typeface="Cambria Math"/>
                        </a:rPr>
                        <m:t>−1</m:t>
                      </m:r>
                    </m:oMath>
                  </m:oMathPara>
                </a14:m>
                <a:endParaRPr lang="en-US"/>
              </a:p>
            </xdr:txBody>
          </xdr:sp>
        </mc:Choice>
        <mc:Fallback xmlns="">
          <xdr:sp macro="" textlink="">
            <xdr:nvSpPr>
              <xdr:cNvPr id="14" name="TextBox 21">
                <a:extLst>
                  <a:ext uri="{FF2B5EF4-FFF2-40B4-BE49-F238E27FC236}">
                    <a16:creationId xmlns:a16="http://schemas.microsoft.com/office/drawing/2014/main" id="{A4BCD6B6-6F20-897E-4306-B317A4B01441}"/>
                  </a:ext>
                </a:extLst>
              </xdr:cNvPr>
              <xdr:cNvSpPr txBox="1"/>
            </xdr:nvSpPr>
            <xdr:spPr>
              <a:xfrm>
                <a:off x="-119221" y="3416300"/>
                <a:ext cx="3904957" cy="617348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txBody>
              <a:bodyPr wrap="square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de-DE" sz="1800" i="0">
                    <a:latin typeface="Cambria Math" panose="02040503050406030204" pitchFamily="18" charset="0"/>
                    <a:ea typeface="Cambria Math"/>
                  </a:rPr>
                  <a:t>〖</a:t>
                </a:r>
                <a:r>
                  <a:rPr lang="en-US" sz="1800" b="0" i="0">
                    <a:latin typeface="Cambria Math" panose="02040503050406030204" pitchFamily="18" charset="0"/>
                    <a:ea typeface="Cambria Math"/>
                  </a:rPr>
                  <a:t>𝑊𝐴𝐶𝐶</a:t>
                </a:r>
                <a:r>
                  <a:rPr lang="de-DE" sz="1800" b="0" i="0">
                    <a:latin typeface="Cambria Math" panose="02040503050406030204" pitchFamily="18" charset="0"/>
                    <a:ea typeface="Cambria Math"/>
                  </a:rPr>
                  <a:t>〗_𝑟𝑒𝑎𝑙=</a:t>
                </a:r>
                <a:r>
                  <a:rPr lang="de-DE" sz="1800" i="0">
                    <a:latin typeface="Cambria Math" panose="02040503050406030204" pitchFamily="18" charset="0"/>
                    <a:ea typeface="Cambria Math"/>
                  </a:rPr>
                  <a:t>(1</a:t>
                </a:r>
                <a:r>
                  <a:rPr lang="de-DE" sz="1800" b="0" i="0">
                    <a:latin typeface="Cambria Math" panose="02040503050406030204" pitchFamily="18" charset="0"/>
                    <a:ea typeface="Cambria Math"/>
                  </a:rPr>
                  <a:t>+〖</a:t>
                </a:r>
                <a:r>
                  <a:rPr lang="en-US" sz="1800" b="0" i="0">
                    <a:latin typeface="Cambria Math" panose="02040503050406030204" pitchFamily="18" charset="0"/>
                    <a:ea typeface="Cambria Math"/>
                  </a:rPr>
                  <a:t>𝑊𝐴𝐶𝐶</a:t>
                </a:r>
                <a:r>
                  <a:rPr lang="de-DE" sz="1800" b="0" i="0">
                    <a:latin typeface="Cambria Math" panose="02040503050406030204" pitchFamily="18" charset="0"/>
                    <a:ea typeface="Cambria Math"/>
                  </a:rPr>
                  <a:t>〗_𝑛𝑜𝑚𝑖𝑎𝑙)/(</a:t>
                </a:r>
                <a:r>
                  <a:rPr lang="de-DE" sz="1800" i="0">
                    <a:latin typeface="Cambria Math" panose="02040503050406030204" pitchFamily="18" charset="0"/>
                    <a:ea typeface="Cambria Math"/>
                  </a:rPr>
                  <a:t>1+</a:t>
                </a:r>
                <a:r>
                  <a:rPr lang="en-US" sz="1800" b="0" i="0">
                    <a:latin typeface="Cambria Math" panose="02040503050406030204" pitchFamily="18" charset="0"/>
                    <a:ea typeface="Cambria Math"/>
                  </a:rPr>
                  <a:t>𝑖</a:t>
                </a:r>
                <a:r>
                  <a:rPr lang="de-DE" sz="1800" b="0" i="0">
                    <a:latin typeface="Cambria Math" panose="02040503050406030204" pitchFamily="18" charset="0"/>
                    <a:ea typeface="Cambria Math"/>
                  </a:rPr>
                  <a:t>)−1</a:t>
                </a:r>
                <a:endParaRPr lang="en-US"/>
              </a:p>
            </xdr:txBody>
          </xdr:sp>
        </mc:Fallback>
      </mc:AlternateContent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4912E780-18A4-9F80-5961-25FCC3AEB2B9}"/>
              </a:ext>
            </a:extLst>
          </xdr:cNvPr>
          <xdr:cNvGrpSpPr/>
        </xdr:nvGrpSpPr>
        <xdr:grpSpPr>
          <a:xfrm>
            <a:off x="102294" y="4078676"/>
            <a:ext cx="4514850" cy="1387776"/>
            <a:chOff x="1171439" y="4672108"/>
            <a:chExt cx="4514850" cy="1387776"/>
          </a:xfrm>
        </xdr:grpSpPr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40AB1FB4-5539-2316-86F1-55BEC29ABBE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171439" y="4672108"/>
              <a:ext cx="4514850" cy="1352550"/>
            </a:xfrm>
            <a:prstGeom prst="rect">
              <a:avLst/>
            </a:prstGeom>
            <a:ln>
              <a:solidFill>
                <a:srgbClr val="FF0000"/>
              </a:solidFill>
            </a:ln>
          </xdr:spPr>
        </xdr:pic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7" name="TextBox 24">
                  <a:extLst>
                    <a:ext uri="{FF2B5EF4-FFF2-40B4-BE49-F238E27FC236}">
                      <a16:creationId xmlns:a16="http://schemas.microsoft.com/office/drawing/2014/main" id="{461B2652-056B-740C-5FC1-E6792212B43A}"/>
                    </a:ext>
                  </a:extLst>
                </xdr:cNvPr>
                <xdr:cNvSpPr txBox="1"/>
              </xdr:nvSpPr>
              <xdr:spPr>
                <a:xfrm>
                  <a:off x="2800854" y="5384599"/>
                  <a:ext cx="368413" cy="24622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wrap="square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de-DE" sz="1000" i="1">
                            <a:latin typeface="Cambria Math" panose="02040503050406030204" pitchFamily="18" charset="0"/>
                            <a:ea typeface="Cambria Math"/>
                          </a:rPr>
                          <m:t>𝑟𝑒𝑎𝑙</m:t>
                        </m:r>
                      </m:oMath>
                    </m:oMathPara>
                  </a14:m>
                  <a:endParaRPr lang="en-US" sz="1000"/>
                </a:p>
              </xdr:txBody>
            </xdr:sp>
          </mc:Choice>
          <mc:Fallback xmlns="">
            <xdr:sp macro="" textlink="">
              <xdr:nvSpPr>
                <xdr:cNvPr id="17" name="TextBox 24">
                  <a:extLst>
                    <a:ext uri="{FF2B5EF4-FFF2-40B4-BE49-F238E27FC236}">
                      <a16:creationId xmlns:a16="http://schemas.microsoft.com/office/drawing/2014/main" id="{461B2652-056B-740C-5FC1-E6792212B43A}"/>
                    </a:ext>
                  </a:extLst>
                </xdr:cNvPr>
                <xdr:cNvSpPr txBox="1"/>
              </xdr:nvSpPr>
              <xdr:spPr>
                <a:xfrm>
                  <a:off x="2800854" y="5384599"/>
                  <a:ext cx="368413" cy="24622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wrap="square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:r>
                    <a:rPr lang="de-DE" sz="1000" i="0">
                      <a:latin typeface="Cambria Math" panose="02040503050406030204" pitchFamily="18" charset="0"/>
                      <a:ea typeface="Cambria Math"/>
                    </a:rPr>
                    <a:t>𝑟𝑒𝑎𝑙</a:t>
                  </a:r>
                  <a:endParaRPr lang="en-US" sz="10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8" name="TextBox 25">
                  <a:extLst>
                    <a:ext uri="{FF2B5EF4-FFF2-40B4-BE49-F238E27FC236}">
                      <a16:creationId xmlns:a16="http://schemas.microsoft.com/office/drawing/2014/main" id="{D6CD050E-E684-994B-67BA-754488491E1C}"/>
                    </a:ext>
                  </a:extLst>
                </xdr:cNvPr>
                <xdr:cNvSpPr txBox="1"/>
              </xdr:nvSpPr>
              <xdr:spPr>
                <a:xfrm>
                  <a:off x="4824682" y="5813663"/>
                  <a:ext cx="368413" cy="24622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wrap="square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de-DE" sz="1000" i="1">
                            <a:latin typeface="Cambria Math" panose="02040503050406030204" pitchFamily="18" charset="0"/>
                            <a:ea typeface="Cambria Math"/>
                          </a:rPr>
                          <m:t>𝑟𝑒𝑎𝑙</m:t>
                        </m:r>
                      </m:oMath>
                    </m:oMathPara>
                  </a14:m>
                  <a:endParaRPr lang="en-US" sz="1000"/>
                </a:p>
              </xdr:txBody>
            </xdr:sp>
          </mc:Choice>
          <mc:Fallback xmlns="">
            <xdr:sp macro="" textlink="">
              <xdr:nvSpPr>
                <xdr:cNvPr id="18" name="TextBox 25">
                  <a:extLst>
                    <a:ext uri="{FF2B5EF4-FFF2-40B4-BE49-F238E27FC236}">
                      <a16:creationId xmlns:a16="http://schemas.microsoft.com/office/drawing/2014/main" id="{D6CD050E-E684-994B-67BA-754488491E1C}"/>
                    </a:ext>
                  </a:extLst>
                </xdr:cNvPr>
                <xdr:cNvSpPr txBox="1"/>
              </xdr:nvSpPr>
              <xdr:spPr>
                <a:xfrm>
                  <a:off x="4824682" y="5813663"/>
                  <a:ext cx="368413" cy="24622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wrap="square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:r>
                    <a:rPr lang="de-DE" sz="1000" i="0">
                      <a:latin typeface="Cambria Math" panose="02040503050406030204" pitchFamily="18" charset="0"/>
                      <a:ea typeface="Cambria Math"/>
                    </a:rPr>
                    <a:t>𝑟𝑒𝑎𝑙</a:t>
                  </a:r>
                  <a:endParaRPr lang="en-US" sz="1000"/>
                </a:p>
              </xdr:txBody>
            </xdr:sp>
          </mc:Fallback>
        </mc:AlternateContent>
      </xdr:grpSp>
    </xdr:grpSp>
    <xdr:clientData/>
  </xdr:twoCellAnchor>
  <xdr:twoCellAnchor>
    <xdr:from>
      <xdr:col>3</xdr:col>
      <xdr:colOff>188378</xdr:colOff>
      <xdr:row>23</xdr:row>
      <xdr:rowOff>50528</xdr:rowOff>
    </xdr:from>
    <xdr:to>
      <xdr:col>7</xdr:col>
      <xdr:colOff>448036</xdr:colOff>
      <xdr:row>26</xdr:row>
      <xdr:rowOff>102900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26">
              <a:extLst>
                <a:ext uri="{FF2B5EF4-FFF2-40B4-BE49-F238E27FC236}">
                  <a16:creationId xmlns:a16="http://schemas.microsoft.com/office/drawing/2014/main" id="{DD141DFA-9736-4964-5A65-9406B88A3401}"/>
                </a:ext>
              </a:extLst>
            </xdr:cNvPr>
            <xdr:cNvSpPr txBox="1"/>
          </xdr:nvSpPr>
          <xdr:spPr>
            <a:xfrm>
              <a:off x="2017178" y="5073378"/>
              <a:ext cx="2698058" cy="604822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2"/>
              <a:r>
                <a:rPr lang="de-DE">
                  <a:ea typeface="Cambria Math"/>
                </a:rPr>
                <a:t>PFF</a:t>
              </a:r>
              <a14:m>
                <m:oMath xmlns:m="http://schemas.openxmlformats.org/officeDocument/2006/math">
                  <m:r>
                    <a:rPr lang="de-DE" i="1">
                      <a:latin typeface="Cambria Math" panose="02040503050406030204" pitchFamily="18" charset="0"/>
                      <a:ea typeface="Cambria Math"/>
                    </a:rPr>
                    <m:t>=</m:t>
                  </m:r>
                  <m:f>
                    <m:fPr>
                      <m:ctrlPr>
                        <a:rPr lang="de-DE" i="1">
                          <a:latin typeface="Cambria Math" panose="02040503050406030204" pitchFamily="18" charset="0"/>
                          <a:ea typeface="Cambria Math"/>
                        </a:rPr>
                      </m:ctrlPr>
                    </m:fPr>
                    <m:num>
                      <m:r>
                        <a:rPr lang="en-US" i="1">
                          <a:latin typeface="Cambria Math" panose="02040503050406030204" pitchFamily="18" charset="0"/>
                        </a:rPr>
                        <m:t>1 −</m:t>
                      </m:r>
                      <m:r>
                        <a:rPr lang="en-US" i="1">
                          <a:latin typeface="Cambria Math" panose="02040503050406030204" pitchFamily="18" charset="0"/>
                        </a:rPr>
                        <m:t>𝑃𝑉𝐷</m:t>
                      </m:r>
                      <m:r>
                        <a:rPr lang="en-US" i="1">
                          <a:latin typeface="Cambria Math" panose="02040503050406030204" pitchFamily="18" charset="0"/>
                        </a:rPr>
                        <m:t> ∗</m:t>
                      </m:r>
                      <m:r>
                        <a:rPr lang="en-US" i="1">
                          <a:latin typeface="Cambria Math" panose="02040503050406030204" pitchFamily="18" charset="0"/>
                        </a:rPr>
                        <m:t>𝑇𝑅</m:t>
                      </m:r>
                    </m:num>
                    <m:den>
                      <m:r>
                        <a:rPr lang="en-US" b="0" i="1">
                          <a:latin typeface="Cambria Math" panose="02040503050406030204" pitchFamily="18" charset="0"/>
                          <a:ea typeface="Cambria Math"/>
                        </a:rPr>
                        <m:t>1−</m:t>
                      </m:r>
                      <m:r>
                        <a:rPr lang="en-US" b="0" i="1">
                          <a:latin typeface="Cambria Math" panose="02040503050406030204" pitchFamily="18" charset="0"/>
                          <a:ea typeface="Cambria Math"/>
                        </a:rPr>
                        <m:t>𝑇𝑅</m:t>
                      </m:r>
                    </m:den>
                  </m:f>
                </m:oMath>
              </a14:m>
              <a:endParaRPr lang="en-US" sz="1800"/>
            </a:p>
          </xdr:txBody>
        </xdr:sp>
      </mc:Choice>
      <mc:Fallback xmlns="">
        <xdr:sp macro="" textlink="">
          <xdr:nvSpPr>
            <xdr:cNvPr id="4" name="TextBox 26">
              <a:extLst>
                <a:ext uri="{FF2B5EF4-FFF2-40B4-BE49-F238E27FC236}">
                  <a16:creationId xmlns:a16="http://schemas.microsoft.com/office/drawing/2014/main" id="{DD141DFA-9736-4964-5A65-9406B88A3401}"/>
                </a:ext>
              </a:extLst>
            </xdr:cNvPr>
            <xdr:cNvSpPr txBox="1"/>
          </xdr:nvSpPr>
          <xdr:spPr>
            <a:xfrm>
              <a:off x="2017178" y="5073378"/>
              <a:ext cx="2698058" cy="604822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2"/>
              <a:r>
                <a:rPr lang="de-DE">
                  <a:ea typeface="Cambria Math"/>
                </a:rPr>
                <a:t>PFF</a:t>
              </a:r>
              <a:r>
                <a:rPr lang="de-DE" i="0">
                  <a:latin typeface="Cambria Math" panose="02040503050406030204" pitchFamily="18" charset="0"/>
                  <a:ea typeface="Cambria Math"/>
                </a:rPr>
                <a:t>=(</a:t>
              </a:r>
              <a:r>
                <a:rPr lang="en-US" i="0">
                  <a:latin typeface="Cambria Math" panose="02040503050406030204" pitchFamily="18" charset="0"/>
                </a:rPr>
                <a:t>1 −𝑃𝑉𝐷 ∗𝑇𝑅</a:t>
              </a:r>
              <a:r>
                <a:rPr lang="de-DE" i="0">
                  <a:latin typeface="Cambria Math" panose="02040503050406030204" pitchFamily="18" charset="0"/>
                  <a:ea typeface="Cambria Math"/>
                </a:rPr>
                <a:t>)/(</a:t>
              </a:r>
              <a:r>
                <a:rPr lang="en-US" b="0" i="0">
                  <a:latin typeface="Cambria Math" panose="02040503050406030204" pitchFamily="18" charset="0"/>
                  <a:ea typeface="Cambria Math"/>
                </a:rPr>
                <a:t>1−𝑇𝑅</a:t>
              </a:r>
              <a:r>
                <a:rPr lang="de-DE" b="0" i="0">
                  <a:latin typeface="Cambria Math" panose="02040503050406030204" pitchFamily="18" charset="0"/>
                  <a:ea typeface="Cambria Math"/>
                </a:rPr>
                <a:t>)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1</xdr:col>
      <xdr:colOff>263405</xdr:colOff>
      <xdr:row>26</xdr:row>
      <xdr:rowOff>102900</xdr:rowOff>
    </xdr:from>
    <xdr:to>
      <xdr:col>11</xdr:col>
      <xdr:colOff>24254</xdr:colOff>
      <xdr:row>29</xdr:row>
      <xdr:rowOff>75466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27">
              <a:extLst>
                <a:ext uri="{FF2B5EF4-FFF2-40B4-BE49-F238E27FC236}">
                  <a16:creationId xmlns:a16="http://schemas.microsoft.com/office/drawing/2014/main" id="{6BE8A1A6-7572-F036-13A1-CF009ADEFEE8}"/>
                </a:ext>
              </a:extLst>
            </xdr:cNvPr>
            <xdr:cNvSpPr txBox="1"/>
          </xdr:nvSpPr>
          <xdr:spPr>
            <a:xfrm>
              <a:off x="873005" y="5678200"/>
              <a:ext cx="5856849" cy="525016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2"/>
              <a:r>
                <a:rPr lang="en-US">
                  <a:ea typeface="Cambria Math"/>
                </a:rPr>
                <a:t>PVD=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i="1">
                          <a:latin typeface="Cambria Math" panose="02040503050406030204" pitchFamily="18" charset="0"/>
                          <a:ea typeface="Cambria Math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b="0" i="1">
                          <a:latin typeface="Cambria Math" panose="02040503050406030204" pitchFamily="18" charset="0"/>
                          <a:ea typeface="Cambria Math"/>
                        </a:rPr>
                        <m:t>𝑦</m:t>
                      </m:r>
                      <m:r>
                        <a:rPr lang="en-US" b="0" i="1">
                          <a:latin typeface="Cambria Math" panose="02040503050406030204" pitchFamily="18" charset="0"/>
                          <a:ea typeface="Cambria Math"/>
                        </a:rPr>
                        <m:t>=0</m:t>
                      </m:r>
                    </m:sub>
                    <m:sup>
                      <m:r>
                        <a:rPr lang="en-US" b="0" i="1">
                          <a:latin typeface="Cambria Math" panose="02040503050406030204" pitchFamily="18" charset="0"/>
                          <a:ea typeface="Cambria Math"/>
                        </a:rPr>
                        <m:t>𝑦</m:t>
                      </m:r>
                      <m:r>
                        <a:rPr lang="en-US" b="0" i="1">
                          <a:latin typeface="Cambria Math" panose="02040503050406030204" pitchFamily="18" charset="0"/>
                          <a:ea typeface="Cambria Math"/>
                        </a:rPr>
                        <m:t>=</m:t>
                      </m:r>
                      <m:r>
                        <a:rPr lang="en-US" b="0" i="1">
                          <a:latin typeface="Cambria Math" panose="02040503050406030204" pitchFamily="18" charset="0"/>
                          <a:ea typeface="Cambria Math"/>
                        </a:rPr>
                        <m:t>𝑀</m:t>
                      </m:r>
                    </m:sup>
                    <m:e>
                      <m:sSub>
                        <m:sSubPr>
                          <m:ctrlPr>
                            <a:rPr lang="en-US" i="1">
                              <a:latin typeface="Cambria Math" panose="02040503050406030204" pitchFamily="18" charset="0"/>
                              <a:ea typeface="Cambria Math"/>
                            </a:rPr>
                          </m:ctrlPr>
                        </m:sSubPr>
                        <m:e>
                          <m:r>
                            <a:rPr lang="en-US" b="0" i="1">
                              <a:latin typeface="Cambria Math" panose="02040503050406030204" pitchFamily="18" charset="0"/>
                              <a:ea typeface="Cambria Math"/>
                            </a:rPr>
                            <m:t>𝐹𝐷</m:t>
                          </m:r>
                        </m:e>
                        <m:sub>
                          <m:r>
                            <a:rPr lang="en-US" b="0" i="1">
                              <a:latin typeface="Cambria Math" panose="02040503050406030204" pitchFamily="18" charset="0"/>
                              <a:ea typeface="Cambria Math"/>
                            </a:rPr>
                            <m:t>𝑦</m:t>
                          </m:r>
                        </m:sub>
                      </m:sSub>
                      <m:r>
                        <a:rPr lang="en-US" b="0" i="1">
                          <a:latin typeface="Cambria Math" panose="02040503050406030204" pitchFamily="18" charset="0"/>
                          <a:ea typeface="Cambria Math"/>
                        </a:rPr>
                        <m:t> ∗ </m:t>
                      </m:r>
                      <m:f>
                        <m:fPr>
                          <m:ctrlPr>
                            <a:rPr lang="en-US" b="0" i="1">
                              <a:latin typeface="Cambria Math" panose="02040503050406030204" pitchFamily="18" charset="0"/>
                              <a:ea typeface="Cambria Math"/>
                            </a:rPr>
                          </m:ctrlPr>
                        </m:fPr>
                        <m:num>
                          <m:r>
                            <a:rPr lang="en-US" b="0" i="1">
                              <a:latin typeface="Cambria Math" panose="02040503050406030204" pitchFamily="18" charset="0"/>
                              <a:ea typeface="Cambria Math"/>
                            </a:rPr>
                            <m:t>1</m:t>
                          </m:r>
                        </m:num>
                        <m:den>
                          <m:sSup>
                            <m:sSupPr>
                              <m:ctrlPr>
                                <a:rPr lang="en-US" b="0" i="1">
                                  <a:latin typeface="Cambria Math" panose="02040503050406030204" pitchFamily="18" charset="0"/>
                                  <a:ea typeface="Cambria Math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en-US" i="1">
                                      <a:latin typeface="Cambria Math" panose="02040503050406030204" pitchFamily="18" charset="0"/>
                                      <a:ea typeface="Cambria Math"/>
                                    </a:rPr>
                                  </m:ctrlPr>
                                </m:dPr>
                                <m:e>
                                  <m:r>
                                    <a:rPr lang="en-US" i="1">
                                      <a:latin typeface="Cambria Math" panose="02040503050406030204" pitchFamily="18" charset="0"/>
                                      <a:ea typeface="Cambria Math"/>
                                    </a:rPr>
                                    <m:t>1+</m:t>
                                  </m:r>
                                  <m:sSub>
                                    <m:sSubPr>
                                      <m:ctrlPr>
                                        <a:rPr lang="en-US" i="1">
                                          <a:latin typeface="Cambria Math" panose="02040503050406030204" pitchFamily="18" charset="0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i="1">
                                          <a:latin typeface="Cambria Math" panose="02040503050406030204" pitchFamily="18" charset="0"/>
                                          <a:ea typeface="Cambria Math"/>
                                        </a:rPr>
                                        <m:t>𝑊𝐴𝐶𝐶</m:t>
                                      </m:r>
                                    </m:e>
                                    <m:sub>
                                      <m:r>
                                        <a:rPr lang="en-US" i="1">
                                          <a:latin typeface="Cambria Math" panose="02040503050406030204" pitchFamily="18" charset="0"/>
                                          <a:ea typeface="Cambria Math"/>
                                        </a:rPr>
                                        <m:t>𝑟𝑒𝑎𝑙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lang="en-US" i="1">
                                  <a:latin typeface="Cambria Math" panose="02040503050406030204" pitchFamily="18" charset="0"/>
                                  <a:ea typeface="Cambria Math"/>
                                </a:rPr>
                                <m:t>∗(1+</m:t>
                              </m:r>
                              <m:r>
                                <a:rPr lang="en-US" i="1">
                                  <a:latin typeface="Cambria Math" panose="02040503050406030204" pitchFamily="18" charset="0"/>
                                  <a:ea typeface="Cambria Math"/>
                                </a:rPr>
                                <m:t>𝑖</m:t>
                              </m:r>
                              <m:r>
                                <a:rPr lang="en-US" i="1">
                                  <a:latin typeface="Cambria Math" panose="02040503050406030204" pitchFamily="18" charset="0"/>
                                  <a:ea typeface="Cambria Math"/>
                                </a:rPr>
                                <m:t>)</m:t>
                              </m:r>
                            </m:e>
                            <m:sup>
                              <m:r>
                                <a:rPr lang="en-US" b="0" i="1">
                                  <a:latin typeface="Cambria Math" panose="02040503050406030204" pitchFamily="18" charset="0"/>
                                  <a:ea typeface="Cambria Math"/>
                                </a:rPr>
                                <m:t>𝑦</m:t>
                              </m:r>
                            </m:sup>
                          </m:sSup>
                        </m:den>
                      </m:f>
                      <m:r>
                        <a:rPr lang="en-US" b="0" i="1">
                          <a:latin typeface="Cambria Math" panose="02040503050406030204" pitchFamily="18" charset="0"/>
                          <a:ea typeface="Cambria Math"/>
                        </a:rPr>
                        <m:t> </m:t>
                      </m:r>
                    </m:e>
                  </m:nary>
                </m:oMath>
              </a14:m>
              <a:endParaRPr lang="en-US" sz="1800"/>
            </a:p>
          </xdr:txBody>
        </xdr:sp>
      </mc:Choice>
      <mc:Fallback xmlns="">
        <xdr:sp macro="" textlink="">
          <xdr:nvSpPr>
            <xdr:cNvPr id="5" name="TextBox 27">
              <a:extLst>
                <a:ext uri="{FF2B5EF4-FFF2-40B4-BE49-F238E27FC236}">
                  <a16:creationId xmlns:a16="http://schemas.microsoft.com/office/drawing/2014/main" id="{6BE8A1A6-7572-F036-13A1-CF009ADEFEE8}"/>
                </a:ext>
              </a:extLst>
            </xdr:cNvPr>
            <xdr:cNvSpPr txBox="1"/>
          </xdr:nvSpPr>
          <xdr:spPr>
            <a:xfrm>
              <a:off x="873005" y="5678200"/>
              <a:ext cx="5856849" cy="525016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2"/>
              <a:r>
                <a:rPr lang="en-US">
                  <a:ea typeface="Cambria Math"/>
                </a:rPr>
                <a:t>PVD= </a:t>
              </a:r>
              <a:r>
                <a:rPr lang="en-US" i="0">
                  <a:latin typeface="Cambria Math" panose="02040503050406030204" pitchFamily="18" charset="0"/>
                  <a:ea typeface="Cambria Math"/>
                </a:rPr>
                <a:t>∑</a:t>
              </a:r>
              <a:r>
                <a:rPr lang="en-US" b="0" i="0">
                  <a:latin typeface="Cambria Math" panose="02040503050406030204" pitchFamily="18" charset="0"/>
                  <a:ea typeface="Cambria Math"/>
                </a:rPr>
                <a:t>_(𝑦=0)^(𝑦=𝑀)▒〖〖𝐹𝐷〗_𝑦  ∗ 1/〖(</a:t>
              </a:r>
              <a:r>
                <a:rPr lang="en-US" i="0">
                  <a:latin typeface="Cambria Math" panose="02040503050406030204" pitchFamily="18" charset="0"/>
                  <a:ea typeface="Cambria Math"/>
                </a:rPr>
                <a:t>1+〖𝑊𝐴𝐶𝐶〗_𝑟𝑒𝑎𝑙 )∗(1+𝑖)</a:t>
              </a:r>
              <a:r>
                <a:rPr lang="en-US" b="0" i="0">
                  <a:latin typeface="Cambria Math" panose="02040503050406030204" pitchFamily="18" charset="0"/>
                  <a:ea typeface="Cambria Math"/>
                </a:rPr>
                <a:t>〗^𝑦   〗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1</xdr:col>
      <xdr:colOff>114300</xdr:colOff>
      <xdr:row>30</xdr:row>
      <xdr:rowOff>47112</xdr:rowOff>
    </xdr:from>
    <xdr:to>
      <xdr:col>16</xdr:col>
      <xdr:colOff>155161</xdr:colOff>
      <xdr:row>35</xdr:row>
      <xdr:rowOff>118300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36">
              <a:extLst>
                <a:ext uri="{FF2B5EF4-FFF2-40B4-BE49-F238E27FC236}">
                  <a16:creationId xmlns:a16="http://schemas.microsoft.com/office/drawing/2014/main" id="{0C7FB24A-BED7-0AD1-B23A-5EC636290DDE}"/>
                </a:ext>
              </a:extLst>
            </xdr:cNvPr>
            <xdr:cNvSpPr txBox="1"/>
          </xdr:nvSpPr>
          <xdr:spPr>
            <a:xfrm>
              <a:off x="723900" y="6359012"/>
              <a:ext cx="9184861" cy="991938"/>
            </a:xfrm>
            <a:prstGeom prst="rect">
              <a:avLst/>
            </a:prstGeom>
            <a:noFill/>
            <a:ln>
              <a:solidFill>
                <a:srgbClr val="0070C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𝐶𝐹𝐹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20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𝐶</m:t>
                        </m:r>
                      </m:sup>
                      <m:e>
                        <m:sSub>
                          <m:sSub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𝐹𝐶</m:t>
                            </m:r>
                          </m:e>
                          <m:sub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sub>
                        </m:sSub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 ∗</m:t>
                        </m:r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(1+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𝐼𝐷𝐶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+0.5)</m:t>
                            </m:r>
                          </m:sup>
                        </m:sSup>
                      </m:e>
                    </m:nary>
                    <m:r>
                      <a:rPr lang="en-US" sz="2000" b="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200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𝐶</m:t>
                        </m:r>
                      </m:sup>
                      <m:e>
                        <m:sSub>
                          <m:sSub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𝐹𝐶</m:t>
                            </m:r>
                          </m:e>
                          <m:sub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sub>
                        </m:sSub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 ∗</m:t>
                        </m:r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20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200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sSub>
                                  <m:sSubPr>
                                    <m:ctrlPr>
                                      <a:rPr lang="de-DE" sz="2000" i="1">
                                        <a:latin typeface="Cambria Math" panose="02040503050406030204" pitchFamily="18" charset="0"/>
                                        <a:ea typeface="Cambria Math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2000" i="1">
                                        <a:latin typeface="Cambria Math"/>
                                        <a:ea typeface="Cambria Math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2000" i="1">
                                        <a:latin typeface="Cambria Math"/>
                                        <a:ea typeface="Cambria Math"/>
                                      </a:rPr>
                                      <m:t>𝐸</m:t>
                                    </m:r>
                                    <m:r>
                                      <a:rPr lang="en-US" sz="2000" b="0" i="1">
                                        <a:latin typeface="Cambria Math" panose="02040503050406030204" pitchFamily="18" charset="0"/>
                                        <a:ea typeface="Cambria Math"/>
                                      </a:rPr>
                                      <m:t>𝐷𝐶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d>
                              <m:dPr>
                                <m:ctrlPr>
                                  <a:rPr lang="en-US" sz="20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20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sz="2000" i="1">
                                    <a:latin typeface="Cambria Math" panose="02040503050406030204" pitchFamily="18" charset="0"/>
                                  </a:rPr>
                                  <m:t>+0.5</m:t>
                                </m:r>
                              </m:e>
                            </m:d>
                          </m:sup>
                        </m:s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 ∗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𝑉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𝐸𝑞𝑢𝑖𝑡𝑦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6" name="TextBox 36">
              <a:extLst>
                <a:ext uri="{FF2B5EF4-FFF2-40B4-BE49-F238E27FC236}">
                  <a16:creationId xmlns:a16="http://schemas.microsoft.com/office/drawing/2014/main" id="{0C7FB24A-BED7-0AD1-B23A-5EC636290DDE}"/>
                </a:ext>
              </a:extLst>
            </xdr:cNvPr>
            <xdr:cNvSpPr txBox="1"/>
          </xdr:nvSpPr>
          <xdr:spPr>
            <a:xfrm>
              <a:off x="723900" y="6359012"/>
              <a:ext cx="9184861" cy="991938"/>
            </a:xfrm>
            <a:prstGeom prst="rect">
              <a:avLst/>
            </a:prstGeom>
            <a:noFill/>
            <a:ln>
              <a:solidFill>
                <a:srgbClr val="0070C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𝐶𝐹𝐹=∑_(𝑦=0)^(𝑦=𝐶)▒〖〖</a:t>
              </a:r>
              <a:r>
                <a:rPr lang="en-US" sz="2000" i="0">
                  <a:latin typeface="Cambria Math" panose="02040503050406030204" pitchFamily="18" charset="0"/>
                </a:rPr>
                <a:t>𝐹𝐶〗_𝑦  ∗〖(1+𝐼𝐷𝐶)〗^((𝑦+0.5)) </a:t>
              </a:r>
              <a:r>
                <a:rPr lang="en-US" sz="2000" b="0" i="0">
                  <a:latin typeface="Cambria Math" panose="02040503050406030204" pitchFamily="18" charset="0"/>
                </a:rPr>
                <a:t>〗+</a:t>
              </a:r>
              <a:r>
                <a:rPr lang="en-US" sz="2000" i="0">
                  <a:latin typeface="Cambria Math" panose="02040503050406030204" pitchFamily="18" charset="0"/>
                </a:rPr>
                <a:t>∑_(𝑦=0)^(𝑦=𝐶)</a:t>
              </a:r>
              <a:r>
                <a:rPr lang="en-US" sz="2000" b="0" i="0">
                  <a:latin typeface="Cambria Math" panose="02040503050406030204" pitchFamily="18" charset="0"/>
                </a:rPr>
                <a:t>▒〖〖</a:t>
              </a:r>
              <a:r>
                <a:rPr lang="en-US" sz="2000" i="0">
                  <a:latin typeface="Cambria Math" panose="02040503050406030204" pitchFamily="18" charset="0"/>
                </a:rPr>
                <a:t>𝐹𝐶〗_𝑦  ∗(1+</a:t>
              </a:r>
              <a:r>
                <a:rPr lang="de-DE" sz="2000" i="0">
                  <a:latin typeface="Cambria Math"/>
                  <a:ea typeface="Cambria Math"/>
                </a:rPr>
                <a:t>𝑟</a:t>
              </a:r>
              <a:r>
                <a:rPr lang="de-DE" sz="20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de-DE" sz="2000" i="0">
                  <a:latin typeface="Cambria Math"/>
                  <a:ea typeface="Cambria Math"/>
                </a:rPr>
                <a:t>𝐸</a:t>
              </a:r>
              <a:r>
                <a:rPr lang="en-US" sz="2000" b="0" i="0">
                  <a:latin typeface="Cambria Math" panose="02040503050406030204" pitchFamily="18" charset="0"/>
                  <a:ea typeface="Cambria Math"/>
                </a:rPr>
                <a:t>𝐷𝐶 )^((</a:t>
              </a:r>
              <a:r>
                <a:rPr lang="en-US" sz="2000" i="0">
                  <a:latin typeface="Cambria Math" panose="02040503050406030204" pitchFamily="18" charset="0"/>
                </a:rPr>
                <a:t>𝑦+0.5) )</a:t>
              </a:r>
              <a:r>
                <a:rPr lang="en-US" sz="2000" b="0" i="0">
                  <a:latin typeface="Cambria Math" panose="02040503050406030204" pitchFamily="18" charset="0"/>
                </a:rPr>
                <a:t>  ∗𝑉(𝐸𝑞𝑢𝑖𝑡𝑦)〗</a:t>
              </a:r>
              <a:endParaRPr lang="en-US" sz="2000"/>
            </a:p>
          </xdr:txBody>
        </xdr:sp>
      </mc:Fallback>
    </mc:AlternateContent>
    <xdr:clientData/>
  </xdr:twoCellAnchor>
  <xdr:twoCellAnchor>
    <xdr:from>
      <xdr:col>9</xdr:col>
      <xdr:colOff>145782</xdr:colOff>
      <xdr:row>33</xdr:row>
      <xdr:rowOff>90020</xdr:rowOff>
    </xdr:from>
    <xdr:to>
      <xdr:col>13</xdr:col>
      <xdr:colOff>338041</xdr:colOff>
      <xdr:row>37</xdr:row>
      <xdr:rowOff>44308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8C896B62-84DD-D6B7-4F2D-AF57D4697668}"/>
            </a:ext>
          </a:extLst>
        </xdr:cNvPr>
        <xdr:cNvGrpSpPr/>
      </xdr:nvGrpSpPr>
      <xdr:grpSpPr>
        <a:xfrm>
          <a:off x="5632182" y="7186145"/>
          <a:ext cx="2630659" cy="716288"/>
          <a:chOff x="5491088" y="5988415"/>
          <a:chExt cx="2630659" cy="690888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TextBox 38">
                <a:extLst>
                  <a:ext uri="{FF2B5EF4-FFF2-40B4-BE49-F238E27FC236}">
                    <a16:creationId xmlns:a16="http://schemas.microsoft.com/office/drawing/2014/main" id="{B6956DED-829F-0558-5B56-BB262259309E}"/>
                  </a:ext>
                </a:extLst>
              </xdr:cNvPr>
              <xdr:cNvSpPr txBox="1"/>
            </xdr:nvSpPr>
            <xdr:spPr>
              <a:xfrm rot="5400000">
                <a:off x="6545962" y="5828778"/>
                <a:ext cx="450167" cy="769441"/>
              </a:xfrm>
              <a:prstGeom prst="rect">
                <a:avLst/>
              </a:prstGeom>
              <a:noFill/>
            </xdr:spPr>
            <xdr:txBody>
              <a:bodyPr wrap="square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4400" b="0" i="1">
                          <a:latin typeface="Cambria Math" panose="02040503050406030204" pitchFamily="18" charset="0"/>
                        </a:rPr>
                        <m:t>}</m:t>
                      </m:r>
                    </m:oMath>
                  </m:oMathPara>
                </a14:m>
                <a:endParaRPr lang="en-US"/>
              </a:p>
            </xdr:txBody>
          </xdr:sp>
        </mc:Choice>
        <mc:Fallback xmlns="">
          <xdr:sp macro="" textlink="">
            <xdr:nvSpPr>
              <xdr:cNvPr id="11" name="TextBox 38">
                <a:extLst>
                  <a:ext uri="{FF2B5EF4-FFF2-40B4-BE49-F238E27FC236}">
                    <a16:creationId xmlns:a16="http://schemas.microsoft.com/office/drawing/2014/main" id="{B6956DED-829F-0558-5B56-BB262259309E}"/>
                  </a:ext>
                </a:extLst>
              </xdr:cNvPr>
              <xdr:cNvSpPr txBox="1"/>
            </xdr:nvSpPr>
            <xdr:spPr>
              <a:xfrm rot="5400000">
                <a:off x="6545962" y="5828778"/>
                <a:ext cx="450167" cy="769441"/>
              </a:xfrm>
              <a:prstGeom prst="rect">
                <a:avLst/>
              </a:prstGeom>
              <a:noFill/>
            </xdr:spPr>
            <xdr:txBody>
              <a:bodyPr wrap="square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en-US" sz="4400" b="0" i="0">
                    <a:latin typeface="Cambria Math" panose="02040503050406030204" pitchFamily="18" charset="0"/>
                  </a:rPr>
                  <a:t>}</a:t>
                </a:r>
                <a:endParaRPr lang="en-US"/>
              </a:p>
            </xdr:txBody>
          </xdr:sp>
        </mc:Fallback>
      </mc:AlternateContent>
      <xdr:sp macro="" textlink="">
        <xdr:nvSpPr>
          <xdr:cNvPr id="12" name="TextBox 39">
            <a:extLst>
              <a:ext uri="{FF2B5EF4-FFF2-40B4-BE49-F238E27FC236}">
                <a16:creationId xmlns:a16="http://schemas.microsoft.com/office/drawing/2014/main" id="{0225E305-D2D5-BD9E-EABE-9BD72EE66DCF}"/>
              </a:ext>
            </a:extLst>
          </xdr:cNvPr>
          <xdr:cNvSpPr txBox="1"/>
        </xdr:nvSpPr>
        <xdr:spPr>
          <a:xfrm>
            <a:off x="5491088" y="6309971"/>
            <a:ext cx="2630659" cy="369332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Accumulated Equity Cost</a:t>
            </a:r>
          </a:p>
        </xdr:txBody>
      </xdr:sp>
    </xdr:grpSp>
    <xdr:clientData/>
  </xdr:twoCellAnchor>
  <xdr:twoCellAnchor>
    <xdr:from>
      <xdr:col>3</xdr:col>
      <xdr:colOff>542490</xdr:colOff>
      <xdr:row>33</xdr:row>
      <xdr:rowOff>90020</xdr:rowOff>
    </xdr:from>
    <xdr:to>
      <xdr:col>8</xdr:col>
      <xdr:colOff>125149</xdr:colOff>
      <xdr:row>38</xdr:row>
      <xdr:rowOff>137157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D9C5C29-A4E5-DFA6-7D7D-E0C9D74F3D8E}"/>
            </a:ext>
          </a:extLst>
        </xdr:cNvPr>
        <xdr:cNvGrpSpPr/>
      </xdr:nvGrpSpPr>
      <xdr:grpSpPr>
        <a:xfrm>
          <a:off x="2371290" y="7186145"/>
          <a:ext cx="2630659" cy="999637"/>
          <a:chOff x="5491088" y="5988415"/>
          <a:chExt cx="2630659" cy="967887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" name="TextBox 41">
                <a:extLst>
                  <a:ext uri="{FF2B5EF4-FFF2-40B4-BE49-F238E27FC236}">
                    <a16:creationId xmlns:a16="http://schemas.microsoft.com/office/drawing/2014/main" id="{528A7D54-1C2C-32C0-D788-D852017F188B}"/>
                  </a:ext>
                </a:extLst>
              </xdr:cNvPr>
              <xdr:cNvSpPr txBox="1"/>
            </xdr:nvSpPr>
            <xdr:spPr>
              <a:xfrm rot="5400000">
                <a:off x="6545962" y="5828778"/>
                <a:ext cx="450167" cy="769441"/>
              </a:xfrm>
              <a:prstGeom prst="rect">
                <a:avLst/>
              </a:prstGeom>
              <a:noFill/>
            </xdr:spPr>
            <xdr:txBody>
              <a:bodyPr wrap="square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4400" b="0" i="1">
                          <a:latin typeface="Cambria Math" panose="02040503050406030204" pitchFamily="18" charset="0"/>
                        </a:rPr>
                        <m:t>}</m:t>
                      </m:r>
                    </m:oMath>
                  </m:oMathPara>
                </a14:m>
                <a:endParaRPr lang="en-US"/>
              </a:p>
            </xdr:txBody>
          </xdr:sp>
        </mc:Choice>
        <mc:Fallback xmlns="">
          <xdr:sp macro="" textlink="">
            <xdr:nvSpPr>
              <xdr:cNvPr id="9" name="TextBox 41">
                <a:extLst>
                  <a:ext uri="{FF2B5EF4-FFF2-40B4-BE49-F238E27FC236}">
                    <a16:creationId xmlns:a16="http://schemas.microsoft.com/office/drawing/2014/main" id="{528A7D54-1C2C-32C0-D788-D852017F188B}"/>
                  </a:ext>
                </a:extLst>
              </xdr:cNvPr>
              <xdr:cNvSpPr txBox="1"/>
            </xdr:nvSpPr>
            <xdr:spPr>
              <a:xfrm rot="5400000">
                <a:off x="6545962" y="5828778"/>
                <a:ext cx="450167" cy="769441"/>
              </a:xfrm>
              <a:prstGeom prst="rect">
                <a:avLst/>
              </a:prstGeom>
              <a:noFill/>
            </xdr:spPr>
            <xdr:txBody>
              <a:bodyPr wrap="square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en-US" sz="4400" b="0" i="0">
                    <a:latin typeface="Cambria Math" panose="02040503050406030204" pitchFamily="18" charset="0"/>
                  </a:rPr>
                  <a:t>}</a:t>
                </a:r>
                <a:endParaRPr lang="en-US"/>
              </a:p>
            </xdr:txBody>
          </xdr:sp>
        </mc:Fallback>
      </mc:AlternateContent>
      <xdr:sp macro="" textlink="">
        <xdr:nvSpPr>
          <xdr:cNvPr id="10" name="TextBox 42">
            <a:extLst>
              <a:ext uri="{FF2B5EF4-FFF2-40B4-BE49-F238E27FC236}">
                <a16:creationId xmlns:a16="http://schemas.microsoft.com/office/drawing/2014/main" id="{E39B70EC-1A7E-DDD6-49BA-806451B6B8BE}"/>
              </a:ext>
            </a:extLst>
          </xdr:cNvPr>
          <xdr:cNvSpPr txBox="1"/>
        </xdr:nvSpPr>
        <xdr:spPr>
          <a:xfrm>
            <a:off x="5491088" y="6309971"/>
            <a:ext cx="2630659" cy="646331"/>
          </a:xfrm>
          <a:prstGeom prst="rect">
            <a:avLst/>
          </a:prstGeom>
          <a:noFill/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Accumulated Interest During Construction</a:t>
            </a:r>
          </a:p>
        </xdr:txBody>
      </xdr:sp>
    </xdr:grpSp>
    <xdr:clientData/>
  </xdr:twoCellAnchor>
  <xdr:twoCellAnchor>
    <xdr:from>
      <xdr:col>1</xdr:col>
      <xdr:colOff>31750</xdr:colOff>
      <xdr:row>6</xdr:row>
      <xdr:rowOff>165643</xdr:rowOff>
    </xdr:from>
    <xdr:to>
      <xdr:col>11</xdr:col>
      <xdr:colOff>43472</xdr:colOff>
      <xdr:row>8</xdr:row>
      <xdr:rowOff>26975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2">
              <a:extLst>
                <a:ext uri="{FF2B5EF4-FFF2-40B4-BE49-F238E27FC236}">
                  <a16:creationId xmlns:a16="http://schemas.microsoft.com/office/drawing/2014/main" id="{76D5B4F1-43FB-3BB0-1254-DE1B63089F92}"/>
                </a:ext>
              </a:extLst>
            </xdr:cNvPr>
            <xdr:cNvSpPr txBox="1"/>
          </xdr:nvSpPr>
          <xdr:spPr>
            <a:xfrm>
              <a:off x="641350" y="1314993"/>
              <a:ext cx="6107722" cy="369332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𝐹𝐶𝑅</m:t>
                    </m:r>
                    <m:r>
                      <a:rPr lang="en-US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𝐶𝑅𝐹</m:t>
                    </m:r>
                    <m:r>
                      <a:rPr lang="en-US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US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𝑃𝐹𝐹</m:t>
                    </m:r>
                    <m:r>
                      <a:rPr lang="en-US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𝐶𝐹𝐹</m:t>
                    </m:r>
                    <m:r>
                      <a:rPr lang="en-US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19" name="TextBox 2">
              <a:extLst>
                <a:ext uri="{FF2B5EF4-FFF2-40B4-BE49-F238E27FC236}">
                  <a16:creationId xmlns:a16="http://schemas.microsoft.com/office/drawing/2014/main" id="{76D5B4F1-43FB-3BB0-1254-DE1B63089F92}"/>
                </a:ext>
              </a:extLst>
            </xdr:cNvPr>
            <xdr:cNvSpPr txBox="1"/>
          </xdr:nvSpPr>
          <xdr:spPr>
            <a:xfrm>
              <a:off x="641350" y="1314993"/>
              <a:ext cx="6107722" cy="369332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𝐹𝐶𝑅=𝐶𝑅𝐹 ∗𝑃𝐹𝐹∗𝐶𝐹𝐹 </a:t>
              </a:r>
              <a:endParaRPr lang="en-US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20</xdr:row>
      <xdr:rowOff>0</xdr:rowOff>
    </xdr:from>
    <xdr:to>
      <xdr:col>6</xdr:col>
      <xdr:colOff>342900</xdr:colOff>
      <xdr:row>20</xdr:row>
      <xdr:rowOff>0</xdr:rowOff>
    </xdr:to>
    <xdr:graphicFrame macro="">
      <xdr:nvGraphicFramePr>
        <xdr:cNvPr id="2" name="Diagramm 2">
          <a:extLst>
            <a:ext uri="{FF2B5EF4-FFF2-40B4-BE49-F238E27FC236}">
              <a16:creationId xmlns:a16="http://schemas.microsoft.com/office/drawing/2014/main" id="{4144BB93-1A50-4093-B053-30C04955AE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447675</xdr:colOff>
      <xdr:row>34</xdr:row>
      <xdr:rowOff>0</xdr:rowOff>
    </xdr:from>
    <xdr:to>
      <xdr:col>6</xdr:col>
      <xdr:colOff>342900</xdr:colOff>
      <xdr:row>34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3F036FF-F075-47A9-B0B6-EFD5570D8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447675</xdr:colOff>
      <xdr:row>48</xdr:row>
      <xdr:rowOff>0</xdr:rowOff>
    </xdr:from>
    <xdr:to>
      <xdr:col>6</xdr:col>
      <xdr:colOff>342900</xdr:colOff>
      <xdr:row>48</xdr:row>
      <xdr:rowOff>0</xdr:rowOff>
    </xdr:to>
    <xdr:graphicFrame macro="">
      <xdr:nvGraphicFramePr>
        <xdr:cNvPr id="11" name="Diagramm 2">
          <a:extLst>
            <a:ext uri="{FF2B5EF4-FFF2-40B4-BE49-F238E27FC236}">
              <a16:creationId xmlns:a16="http://schemas.microsoft.com/office/drawing/2014/main" id="{2B744230-1288-4E82-82EC-723A29BBB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447675</xdr:colOff>
      <xdr:row>62</xdr:row>
      <xdr:rowOff>0</xdr:rowOff>
    </xdr:from>
    <xdr:to>
      <xdr:col>6</xdr:col>
      <xdr:colOff>342900</xdr:colOff>
      <xdr:row>62</xdr:row>
      <xdr:rowOff>0</xdr:rowOff>
    </xdr:to>
    <xdr:graphicFrame macro="">
      <xdr:nvGraphicFramePr>
        <xdr:cNvPr id="12" name="Diagramm 2">
          <a:extLst>
            <a:ext uri="{FF2B5EF4-FFF2-40B4-BE49-F238E27FC236}">
              <a16:creationId xmlns:a16="http://schemas.microsoft.com/office/drawing/2014/main" id="{D2DDA7C6-D815-4961-95B8-60FF16413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447675</xdr:colOff>
      <xdr:row>76</xdr:row>
      <xdr:rowOff>0</xdr:rowOff>
    </xdr:from>
    <xdr:to>
      <xdr:col>6</xdr:col>
      <xdr:colOff>342900</xdr:colOff>
      <xdr:row>76</xdr:row>
      <xdr:rowOff>0</xdr:rowOff>
    </xdr:to>
    <xdr:graphicFrame macro="">
      <xdr:nvGraphicFramePr>
        <xdr:cNvPr id="5" name="Diagramm 2">
          <a:extLst>
            <a:ext uri="{FF2B5EF4-FFF2-40B4-BE49-F238E27FC236}">
              <a16:creationId xmlns:a16="http://schemas.microsoft.com/office/drawing/2014/main" id="{4557CED2-CDB3-450F-88B1-924252D77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27</xdr:row>
      <xdr:rowOff>0</xdr:rowOff>
    </xdr:from>
    <xdr:to>
      <xdr:col>7</xdr:col>
      <xdr:colOff>0</xdr:colOff>
      <xdr:row>27</xdr:row>
      <xdr:rowOff>0</xdr:rowOff>
    </xdr:to>
    <xdr:graphicFrame macro="">
      <xdr:nvGraphicFramePr>
        <xdr:cNvPr id="2" name="Diagramm 2">
          <a:extLst>
            <a:ext uri="{FF2B5EF4-FFF2-40B4-BE49-F238E27FC236}">
              <a16:creationId xmlns:a16="http://schemas.microsoft.com/office/drawing/2014/main" id="{282D7649-7D52-4C33-A847-DC89A7172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447675</xdr:colOff>
      <xdr:row>24</xdr:row>
      <xdr:rowOff>0</xdr:rowOff>
    </xdr:from>
    <xdr:to>
      <xdr:col>6</xdr:col>
      <xdr:colOff>342900</xdr:colOff>
      <xdr:row>24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CB1732D-02FB-4B98-83C5-6388205EE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58</xdr:col>
      <xdr:colOff>161925</xdr:colOff>
      <xdr:row>15</xdr:row>
      <xdr:rowOff>88900</xdr:rowOff>
    </xdr:from>
    <xdr:to>
      <xdr:col>65</xdr:col>
      <xdr:colOff>466725</xdr:colOff>
      <xdr:row>29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18D991-3ABC-402E-8136-EC88FE26E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447675</xdr:colOff>
      <xdr:row>37</xdr:row>
      <xdr:rowOff>0</xdr:rowOff>
    </xdr:from>
    <xdr:to>
      <xdr:col>6</xdr:col>
      <xdr:colOff>342900</xdr:colOff>
      <xdr:row>37</xdr:row>
      <xdr:rowOff>0</xdr:rowOff>
    </xdr:to>
    <xdr:graphicFrame macro="">
      <xdr:nvGraphicFramePr>
        <xdr:cNvPr id="5" name="Diagramm 2">
          <a:extLst>
            <a:ext uri="{FF2B5EF4-FFF2-40B4-BE49-F238E27FC236}">
              <a16:creationId xmlns:a16="http://schemas.microsoft.com/office/drawing/2014/main" id="{5DEBC073-1E8D-4522-9701-761C0F4C1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447675</xdr:colOff>
      <xdr:row>51</xdr:row>
      <xdr:rowOff>0</xdr:rowOff>
    </xdr:from>
    <xdr:to>
      <xdr:col>6</xdr:col>
      <xdr:colOff>342900</xdr:colOff>
      <xdr:row>51</xdr:row>
      <xdr:rowOff>0</xdr:rowOff>
    </xdr:to>
    <xdr:graphicFrame macro="">
      <xdr:nvGraphicFramePr>
        <xdr:cNvPr id="10" name="Diagramm 2">
          <a:extLst>
            <a:ext uri="{FF2B5EF4-FFF2-40B4-BE49-F238E27FC236}">
              <a16:creationId xmlns:a16="http://schemas.microsoft.com/office/drawing/2014/main" id="{37D79FE3-7137-41D2-9558-73C0AF913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447675</xdr:colOff>
      <xdr:row>50</xdr:row>
      <xdr:rowOff>0</xdr:rowOff>
    </xdr:from>
    <xdr:to>
      <xdr:col>6</xdr:col>
      <xdr:colOff>342900</xdr:colOff>
      <xdr:row>50</xdr:row>
      <xdr:rowOff>0</xdr:rowOff>
    </xdr:to>
    <xdr:graphicFrame macro="">
      <xdr:nvGraphicFramePr>
        <xdr:cNvPr id="11" name="Diagramm 2">
          <a:extLst>
            <a:ext uri="{FF2B5EF4-FFF2-40B4-BE49-F238E27FC236}">
              <a16:creationId xmlns:a16="http://schemas.microsoft.com/office/drawing/2014/main" id="{D00A55BA-041F-4802-A69B-04D6D0E79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447675</xdr:colOff>
      <xdr:row>64</xdr:row>
      <xdr:rowOff>0</xdr:rowOff>
    </xdr:from>
    <xdr:to>
      <xdr:col>6</xdr:col>
      <xdr:colOff>342900</xdr:colOff>
      <xdr:row>64</xdr:row>
      <xdr:rowOff>0</xdr:rowOff>
    </xdr:to>
    <xdr:graphicFrame macro="">
      <xdr:nvGraphicFramePr>
        <xdr:cNvPr id="12" name="Diagramm 2">
          <a:extLst>
            <a:ext uri="{FF2B5EF4-FFF2-40B4-BE49-F238E27FC236}">
              <a16:creationId xmlns:a16="http://schemas.microsoft.com/office/drawing/2014/main" id="{F75E61F1-2249-4720-B19D-08B48D3D8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447675</xdr:colOff>
      <xdr:row>63</xdr:row>
      <xdr:rowOff>0</xdr:rowOff>
    </xdr:from>
    <xdr:to>
      <xdr:col>6</xdr:col>
      <xdr:colOff>342900</xdr:colOff>
      <xdr:row>63</xdr:row>
      <xdr:rowOff>0</xdr:rowOff>
    </xdr:to>
    <xdr:graphicFrame macro="">
      <xdr:nvGraphicFramePr>
        <xdr:cNvPr id="13" name="Diagramm 2">
          <a:extLst>
            <a:ext uri="{FF2B5EF4-FFF2-40B4-BE49-F238E27FC236}">
              <a16:creationId xmlns:a16="http://schemas.microsoft.com/office/drawing/2014/main" id="{0F1C947C-AA65-4A70-B5A9-F276D36E1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as Abuzayed" id="{5B74C0D9-1B00-4795-A916-6058AACDFAB3}" userId="S::abuzayeda@jbs.cam.ac.uk::673648da-54d7-4caa-be12-fc584f24170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8" dT="2025-06-26T16:09:53.53" personId="{5B74C0D9-1B00-4795-A916-6058AACDFAB3}" id="{354AA874-D1AE-426F-9699-CBA3B513A9F1}">
    <text>Should this be included or zero? Ideally zero!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W29" dT="2025-06-26T16:09:53.53" personId="{5B74C0D9-1B00-4795-A916-6058AACDFAB3}" id="{5D857C4C-14A9-4C67-AA78-C3C778FDEC98}">
    <text>Should this be included or zero? Ideally zero!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W29" dT="2025-06-26T16:09:53.53" personId="{5B74C0D9-1B00-4795-A916-6058AACDFAB3}" id="{0A4E647F-6713-44C1-BA56-59DC9D1C1D29}">
    <text>Should this be included or zero? Ideally zero!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7" dT="2025-06-10T11:09:24.55" personId="{5B74C0D9-1B00-4795-A916-6058AACDFAB3}" id="{16F9FF05-F8A9-46C7-AEE8-93443328049E}">
    <text>Convert equity to real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www.ise.fraunhofer.de/content/dam/ise/en/documents/publications/studies/EN2024_ISE_Study_Levelized_Cost_of_Electricity_Renewable_Energy_Technologies.pdf" TargetMode="External"/><Relationship Id="rId4" Type="http://schemas.microsoft.com/office/2017/10/relationships/threadedComment" Target="../threadedComments/threadedComment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A69D-8EBD-40B8-AD3C-F7977FD476F2}">
  <dimension ref="A1:K18"/>
  <sheetViews>
    <sheetView workbookViewId="0">
      <selection sqref="A1:K18"/>
    </sheetView>
  </sheetViews>
  <sheetFormatPr defaultRowHeight="15" x14ac:dyDescent="0.25"/>
  <sheetData>
    <row r="1" spans="1:11" ht="14.65" customHeight="1" x14ac:dyDescent="0.25">
      <c r="A1" s="96" t="s">
        <v>326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</row>
    <row r="3" spans="1:1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</row>
    <row r="4" spans="1:11" x14ac:dyDescent="0.25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</row>
    <row r="5" spans="1:11" x14ac:dyDescent="0.25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</row>
    <row r="7" spans="1:11" x14ac:dyDescent="0.25">
      <c r="A7" s="96"/>
      <c r="B7" s="96"/>
      <c r="C7" s="96"/>
      <c r="D7" s="96"/>
      <c r="E7" s="96"/>
      <c r="F7" s="96"/>
      <c r="G7" s="96"/>
      <c r="H7" s="96"/>
      <c r="I7" s="96"/>
      <c r="J7" s="96"/>
      <c r="K7" s="96"/>
    </row>
    <row r="8" spans="1:11" x14ac:dyDescent="0.25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</row>
    <row r="9" spans="1:11" x14ac:dyDescent="0.25">
      <c r="A9" s="96"/>
      <c r="B9" s="96"/>
      <c r="C9" s="96"/>
      <c r="D9" s="96"/>
      <c r="E9" s="96"/>
      <c r="F9" s="96"/>
      <c r="G9" s="96"/>
      <c r="H9" s="96"/>
      <c r="I9" s="96"/>
      <c r="J9" s="96"/>
      <c r="K9" s="96"/>
    </row>
    <row r="10" spans="1:11" x14ac:dyDescent="0.25">
      <c r="A10" s="96"/>
      <c r="B10" s="96"/>
      <c r="C10" s="96"/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96"/>
      <c r="B12" s="96"/>
      <c r="C12" s="96"/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96"/>
      <c r="B13" s="96"/>
      <c r="C13" s="96"/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6"/>
      <c r="B14" s="96"/>
      <c r="C14" s="96"/>
      <c r="D14" s="96"/>
      <c r="E14" s="96"/>
      <c r="F14" s="96"/>
      <c r="G14" s="96"/>
      <c r="H14" s="96"/>
      <c r="I14" s="96"/>
      <c r="J14" s="96"/>
      <c r="K14" s="96"/>
    </row>
    <row r="15" spans="1:11" x14ac:dyDescent="0.25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</row>
    <row r="16" spans="1:11" x14ac:dyDescent="0.25">
      <c r="A16" s="96"/>
      <c r="B16" s="96"/>
      <c r="C16" s="96"/>
      <c r="D16" s="96"/>
      <c r="E16" s="96"/>
      <c r="F16" s="96"/>
      <c r="G16" s="96"/>
      <c r="H16" s="96"/>
      <c r="I16" s="96"/>
      <c r="J16" s="96"/>
      <c r="K16" s="96"/>
    </row>
    <row r="17" spans="1:11" x14ac:dyDescent="0.25">
      <c r="A17" s="96"/>
      <c r="B17" s="96"/>
      <c r="C17" s="96"/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96"/>
      <c r="B18" s="96"/>
      <c r="C18" s="96"/>
      <c r="D18" s="96"/>
      <c r="E18" s="96"/>
      <c r="F18" s="96"/>
      <c r="G18" s="96"/>
      <c r="H18" s="96"/>
      <c r="I18" s="96"/>
      <c r="J18" s="96"/>
      <c r="K18" s="96"/>
    </row>
  </sheetData>
  <mergeCells count="1">
    <mergeCell ref="A1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B453-FCD2-4D6D-8AB7-EEC7C9193958}">
  <sheetPr>
    <tabColor rgb="FFFF0000"/>
  </sheetPr>
  <dimension ref="A1:Z31"/>
  <sheetViews>
    <sheetView zoomScale="85" zoomScaleNormal="85" workbookViewId="0">
      <selection activeCell="F1" sqref="F1"/>
    </sheetView>
  </sheetViews>
  <sheetFormatPr defaultRowHeight="15" x14ac:dyDescent="0.25"/>
  <cols>
    <col min="1" max="1" width="18.5703125" customWidth="1"/>
    <col min="2" max="2" width="20.85546875" customWidth="1"/>
    <col min="3" max="4" width="11.42578125" customWidth="1"/>
    <col min="5" max="5" width="9.5703125" customWidth="1"/>
    <col min="6" max="6" width="8.7109375" customWidth="1"/>
    <col min="7" max="7" width="9.28515625" customWidth="1"/>
    <col min="8" max="8" width="9.42578125" customWidth="1"/>
    <col min="9" max="9" width="12.140625" customWidth="1"/>
    <col min="10" max="11" width="12.140625" bestFit="1" customWidth="1"/>
    <col min="12" max="12" width="12" bestFit="1" customWidth="1"/>
    <col min="13" max="13" width="12" customWidth="1"/>
    <col min="14" max="16" width="12.140625" bestFit="1" customWidth="1"/>
    <col min="21" max="21" width="22.140625" bestFit="1" customWidth="1"/>
    <col min="22" max="22" width="9.28515625" bestFit="1" customWidth="1"/>
  </cols>
  <sheetData>
    <row r="1" spans="1:26" ht="30" x14ac:dyDescent="0.25">
      <c r="A1" s="76" t="s">
        <v>43</v>
      </c>
      <c r="B1" s="76" t="s">
        <v>79</v>
      </c>
      <c r="C1" s="84" t="s">
        <v>210</v>
      </c>
      <c r="D1" s="84" t="s">
        <v>275</v>
      </c>
      <c r="E1" s="84" t="s">
        <v>0</v>
      </c>
      <c r="F1" s="79" t="s">
        <v>41</v>
      </c>
      <c r="G1" s="76" t="s">
        <v>1</v>
      </c>
      <c r="H1" s="76" t="s">
        <v>2</v>
      </c>
      <c r="I1" s="76" t="s">
        <v>262</v>
      </c>
      <c r="J1" s="76" t="s">
        <v>44</v>
      </c>
      <c r="K1" s="76" t="s">
        <v>48</v>
      </c>
      <c r="L1" s="76" t="s">
        <v>47</v>
      </c>
      <c r="M1" s="76" t="s">
        <v>175</v>
      </c>
      <c r="N1" s="76" t="s">
        <v>3</v>
      </c>
      <c r="O1" s="76" t="s">
        <v>4</v>
      </c>
      <c r="P1" s="76" t="s">
        <v>49</v>
      </c>
    </row>
    <row r="2" spans="1:26" x14ac:dyDescent="0.25">
      <c r="A2" s="76" t="s">
        <v>308</v>
      </c>
      <c r="B2" s="76" t="s">
        <v>231</v>
      </c>
      <c r="C2" s="76" t="s">
        <v>212</v>
      </c>
      <c r="D2" s="76" t="s">
        <v>276</v>
      </c>
      <c r="E2" s="80">
        <f>$V$5</f>
        <v>49.48297775760323</v>
      </c>
      <c r="F2" s="81">
        <f>Inflation_Adjustment!$H$20</f>
        <v>9.5762853184550778</v>
      </c>
      <c r="G2" s="81">
        <f>Inflation_Adjustment!$I$20</f>
        <v>24.259762861268673</v>
      </c>
      <c r="H2" s="81">
        <f>Inflation_Adjustment!$J$20</f>
        <v>32.750679862712708</v>
      </c>
      <c r="I2" s="81">
        <f>Inflation_Adjustment!$M$20</f>
        <v>8.472296720355887</v>
      </c>
      <c r="J2" s="76">
        <v>0</v>
      </c>
      <c r="K2" s="76">
        <f t="shared" ref="K2:K31" si="0">SUM(E2:J2)/0.63</f>
        <v>197.68571828634217</v>
      </c>
      <c r="L2" s="76">
        <v>0</v>
      </c>
      <c r="M2" s="76">
        <f>L2+K2</f>
        <v>197.68571828634217</v>
      </c>
      <c r="N2" s="76">
        <f ca="1">LCOS!$BB$3</f>
        <v>14.558037123312342</v>
      </c>
      <c r="O2" s="76">
        <f ca="1">New_built_LCOE!$D$23</f>
        <v>98.836192699193518</v>
      </c>
      <c r="P2" s="76">
        <f ca="1">M2+N2+O2</f>
        <v>311.07994810884804</v>
      </c>
      <c r="U2" t="s">
        <v>156</v>
      </c>
      <c r="V2">
        <v>0.187</v>
      </c>
      <c r="W2" t="s">
        <v>157</v>
      </c>
    </row>
    <row r="3" spans="1:26" x14ac:dyDescent="0.25">
      <c r="A3" s="76" t="s">
        <v>308</v>
      </c>
      <c r="B3" s="76" t="s">
        <v>231</v>
      </c>
      <c r="C3" s="76" t="s">
        <v>213</v>
      </c>
      <c r="D3" s="76" t="s">
        <v>276</v>
      </c>
      <c r="E3" s="80">
        <f t="shared" ref="E3:E13" si="1">$V$5</f>
        <v>49.48297775760323</v>
      </c>
      <c r="F3" s="81">
        <f>Inflation_Adjustment!$H$20</f>
        <v>9.5762853184550778</v>
      </c>
      <c r="G3" s="81">
        <f>Inflation_Adjustment!$I$20</f>
        <v>24.259762861268673</v>
      </c>
      <c r="H3" s="81">
        <f>Inflation_Adjustment!$K$20</f>
        <v>33.963668005776142</v>
      </c>
      <c r="I3" s="81">
        <f>Inflation_Adjustment!$M$20</f>
        <v>8.472296720355887</v>
      </c>
      <c r="J3" s="76">
        <v>0</v>
      </c>
      <c r="K3" s="76">
        <f t="shared" si="0"/>
        <v>199.61109629120477</v>
      </c>
      <c r="L3" s="76">
        <v>0</v>
      </c>
      <c r="M3" s="76">
        <f>L3+K3</f>
        <v>199.61109629120477</v>
      </c>
      <c r="N3" s="76">
        <f ca="1">LCOS!$BB$3</f>
        <v>14.558037123312342</v>
      </c>
      <c r="O3" s="76">
        <f ca="1">New_built_LCOE!$D$23</f>
        <v>98.836192699193518</v>
      </c>
      <c r="P3" s="76">
        <f t="shared" ref="P3:P31" ca="1" si="2">M3+N3+O3</f>
        <v>313.00532611371062</v>
      </c>
      <c r="U3" t="s">
        <v>155</v>
      </c>
      <c r="V3">
        <v>100</v>
      </c>
      <c r="W3">
        <f>V3+($Z$3-$V$3)/4</f>
        <v>175</v>
      </c>
      <c r="X3">
        <f t="shared" ref="X3:Y3" si="3">W3+($Z$3-$V$3)/4</f>
        <v>250</v>
      </c>
      <c r="Y3">
        <f t="shared" si="3"/>
        <v>325</v>
      </c>
      <c r="Z3">
        <v>400</v>
      </c>
    </row>
    <row r="4" spans="1:26" x14ac:dyDescent="0.25">
      <c r="A4" s="76" t="s">
        <v>308</v>
      </c>
      <c r="B4" s="76" t="s">
        <v>231</v>
      </c>
      <c r="C4" s="76" t="s">
        <v>211</v>
      </c>
      <c r="D4" s="76" t="s">
        <v>276</v>
      </c>
      <c r="E4" s="80">
        <f t="shared" si="1"/>
        <v>49.48297775760323</v>
      </c>
      <c r="F4" s="81">
        <f>Inflation_Adjustment!$H$20</f>
        <v>9.5762853184550778</v>
      </c>
      <c r="G4" s="81">
        <f>Inflation_Adjustment!$I$20</f>
        <v>24.259762861268673</v>
      </c>
      <c r="H4" s="81">
        <f>Inflation_Adjustment!$L$20</f>
        <v>22.717048736549888</v>
      </c>
      <c r="I4" s="81">
        <f>Inflation_Adjustment!$M$20</f>
        <v>8.472296720355887</v>
      </c>
      <c r="J4" s="76">
        <v>0</v>
      </c>
      <c r="K4" s="76">
        <f t="shared" si="0"/>
        <v>181.75931967338533</v>
      </c>
      <c r="L4" s="76">
        <v>0</v>
      </c>
      <c r="M4" s="76">
        <f t="shared" ref="M4:M31" si="4">L4+K4</f>
        <v>181.75931967338533</v>
      </c>
      <c r="N4" s="76">
        <f ca="1">LCOS!$BB$3</f>
        <v>14.558037123312342</v>
      </c>
      <c r="O4" s="76">
        <f ca="1">New_built_LCOE!$D$23</f>
        <v>98.836192699193518</v>
      </c>
      <c r="P4" s="76">
        <f t="shared" ca="1" si="2"/>
        <v>295.15354949589118</v>
      </c>
    </row>
    <row r="5" spans="1:26" x14ac:dyDescent="0.25">
      <c r="A5" s="76" t="s">
        <v>308</v>
      </c>
      <c r="B5" s="76" t="s">
        <v>232</v>
      </c>
      <c r="C5" s="76" t="s">
        <v>212</v>
      </c>
      <c r="D5" s="76" t="s">
        <v>276</v>
      </c>
      <c r="E5" s="80">
        <f t="shared" si="1"/>
        <v>49.48297775760323</v>
      </c>
      <c r="F5" s="81">
        <f>Inflation_Adjustment!$H$20</f>
        <v>9.5762853184550778</v>
      </c>
      <c r="G5" s="81">
        <f>Inflation_Adjustment!$I$20</f>
        <v>24.259762861268673</v>
      </c>
      <c r="H5" s="81">
        <f>Inflation_Adjustment!$J$20</f>
        <v>32.750679862712708</v>
      </c>
      <c r="I5" s="81">
        <f>Inflation_Adjustment!$M$20</f>
        <v>8.472296720355887</v>
      </c>
      <c r="J5" s="76">
        <v>0</v>
      </c>
      <c r="K5" s="76">
        <f t="shared" si="0"/>
        <v>197.68571828634217</v>
      </c>
      <c r="L5" s="76">
        <v>0</v>
      </c>
      <c r="M5" s="76">
        <f t="shared" si="4"/>
        <v>197.68571828634217</v>
      </c>
      <c r="N5" s="76">
        <f ca="1">LCOS!$BB$4</f>
        <v>4.2947522135153555</v>
      </c>
      <c r="O5" s="76">
        <f ca="1">New_built_LCOE!$D$23</f>
        <v>98.836192699193518</v>
      </c>
      <c r="P5" s="76">
        <f t="shared" ca="1" si="2"/>
        <v>300.81666319905105</v>
      </c>
      <c r="U5" t="s">
        <v>158</v>
      </c>
      <c r="V5" s="26">
        <f>Inflation_Adjustment!F20</f>
        <v>49.48297775760323</v>
      </c>
      <c r="W5" t="s">
        <v>209</v>
      </c>
    </row>
    <row r="6" spans="1:26" x14ac:dyDescent="0.25">
      <c r="A6" s="76" t="s">
        <v>308</v>
      </c>
      <c r="B6" s="76" t="s">
        <v>232</v>
      </c>
      <c r="C6" s="76" t="s">
        <v>213</v>
      </c>
      <c r="D6" s="76" t="s">
        <v>276</v>
      </c>
      <c r="E6" s="80">
        <f t="shared" si="1"/>
        <v>49.48297775760323</v>
      </c>
      <c r="F6" s="81">
        <f>Inflation_Adjustment!$H$20</f>
        <v>9.5762853184550778</v>
      </c>
      <c r="G6" s="81">
        <f>Inflation_Adjustment!$I$20</f>
        <v>24.259762861268673</v>
      </c>
      <c r="H6" s="81">
        <f>Inflation_Adjustment!$K$20</f>
        <v>33.963668005776142</v>
      </c>
      <c r="I6" s="81">
        <f>Inflation_Adjustment!$M$20</f>
        <v>8.472296720355887</v>
      </c>
      <c r="J6" s="76">
        <v>0</v>
      </c>
      <c r="K6" s="76">
        <f t="shared" si="0"/>
        <v>199.61109629120477</v>
      </c>
      <c r="L6" s="76">
        <v>0</v>
      </c>
      <c r="M6" s="76">
        <f t="shared" si="4"/>
        <v>199.61109629120477</v>
      </c>
      <c r="N6" s="76">
        <f ca="1">LCOS!$BB$4</f>
        <v>4.2947522135153555</v>
      </c>
      <c r="O6" s="76">
        <f ca="1">New_built_LCOE!$D$23</f>
        <v>98.836192699193518</v>
      </c>
      <c r="P6" s="76">
        <f t="shared" ca="1" si="2"/>
        <v>302.74204120391363</v>
      </c>
    </row>
    <row r="7" spans="1:26" x14ac:dyDescent="0.25">
      <c r="A7" s="76" t="s">
        <v>308</v>
      </c>
      <c r="B7" s="76" t="s">
        <v>232</v>
      </c>
      <c r="C7" s="76" t="s">
        <v>211</v>
      </c>
      <c r="D7" s="76" t="s">
        <v>276</v>
      </c>
      <c r="E7" s="80">
        <f t="shared" si="1"/>
        <v>49.48297775760323</v>
      </c>
      <c r="F7" s="81">
        <f>Inflation_Adjustment!$H$20</f>
        <v>9.5762853184550778</v>
      </c>
      <c r="G7" s="81">
        <f>Inflation_Adjustment!$I$20</f>
        <v>24.259762861268673</v>
      </c>
      <c r="H7" s="81">
        <f>Inflation_Adjustment!$L$20</f>
        <v>22.717048736549888</v>
      </c>
      <c r="I7" s="81">
        <f>Inflation_Adjustment!$M$20</f>
        <v>8.472296720355887</v>
      </c>
      <c r="J7" s="76">
        <v>0</v>
      </c>
      <c r="K7" s="76">
        <f t="shared" si="0"/>
        <v>181.75931967338533</v>
      </c>
      <c r="L7" s="76">
        <v>0</v>
      </c>
      <c r="M7" s="76">
        <f t="shared" si="4"/>
        <v>181.75931967338533</v>
      </c>
      <c r="N7" s="76">
        <f ca="1">LCOS!$BB$4</f>
        <v>4.2947522135153555</v>
      </c>
      <c r="O7" s="76">
        <f ca="1">New_built_LCOE!$D$23</f>
        <v>98.836192699193518</v>
      </c>
      <c r="P7" s="76">
        <f t="shared" ca="1" si="2"/>
        <v>284.89026458609419</v>
      </c>
    </row>
    <row r="8" spans="1:26" x14ac:dyDescent="0.25">
      <c r="A8" s="76" t="s">
        <v>309</v>
      </c>
      <c r="B8" s="76" t="s">
        <v>233</v>
      </c>
      <c r="C8" s="76" t="s">
        <v>212</v>
      </c>
      <c r="D8" s="76" t="s">
        <v>277</v>
      </c>
      <c r="E8" s="80">
        <f t="shared" si="1"/>
        <v>49.48297775760323</v>
      </c>
      <c r="F8" s="81">
        <f>Inflation_Adjustment!$P$20</f>
        <v>34.001128933261022</v>
      </c>
      <c r="G8" s="81">
        <f>Inflation_Adjustment!$Q$20</f>
        <v>9.0789215870812345</v>
      </c>
      <c r="H8" s="81">
        <f>Inflation_Adjustment!$R$20</f>
        <v>24.023062756710861</v>
      </c>
      <c r="I8" s="81">
        <v>0</v>
      </c>
      <c r="J8" s="80">
        <f>SUM(E8:I8)*0.2</f>
        <v>23.317218206931273</v>
      </c>
      <c r="K8" s="76">
        <f t="shared" si="0"/>
        <v>222.06874482791687</v>
      </c>
      <c r="L8" s="76">
        <v>0</v>
      </c>
      <c r="M8" s="76">
        <f t="shared" si="4"/>
        <v>222.06874482791687</v>
      </c>
      <c r="N8" s="76">
        <f ca="1">LCOS!$BB$5</f>
        <v>2.1034831989151463</v>
      </c>
      <c r="O8" s="76">
        <f ca="1">New_built_LCOE!$D$23</f>
        <v>98.836192699193518</v>
      </c>
      <c r="P8" s="76">
        <f t="shared" ca="1" si="2"/>
        <v>323.00842072602552</v>
      </c>
    </row>
    <row r="9" spans="1:26" x14ac:dyDescent="0.25">
      <c r="A9" s="76" t="s">
        <v>309</v>
      </c>
      <c r="B9" s="76" t="s">
        <v>233</v>
      </c>
      <c r="C9" s="76" t="s">
        <v>213</v>
      </c>
      <c r="D9" s="76" t="s">
        <v>277</v>
      </c>
      <c r="E9" s="80">
        <f t="shared" si="1"/>
        <v>49.48297775760323</v>
      </c>
      <c r="F9" s="81">
        <f>Inflation_Adjustment!$P$20</f>
        <v>34.001128933261022</v>
      </c>
      <c r="G9" s="81">
        <f>Inflation_Adjustment!$Q$20</f>
        <v>9.0789215870812345</v>
      </c>
      <c r="H9" s="81">
        <f>Inflation_Adjustment!$S$20</f>
        <v>7.6431075995047904</v>
      </c>
      <c r="I9" s="81">
        <v>0</v>
      </c>
      <c r="J9" s="80">
        <f t="shared" ref="J9:J10" si="5">SUM(E9:I9)*0.2</f>
        <v>20.041227175490057</v>
      </c>
      <c r="K9" s="76">
        <f t="shared" si="0"/>
        <v>190.86883024276241</v>
      </c>
      <c r="L9" s="76">
        <v>0</v>
      </c>
      <c r="M9" s="76">
        <f t="shared" si="4"/>
        <v>190.86883024276241</v>
      </c>
      <c r="N9" s="76">
        <f ca="1">LCOS!$BB$5</f>
        <v>2.1034831989151463</v>
      </c>
      <c r="O9" s="76">
        <f ca="1">New_built_LCOE!$D$23</f>
        <v>98.836192699193518</v>
      </c>
      <c r="P9" s="76">
        <f t="shared" ca="1" si="2"/>
        <v>291.80850614087109</v>
      </c>
    </row>
    <row r="10" spans="1:26" x14ac:dyDescent="0.25">
      <c r="A10" s="76" t="s">
        <v>309</v>
      </c>
      <c r="B10" s="76" t="s">
        <v>233</v>
      </c>
      <c r="C10" s="76" t="s">
        <v>211</v>
      </c>
      <c r="D10" s="76" t="s">
        <v>277</v>
      </c>
      <c r="E10" s="80">
        <f t="shared" si="1"/>
        <v>49.48297775760323</v>
      </c>
      <c r="F10" s="81">
        <f>Inflation_Adjustment!$P$20</f>
        <v>34.001128933261022</v>
      </c>
      <c r="G10" s="81">
        <f>Inflation_Adjustment!$Q$20</f>
        <v>9.0789215870812345</v>
      </c>
      <c r="H10" s="81">
        <f>Inflation_Adjustment!$T$20</f>
        <v>3.440456740136105</v>
      </c>
      <c r="I10" s="81">
        <v>0</v>
      </c>
      <c r="J10" s="80">
        <f t="shared" si="5"/>
        <v>19.20069700361632</v>
      </c>
      <c r="K10" s="76">
        <f t="shared" si="0"/>
        <v>182.86378098682206</v>
      </c>
      <c r="L10" s="76">
        <v>0</v>
      </c>
      <c r="M10" s="76">
        <f t="shared" si="4"/>
        <v>182.86378098682206</v>
      </c>
      <c r="N10" s="76">
        <f ca="1">LCOS!$BB$5</f>
        <v>2.1034831989151463</v>
      </c>
      <c r="O10" s="76">
        <f ca="1">New_built_LCOE!$D$23</f>
        <v>98.836192699193518</v>
      </c>
      <c r="P10" s="76">
        <f t="shared" ca="1" si="2"/>
        <v>283.80345688493071</v>
      </c>
    </row>
    <row r="11" spans="1:26" x14ac:dyDescent="0.25">
      <c r="A11" s="76" t="s">
        <v>310</v>
      </c>
      <c r="B11" s="76" t="s">
        <v>229</v>
      </c>
      <c r="C11" s="76" t="s">
        <v>212</v>
      </c>
      <c r="D11" s="76" t="s">
        <v>277</v>
      </c>
      <c r="E11" s="80">
        <f t="shared" si="1"/>
        <v>49.48297775760323</v>
      </c>
      <c r="F11" s="81">
        <f>Inflation_Adjustment!$P$20</f>
        <v>34.001128933261022</v>
      </c>
      <c r="G11" s="81">
        <f>Inflation_Adjustment!$Q$20</f>
        <v>9.0789215870812345</v>
      </c>
      <c r="H11" s="81">
        <f>Inflation_Adjustment!$R$20</f>
        <v>24.023062756710861</v>
      </c>
      <c r="I11" s="81">
        <v>0</v>
      </c>
      <c r="J11" s="76">
        <v>0</v>
      </c>
      <c r="K11" s="76">
        <f t="shared" si="0"/>
        <v>185.05728735659739</v>
      </c>
      <c r="L11" s="76">
        <v>0</v>
      </c>
      <c r="M11" s="76">
        <f t="shared" si="4"/>
        <v>185.05728735659739</v>
      </c>
      <c r="N11" s="76">
        <f ca="1">LCOS!$BB$5</f>
        <v>2.1034831989151463</v>
      </c>
      <c r="O11" s="76">
        <f ca="1">New_built_LCOE!$D$37</f>
        <v>101.38297790196927</v>
      </c>
      <c r="P11" s="76">
        <f t="shared" ca="1" si="2"/>
        <v>288.5437484574818</v>
      </c>
    </row>
    <row r="12" spans="1:26" x14ac:dyDescent="0.25">
      <c r="A12" s="76" t="s">
        <v>310</v>
      </c>
      <c r="B12" s="76" t="s">
        <v>229</v>
      </c>
      <c r="C12" s="76" t="s">
        <v>213</v>
      </c>
      <c r="D12" s="76" t="s">
        <v>277</v>
      </c>
      <c r="E12" s="80">
        <f t="shared" si="1"/>
        <v>49.48297775760323</v>
      </c>
      <c r="F12" s="81">
        <f>Inflation_Adjustment!$P$20</f>
        <v>34.001128933261022</v>
      </c>
      <c r="G12" s="81">
        <f>Inflation_Adjustment!$Q$20</f>
        <v>9.0789215870812345</v>
      </c>
      <c r="H12" s="81">
        <f>Inflation_Adjustment!$S$20</f>
        <v>7.6431075995047904</v>
      </c>
      <c r="I12" s="81">
        <v>0</v>
      </c>
      <c r="J12" s="76">
        <v>0</v>
      </c>
      <c r="K12" s="76">
        <f t="shared" si="0"/>
        <v>159.05735853563536</v>
      </c>
      <c r="L12" s="76">
        <v>0</v>
      </c>
      <c r="M12" s="76">
        <f t="shared" si="4"/>
        <v>159.05735853563536</v>
      </c>
      <c r="N12" s="76">
        <f ca="1">LCOS!$BB$5</f>
        <v>2.1034831989151463</v>
      </c>
      <c r="O12" s="76">
        <f ca="1">New_built_LCOE!$D$37</f>
        <v>101.38297790196927</v>
      </c>
      <c r="P12" s="76">
        <f t="shared" ca="1" si="2"/>
        <v>262.54381963651974</v>
      </c>
    </row>
    <row r="13" spans="1:26" x14ac:dyDescent="0.25">
      <c r="A13" s="76" t="s">
        <v>310</v>
      </c>
      <c r="B13" s="76" t="s">
        <v>229</v>
      </c>
      <c r="C13" s="76" t="s">
        <v>211</v>
      </c>
      <c r="D13" s="76" t="s">
        <v>277</v>
      </c>
      <c r="E13" s="80">
        <f t="shared" si="1"/>
        <v>49.48297775760323</v>
      </c>
      <c r="F13" s="81">
        <f>Inflation_Adjustment!$P$20</f>
        <v>34.001128933261022</v>
      </c>
      <c r="G13" s="81">
        <f>Inflation_Adjustment!$Q$20</f>
        <v>9.0789215870812345</v>
      </c>
      <c r="H13" s="81">
        <f>Inflation_Adjustment!$T$20</f>
        <v>3.440456740136105</v>
      </c>
      <c r="I13" s="81">
        <v>0</v>
      </c>
      <c r="J13" s="76">
        <v>0</v>
      </c>
      <c r="K13" s="76">
        <f t="shared" si="0"/>
        <v>152.38648415568505</v>
      </c>
      <c r="L13" s="76">
        <v>0</v>
      </c>
      <c r="M13" s="76">
        <f t="shared" si="4"/>
        <v>152.38648415568505</v>
      </c>
      <c r="N13" s="76">
        <f ca="1">LCOS!$BB$5</f>
        <v>2.1034831989151463</v>
      </c>
      <c r="O13" s="76">
        <f ca="1">New_built_LCOE!$D$37</f>
        <v>101.38297790196927</v>
      </c>
      <c r="P13" s="76">
        <f t="shared" ca="1" si="2"/>
        <v>255.87294525656947</v>
      </c>
    </row>
    <row r="14" spans="1:26" x14ac:dyDescent="0.25">
      <c r="A14" s="76" t="s">
        <v>305</v>
      </c>
      <c r="B14" s="76" t="s">
        <v>231</v>
      </c>
      <c r="C14" s="76" t="s">
        <v>212</v>
      </c>
      <c r="D14" s="76" t="s">
        <v>276</v>
      </c>
      <c r="E14" s="80">
        <f>Inflation_Adjustment!$G$20-$F$14</f>
        <v>86.100372678710897</v>
      </c>
      <c r="F14" s="81">
        <f>Inflation_Adjustment!$H$20</f>
        <v>9.5762853184550778</v>
      </c>
      <c r="G14" s="81">
        <v>0</v>
      </c>
      <c r="H14" s="81">
        <f>Inflation_Adjustment!$J$20</f>
        <v>32.750679862712708</v>
      </c>
      <c r="I14" s="81">
        <f>Inflation_Adjustment!$M$20</f>
        <v>8.472296720355887</v>
      </c>
      <c r="J14" s="76">
        <v>0</v>
      </c>
      <c r="K14" s="76">
        <f t="shared" ref="K14:K25" si="6">SUM(E14:J14)/0.63</f>
        <v>217.30100727021363</v>
      </c>
      <c r="L14" s="76">
        <v>0</v>
      </c>
      <c r="M14" s="76">
        <f>L14+K14</f>
        <v>217.30100727021363</v>
      </c>
      <c r="N14" s="76">
        <f ca="1">LCOS!$BB$3</f>
        <v>14.558037123312342</v>
      </c>
      <c r="O14" s="76">
        <f ca="1">New_built_LCOE!$D$23</f>
        <v>98.836192699193518</v>
      </c>
      <c r="P14" s="76">
        <f ca="1">M14+N14+O14</f>
        <v>330.69523709271948</v>
      </c>
      <c r="U14" t="s">
        <v>156</v>
      </c>
      <c r="V14">
        <v>0.187</v>
      </c>
      <c r="W14" t="s">
        <v>157</v>
      </c>
    </row>
    <row r="15" spans="1:26" x14ac:dyDescent="0.25">
      <c r="A15" s="76" t="s">
        <v>305</v>
      </c>
      <c r="B15" s="76" t="s">
        <v>231</v>
      </c>
      <c r="C15" s="76" t="s">
        <v>213</v>
      </c>
      <c r="D15" s="76" t="s">
        <v>276</v>
      </c>
      <c r="E15" s="80">
        <f>Inflation_Adjustment!$G$20-$F$14</f>
        <v>86.100372678710897</v>
      </c>
      <c r="F15" s="81">
        <f>Inflation_Adjustment!$H$20</f>
        <v>9.5762853184550778</v>
      </c>
      <c r="G15" s="81">
        <v>0</v>
      </c>
      <c r="H15" s="81">
        <f>Inflation_Adjustment!$K$20</f>
        <v>33.963668005776142</v>
      </c>
      <c r="I15" s="81">
        <f>Inflation_Adjustment!$M$20</f>
        <v>8.472296720355887</v>
      </c>
      <c r="J15" s="76">
        <v>0</v>
      </c>
      <c r="K15" s="76">
        <f t="shared" si="6"/>
        <v>219.22638527507621</v>
      </c>
      <c r="L15" s="76">
        <v>0</v>
      </c>
      <c r="M15" s="76">
        <f>L15+K15</f>
        <v>219.22638527507621</v>
      </c>
      <c r="N15" s="76">
        <f ca="1">LCOS!$BB$3</f>
        <v>14.558037123312342</v>
      </c>
      <c r="O15" s="76">
        <f ca="1">New_built_LCOE!$D$23</f>
        <v>98.836192699193518</v>
      </c>
      <c r="P15" s="76">
        <f t="shared" ref="P15:P25" ca="1" si="7">M15+N15+O15</f>
        <v>332.62061509758206</v>
      </c>
      <c r="U15" t="s">
        <v>155</v>
      </c>
      <c r="V15">
        <v>100</v>
      </c>
      <c r="W15">
        <f>V15+($Z$3-$V$3)/4</f>
        <v>175</v>
      </c>
      <c r="X15">
        <f t="shared" ref="X15" si="8">W15+($Z$3-$V$3)/4</f>
        <v>250</v>
      </c>
      <c r="Y15">
        <f t="shared" ref="Y15" si="9">X15+($Z$3-$V$3)/4</f>
        <v>325</v>
      </c>
      <c r="Z15">
        <v>400</v>
      </c>
    </row>
    <row r="16" spans="1:26" x14ac:dyDescent="0.25">
      <c r="A16" s="76" t="s">
        <v>305</v>
      </c>
      <c r="B16" s="76" t="s">
        <v>231</v>
      </c>
      <c r="C16" s="76" t="s">
        <v>211</v>
      </c>
      <c r="D16" s="76" t="s">
        <v>276</v>
      </c>
      <c r="E16" s="80">
        <f>Inflation_Adjustment!$G$20-$F$14</f>
        <v>86.100372678710897</v>
      </c>
      <c r="F16" s="81">
        <f>Inflation_Adjustment!$H$20</f>
        <v>9.5762853184550778</v>
      </c>
      <c r="G16" s="81">
        <v>0</v>
      </c>
      <c r="H16" s="81">
        <f>Inflation_Adjustment!$L$20</f>
        <v>22.717048736549888</v>
      </c>
      <c r="I16" s="81">
        <f>Inflation_Adjustment!$M$20</f>
        <v>8.472296720355887</v>
      </c>
      <c r="J16" s="76">
        <v>0</v>
      </c>
      <c r="K16" s="76">
        <f t="shared" si="6"/>
        <v>201.37460865725674</v>
      </c>
      <c r="L16" s="76">
        <v>0</v>
      </c>
      <c r="M16" s="76">
        <f t="shared" ref="M16:M25" si="10">L16+K16</f>
        <v>201.37460865725674</v>
      </c>
      <c r="N16" s="76">
        <f ca="1">LCOS!$BB$3</f>
        <v>14.558037123312342</v>
      </c>
      <c r="O16" s="76">
        <f ca="1">New_built_LCOE!$D$23</f>
        <v>98.836192699193518</v>
      </c>
      <c r="P16" s="76">
        <f t="shared" ca="1" si="7"/>
        <v>314.76883847976262</v>
      </c>
    </row>
    <row r="17" spans="1:23" x14ac:dyDescent="0.25">
      <c r="A17" s="76" t="s">
        <v>305</v>
      </c>
      <c r="B17" s="76" t="s">
        <v>232</v>
      </c>
      <c r="C17" s="76" t="s">
        <v>212</v>
      </c>
      <c r="D17" s="76" t="s">
        <v>276</v>
      </c>
      <c r="E17" s="80">
        <f>Inflation_Adjustment!$G$20-$F$14</f>
        <v>86.100372678710897</v>
      </c>
      <c r="F17" s="81">
        <f>Inflation_Adjustment!$H$20</f>
        <v>9.5762853184550778</v>
      </c>
      <c r="G17" s="81">
        <v>0</v>
      </c>
      <c r="H17" s="81">
        <f>Inflation_Adjustment!$J$20</f>
        <v>32.750679862712708</v>
      </c>
      <c r="I17" s="81">
        <f>Inflation_Adjustment!$M$20</f>
        <v>8.472296720355887</v>
      </c>
      <c r="J17" s="76">
        <v>0</v>
      </c>
      <c r="K17" s="76">
        <f t="shared" si="6"/>
        <v>217.30100727021363</v>
      </c>
      <c r="L17" s="76">
        <v>0</v>
      </c>
      <c r="M17" s="76">
        <f t="shared" si="10"/>
        <v>217.30100727021363</v>
      </c>
      <c r="N17" s="76">
        <f ca="1">LCOS!$BB$4</f>
        <v>4.2947522135153555</v>
      </c>
      <c r="O17" s="76">
        <f ca="1">New_built_LCOE!$D$23</f>
        <v>98.836192699193518</v>
      </c>
      <c r="P17" s="76">
        <f t="shared" ca="1" si="7"/>
        <v>320.43195218292249</v>
      </c>
      <c r="U17" t="s">
        <v>158</v>
      </c>
      <c r="V17" s="26">
        <f>Inflation_Adjustment!F32</f>
        <v>0</v>
      </c>
      <c r="W17" t="s">
        <v>209</v>
      </c>
    </row>
    <row r="18" spans="1:23" x14ac:dyDescent="0.25">
      <c r="A18" s="76" t="s">
        <v>305</v>
      </c>
      <c r="B18" s="76" t="s">
        <v>232</v>
      </c>
      <c r="C18" s="76" t="s">
        <v>213</v>
      </c>
      <c r="D18" s="76" t="s">
        <v>276</v>
      </c>
      <c r="E18" s="80">
        <f>Inflation_Adjustment!$G$20-$F$14</f>
        <v>86.100372678710897</v>
      </c>
      <c r="F18" s="81">
        <f>Inflation_Adjustment!$H$20</f>
        <v>9.5762853184550778</v>
      </c>
      <c r="G18" s="81">
        <v>0</v>
      </c>
      <c r="H18" s="81">
        <f>Inflation_Adjustment!$K$20</f>
        <v>33.963668005776142</v>
      </c>
      <c r="I18" s="81">
        <f>Inflation_Adjustment!$M$20</f>
        <v>8.472296720355887</v>
      </c>
      <c r="J18" s="76">
        <v>0</v>
      </c>
      <c r="K18" s="76">
        <f t="shared" si="6"/>
        <v>219.22638527507621</v>
      </c>
      <c r="L18" s="76">
        <v>0</v>
      </c>
      <c r="M18" s="76">
        <f t="shared" si="10"/>
        <v>219.22638527507621</v>
      </c>
      <c r="N18" s="76">
        <f ca="1">LCOS!$BB$4</f>
        <v>4.2947522135153555</v>
      </c>
      <c r="O18" s="76">
        <f ca="1">New_built_LCOE!$D$23</f>
        <v>98.836192699193518</v>
      </c>
      <c r="P18" s="76">
        <f t="shared" ca="1" si="7"/>
        <v>322.35733018778507</v>
      </c>
    </row>
    <row r="19" spans="1:23" x14ac:dyDescent="0.25">
      <c r="A19" s="76" t="s">
        <v>305</v>
      </c>
      <c r="B19" s="76" t="s">
        <v>232</v>
      </c>
      <c r="C19" s="76" t="s">
        <v>211</v>
      </c>
      <c r="D19" s="76" t="s">
        <v>276</v>
      </c>
      <c r="E19" s="80">
        <f>Inflation_Adjustment!$G$20-$F$14</f>
        <v>86.100372678710897</v>
      </c>
      <c r="F19" s="81">
        <f>Inflation_Adjustment!$H$20</f>
        <v>9.5762853184550778</v>
      </c>
      <c r="G19" s="81">
        <v>0</v>
      </c>
      <c r="H19" s="81">
        <f>Inflation_Adjustment!$L$20</f>
        <v>22.717048736549888</v>
      </c>
      <c r="I19" s="81">
        <f>Inflation_Adjustment!$M$20</f>
        <v>8.472296720355887</v>
      </c>
      <c r="J19" s="76">
        <v>0</v>
      </c>
      <c r="K19" s="76">
        <f t="shared" si="6"/>
        <v>201.37460865725674</v>
      </c>
      <c r="L19" s="76">
        <v>0</v>
      </c>
      <c r="M19" s="76">
        <f t="shared" si="10"/>
        <v>201.37460865725674</v>
      </c>
      <c r="N19" s="76">
        <f ca="1">LCOS!$BB$4</f>
        <v>4.2947522135153555</v>
      </c>
      <c r="O19" s="76">
        <f ca="1">New_built_LCOE!$D$23</f>
        <v>98.836192699193518</v>
      </c>
      <c r="P19" s="76">
        <f t="shared" ca="1" si="7"/>
        <v>304.50555356996563</v>
      </c>
    </row>
    <row r="20" spans="1:23" x14ac:dyDescent="0.25">
      <c r="A20" s="76" t="s">
        <v>306</v>
      </c>
      <c r="B20" s="76" t="s">
        <v>233</v>
      </c>
      <c r="C20" s="76" t="s">
        <v>212</v>
      </c>
      <c r="D20" s="76" t="s">
        <v>277</v>
      </c>
      <c r="E20" s="80">
        <f>Inflation_Adjustment!$G$20-$F$14</f>
        <v>86.100372678710897</v>
      </c>
      <c r="F20" s="81">
        <f>Inflation_Adjustment!$P$20</f>
        <v>34.001128933261022</v>
      </c>
      <c r="G20" s="81">
        <v>0</v>
      </c>
      <c r="H20" s="81">
        <f>Inflation_Adjustment!$R$20</f>
        <v>24.023062756710861</v>
      </c>
      <c r="I20" s="81">
        <v>0</v>
      </c>
      <c r="J20" s="80">
        <f>SUM(E20:I20)*0.2</f>
        <v>28.824912873736555</v>
      </c>
      <c r="K20" s="76">
        <f t="shared" si="6"/>
        <v>274.52297974987198</v>
      </c>
      <c r="L20" s="76">
        <v>0</v>
      </c>
      <c r="M20" s="76">
        <f t="shared" si="10"/>
        <v>274.52297974987198</v>
      </c>
      <c r="N20" s="76">
        <f ca="1">LCOS!$BB$5</f>
        <v>2.1034831989151463</v>
      </c>
      <c r="O20" s="76">
        <f ca="1">New_built_LCOE!$D$23</f>
        <v>98.836192699193518</v>
      </c>
      <c r="P20" s="76">
        <f t="shared" ca="1" si="7"/>
        <v>375.46265564798068</v>
      </c>
    </row>
    <row r="21" spans="1:23" x14ac:dyDescent="0.25">
      <c r="A21" s="76" t="s">
        <v>306</v>
      </c>
      <c r="B21" s="76" t="s">
        <v>233</v>
      </c>
      <c r="C21" s="76" t="s">
        <v>213</v>
      </c>
      <c r="D21" s="76" t="s">
        <v>277</v>
      </c>
      <c r="E21" s="80">
        <f>Inflation_Adjustment!$G$20-$F$14</f>
        <v>86.100372678710897</v>
      </c>
      <c r="F21" s="81">
        <f>Inflation_Adjustment!$P$20</f>
        <v>34.001128933261022</v>
      </c>
      <c r="G21" s="81">
        <v>0</v>
      </c>
      <c r="H21" s="81">
        <f>Inflation_Adjustment!$S$20</f>
        <v>7.6431075995047904</v>
      </c>
      <c r="I21" s="81">
        <v>0</v>
      </c>
      <c r="J21" s="80">
        <f t="shared" ref="J21:J22" si="11">SUM(E21:I21)*0.2</f>
        <v>25.548921842295343</v>
      </c>
      <c r="K21" s="76">
        <f t="shared" si="6"/>
        <v>243.32306516471749</v>
      </c>
      <c r="L21" s="76">
        <v>0</v>
      </c>
      <c r="M21" s="76">
        <f t="shared" si="10"/>
        <v>243.32306516471749</v>
      </c>
      <c r="N21" s="76">
        <f ca="1">LCOS!$BB$5</f>
        <v>2.1034831989151463</v>
      </c>
      <c r="O21" s="76">
        <f ca="1">New_built_LCOE!$D$23</f>
        <v>98.836192699193518</v>
      </c>
      <c r="P21" s="76">
        <f t="shared" ca="1" si="7"/>
        <v>344.26274106282614</v>
      </c>
    </row>
    <row r="22" spans="1:23" x14ac:dyDescent="0.25">
      <c r="A22" s="76" t="s">
        <v>306</v>
      </c>
      <c r="B22" s="76" t="s">
        <v>233</v>
      </c>
      <c r="C22" s="76" t="s">
        <v>211</v>
      </c>
      <c r="D22" s="76" t="s">
        <v>277</v>
      </c>
      <c r="E22" s="80">
        <f>Inflation_Adjustment!$G$20-$F$14</f>
        <v>86.100372678710897</v>
      </c>
      <c r="F22" s="81">
        <f>Inflation_Adjustment!$P$20</f>
        <v>34.001128933261022</v>
      </c>
      <c r="G22" s="81">
        <v>0</v>
      </c>
      <c r="H22" s="81">
        <f>Inflation_Adjustment!$T$20</f>
        <v>3.440456740136105</v>
      </c>
      <c r="I22" s="81">
        <v>0</v>
      </c>
      <c r="J22" s="80">
        <f t="shared" si="11"/>
        <v>24.708391670421605</v>
      </c>
      <c r="K22" s="76">
        <f t="shared" si="6"/>
        <v>235.3180159087772</v>
      </c>
      <c r="L22" s="76">
        <v>0</v>
      </c>
      <c r="M22" s="76">
        <f t="shared" si="10"/>
        <v>235.3180159087772</v>
      </c>
      <c r="N22" s="76">
        <f ca="1">LCOS!$BB$5</f>
        <v>2.1034831989151463</v>
      </c>
      <c r="O22" s="76">
        <f ca="1">New_built_LCOE!$D$23</f>
        <v>98.836192699193518</v>
      </c>
      <c r="P22" s="76">
        <f t="shared" ca="1" si="7"/>
        <v>336.25769180688587</v>
      </c>
    </row>
    <row r="23" spans="1:23" x14ac:dyDescent="0.25">
      <c r="A23" s="76" t="s">
        <v>307</v>
      </c>
      <c r="B23" s="76" t="s">
        <v>229</v>
      </c>
      <c r="C23" s="76" t="s">
        <v>212</v>
      </c>
      <c r="D23" s="76" t="s">
        <v>277</v>
      </c>
      <c r="E23" s="80">
        <f>Inflation_Adjustment!$G$20-$F$14</f>
        <v>86.100372678710897</v>
      </c>
      <c r="F23" s="81">
        <f>Inflation_Adjustment!$P$20</f>
        <v>34.001128933261022</v>
      </c>
      <c r="G23" s="81">
        <v>0</v>
      </c>
      <c r="H23" s="81">
        <f>Inflation_Adjustment!$R$20</f>
        <v>24.023062756710861</v>
      </c>
      <c r="I23" s="81">
        <v>0</v>
      </c>
      <c r="J23" s="76">
        <v>0</v>
      </c>
      <c r="K23" s="76">
        <f t="shared" si="6"/>
        <v>228.76914979155995</v>
      </c>
      <c r="L23" s="76">
        <v>0</v>
      </c>
      <c r="M23" s="76">
        <f t="shared" si="10"/>
        <v>228.76914979155995</v>
      </c>
      <c r="N23" s="76">
        <f ca="1">LCOS!$BB$5</f>
        <v>2.1034831989151463</v>
      </c>
      <c r="O23" s="76">
        <f ca="1">New_built_LCOE!$D$37</f>
        <v>101.38297790196927</v>
      </c>
      <c r="P23" s="76">
        <f t="shared" ca="1" si="7"/>
        <v>332.25561089244434</v>
      </c>
    </row>
    <row r="24" spans="1:23" x14ac:dyDescent="0.25">
      <c r="A24" s="76" t="s">
        <v>307</v>
      </c>
      <c r="B24" s="76" t="s">
        <v>229</v>
      </c>
      <c r="C24" s="76" t="s">
        <v>213</v>
      </c>
      <c r="D24" s="76" t="s">
        <v>277</v>
      </c>
      <c r="E24" s="80">
        <f>Inflation_Adjustment!$G$20-$F$14</f>
        <v>86.100372678710897</v>
      </c>
      <c r="F24" s="81">
        <f>Inflation_Adjustment!$P$20</f>
        <v>34.001128933261022</v>
      </c>
      <c r="G24" s="81">
        <v>0</v>
      </c>
      <c r="H24" s="81">
        <f>Inflation_Adjustment!$S$20</f>
        <v>7.6431075995047904</v>
      </c>
      <c r="I24" s="81">
        <v>0</v>
      </c>
      <c r="J24" s="76">
        <v>0</v>
      </c>
      <c r="K24" s="76">
        <f t="shared" si="6"/>
        <v>202.76922097059793</v>
      </c>
      <c r="L24" s="76">
        <v>0</v>
      </c>
      <c r="M24" s="76">
        <f t="shared" si="10"/>
        <v>202.76922097059793</v>
      </c>
      <c r="N24" s="76">
        <f ca="1">LCOS!$BB$5</f>
        <v>2.1034831989151463</v>
      </c>
      <c r="O24" s="76">
        <f ca="1">New_built_LCOE!$D$37</f>
        <v>101.38297790196927</v>
      </c>
      <c r="P24" s="76">
        <f t="shared" ca="1" si="7"/>
        <v>306.25568207148234</v>
      </c>
    </row>
    <row r="25" spans="1:23" x14ac:dyDescent="0.25">
      <c r="A25" s="76" t="s">
        <v>307</v>
      </c>
      <c r="B25" s="76" t="s">
        <v>229</v>
      </c>
      <c r="C25" s="76" t="s">
        <v>211</v>
      </c>
      <c r="D25" s="76" t="s">
        <v>277</v>
      </c>
      <c r="E25" s="80">
        <f>Inflation_Adjustment!$G$20-$F$14</f>
        <v>86.100372678710897</v>
      </c>
      <c r="F25" s="81">
        <f>Inflation_Adjustment!$P$20</f>
        <v>34.001128933261022</v>
      </c>
      <c r="G25" s="81">
        <v>0</v>
      </c>
      <c r="H25" s="81">
        <f>Inflation_Adjustment!$T$20</f>
        <v>3.440456740136105</v>
      </c>
      <c r="I25" s="81">
        <v>0</v>
      </c>
      <c r="J25" s="76">
        <v>0</v>
      </c>
      <c r="K25" s="76">
        <f t="shared" si="6"/>
        <v>196.09834659064762</v>
      </c>
      <c r="L25" s="76">
        <v>0</v>
      </c>
      <c r="M25" s="76">
        <f t="shared" si="10"/>
        <v>196.09834659064762</v>
      </c>
      <c r="N25" s="76">
        <f ca="1">LCOS!$BB$5</f>
        <v>2.1034831989151463</v>
      </c>
      <c r="O25" s="76">
        <f ca="1">New_built_LCOE!$D$37</f>
        <v>101.38297790196927</v>
      </c>
      <c r="P25" s="76">
        <f t="shared" ca="1" si="7"/>
        <v>299.58480769153203</v>
      </c>
    </row>
    <row r="26" spans="1:23" x14ac:dyDescent="0.25">
      <c r="A26" s="76" t="s">
        <v>45</v>
      </c>
      <c r="B26" s="76" t="s">
        <v>274</v>
      </c>
      <c r="C26" s="76" t="s">
        <v>213</v>
      </c>
      <c r="D26" s="76"/>
      <c r="E26" s="81">
        <f>Inflation_Adjustment!$V$20</f>
        <v>97.193055762768964</v>
      </c>
      <c r="F26" s="76">
        <v>0</v>
      </c>
      <c r="G26" s="76">
        <v>0</v>
      </c>
      <c r="H26" s="81">
        <f>Inflation_Adjustment!$W$20</f>
        <v>4.7056901621993763</v>
      </c>
      <c r="I26" s="81">
        <v>0</v>
      </c>
      <c r="J26" s="76">
        <v>0</v>
      </c>
      <c r="K26" s="76">
        <f t="shared" ref="K26" si="12">SUM(E26:J26)/0.63</f>
        <v>161.74404115074339</v>
      </c>
      <c r="L26" s="76">
        <v>0</v>
      </c>
      <c r="M26" s="76">
        <f t="shared" ref="M26" si="13">L26+K26</f>
        <v>161.74404115074339</v>
      </c>
      <c r="N26" s="82">
        <f ca="1">LCOS!$BB$6</f>
        <v>2.4293978086221575</v>
      </c>
      <c r="O26" s="82">
        <f ca="1">New_built_LCOE!$D$65</f>
        <v>92.7883747007414</v>
      </c>
      <c r="P26" s="76">
        <f t="shared" ref="P26" ca="1" si="14">M26+N26+O26</f>
        <v>256.96181366010694</v>
      </c>
    </row>
    <row r="27" spans="1:23" x14ac:dyDescent="0.25">
      <c r="A27" s="76" t="s">
        <v>278</v>
      </c>
      <c r="B27" s="76" t="s">
        <v>230</v>
      </c>
      <c r="C27" s="76" t="s">
        <v>213</v>
      </c>
      <c r="D27" s="76"/>
      <c r="E27" s="76">
        <v>50</v>
      </c>
      <c r="F27" s="76">
        <v>0</v>
      </c>
      <c r="G27" s="83">
        <v>0</v>
      </c>
      <c r="H27" s="81">
        <f>Inflation_Adjustment!$W$20</f>
        <v>4.7056901621993763</v>
      </c>
      <c r="I27" s="81">
        <v>0</v>
      </c>
      <c r="J27" s="76">
        <v>0</v>
      </c>
      <c r="K27" s="76">
        <f t="shared" si="0"/>
        <v>86.834428828887894</v>
      </c>
      <c r="L27" s="76">
        <f>$V$3*$V$2/0.63</f>
        <v>29.68253968253968</v>
      </c>
      <c r="M27" s="76">
        <f t="shared" si="4"/>
        <v>116.51696851142758</v>
      </c>
      <c r="N27" s="82">
        <f ca="1">LCOS!$BB$6</f>
        <v>2.4293978086221575</v>
      </c>
      <c r="O27" s="82">
        <f ca="1">New_built_LCOE!$D$65</f>
        <v>92.7883747007414</v>
      </c>
      <c r="P27" s="76">
        <f t="shared" ca="1" si="2"/>
        <v>211.73474102079115</v>
      </c>
    </row>
    <row r="28" spans="1:23" x14ac:dyDescent="0.25">
      <c r="A28" s="76" t="s">
        <v>278</v>
      </c>
      <c r="B28" s="76" t="s">
        <v>230</v>
      </c>
      <c r="C28" s="76" t="s">
        <v>213</v>
      </c>
      <c r="D28" s="76"/>
      <c r="E28" s="76">
        <v>50</v>
      </c>
      <c r="F28" s="76">
        <v>0</v>
      </c>
      <c r="G28" s="83">
        <v>0</v>
      </c>
      <c r="H28" s="81">
        <f>Inflation_Adjustment!$W$20</f>
        <v>4.7056901621993763</v>
      </c>
      <c r="I28" s="81">
        <v>0</v>
      </c>
      <c r="J28" s="76">
        <v>0</v>
      </c>
      <c r="K28" s="76">
        <f t="shared" si="0"/>
        <v>86.834428828887894</v>
      </c>
      <c r="L28" s="76">
        <f>$W$3*$V$2/0.63</f>
        <v>51.944444444444443</v>
      </c>
      <c r="M28" s="76">
        <f t="shared" si="4"/>
        <v>138.77887327333235</v>
      </c>
      <c r="N28" s="82">
        <f ca="1">LCOS!$BB$6</f>
        <v>2.4293978086221575</v>
      </c>
      <c r="O28" s="82">
        <f ca="1">New_built_LCOE!$D$65</f>
        <v>92.7883747007414</v>
      </c>
      <c r="P28" s="76">
        <f t="shared" ca="1" si="2"/>
        <v>233.99664578269591</v>
      </c>
    </row>
    <row r="29" spans="1:23" x14ac:dyDescent="0.25">
      <c r="A29" s="76" t="s">
        <v>278</v>
      </c>
      <c r="B29" s="76" t="s">
        <v>230</v>
      </c>
      <c r="C29" s="76" t="s">
        <v>213</v>
      </c>
      <c r="D29" s="76"/>
      <c r="E29" s="76">
        <v>50</v>
      </c>
      <c r="F29" s="76">
        <v>0</v>
      </c>
      <c r="G29" s="83">
        <v>0</v>
      </c>
      <c r="H29" s="81">
        <f>Inflation_Adjustment!$W$20</f>
        <v>4.7056901621993763</v>
      </c>
      <c r="I29" s="81">
        <v>0</v>
      </c>
      <c r="J29" s="76">
        <v>0</v>
      </c>
      <c r="K29" s="76">
        <f t="shared" si="0"/>
        <v>86.834428828887894</v>
      </c>
      <c r="L29" s="76">
        <f>$X$3*$V$2/0.63</f>
        <v>74.206349206349202</v>
      </c>
      <c r="M29" s="76">
        <f t="shared" si="4"/>
        <v>161.04077803523711</v>
      </c>
      <c r="N29" s="82">
        <f ca="1">LCOS!$BB$6</f>
        <v>2.4293978086221575</v>
      </c>
      <c r="O29" s="82">
        <f ca="1">New_built_LCOE!$D$65</f>
        <v>92.7883747007414</v>
      </c>
      <c r="P29" s="76">
        <f t="shared" ca="1" si="2"/>
        <v>256.25855054460067</v>
      </c>
    </row>
    <row r="30" spans="1:23" x14ac:dyDescent="0.25">
      <c r="A30" s="76" t="s">
        <v>278</v>
      </c>
      <c r="B30" s="76" t="s">
        <v>230</v>
      </c>
      <c r="C30" s="76" t="s">
        <v>213</v>
      </c>
      <c r="D30" s="76"/>
      <c r="E30" s="76">
        <v>50</v>
      </c>
      <c r="F30" s="76">
        <v>0</v>
      </c>
      <c r="G30" s="83">
        <v>0</v>
      </c>
      <c r="H30" s="81">
        <f>Inflation_Adjustment!$W$20</f>
        <v>4.7056901621993763</v>
      </c>
      <c r="I30" s="81">
        <v>0</v>
      </c>
      <c r="J30" s="76">
        <v>0</v>
      </c>
      <c r="K30" s="76">
        <f t="shared" si="0"/>
        <v>86.834428828887894</v>
      </c>
      <c r="L30" s="76">
        <f>$Y$3*$V$2/0.63</f>
        <v>96.468253968253961</v>
      </c>
      <c r="M30" s="76">
        <f t="shared" si="4"/>
        <v>183.30268279714187</v>
      </c>
      <c r="N30" s="82">
        <f ca="1">LCOS!$BB$6</f>
        <v>2.4293978086221575</v>
      </c>
      <c r="O30" s="82">
        <f ca="1">New_built_LCOE!$D$65</f>
        <v>92.7883747007414</v>
      </c>
      <c r="P30" s="76">
        <f t="shared" ca="1" si="2"/>
        <v>278.52045530650543</v>
      </c>
    </row>
    <row r="31" spans="1:23" x14ac:dyDescent="0.25">
      <c r="A31" s="76" t="s">
        <v>278</v>
      </c>
      <c r="B31" s="76" t="s">
        <v>230</v>
      </c>
      <c r="C31" s="76" t="s">
        <v>213</v>
      </c>
      <c r="D31" s="76"/>
      <c r="E31" s="76">
        <v>50</v>
      </c>
      <c r="F31" s="76">
        <v>0</v>
      </c>
      <c r="G31" s="83">
        <v>0</v>
      </c>
      <c r="H31" s="81">
        <f>Inflation_Adjustment!$W$20</f>
        <v>4.7056901621993763</v>
      </c>
      <c r="I31" s="81">
        <v>0</v>
      </c>
      <c r="J31" s="76">
        <v>0</v>
      </c>
      <c r="K31" s="76">
        <f t="shared" si="0"/>
        <v>86.834428828887894</v>
      </c>
      <c r="L31" s="76">
        <f>$Z$3*$V$2/0.63</f>
        <v>118.73015873015872</v>
      </c>
      <c r="M31" s="76">
        <f t="shared" si="4"/>
        <v>205.56458755904663</v>
      </c>
      <c r="N31" s="82">
        <f ca="1">LCOS!$BB$6</f>
        <v>2.4293978086221575</v>
      </c>
      <c r="O31" s="82">
        <f ca="1">New_built_LCOE!$D$65</f>
        <v>92.7883747007414</v>
      </c>
      <c r="P31" s="76">
        <f t="shared" ca="1" si="2"/>
        <v>300.78236006841018</v>
      </c>
    </row>
  </sheetData>
  <phoneticPr fontId="12" type="noConversion"/>
  <conditionalFormatting sqref="K2:K31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 A1:D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F7BC-EA96-4043-BDD1-035E60674AB5}">
  <sheetPr>
    <tabColor rgb="FFFF0000"/>
  </sheetPr>
  <dimension ref="A1:E9"/>
  <sheetViews>
    <sheetView zoomScale="130" zoomScaleNormal="130" workbookViewId="0">
      <selection activeCell="A6" sqref="A6"/>
    </sheetView>
  </sheetViews>
  <sheetFormatPr defaultRowHeight="15" x14ac:dyDescent="0.25"/>
  <cols>
    <col min="1" max="1" width="18.5703125" bestFit="1" customWidth="1"/>
    <col min="2" max="2" width="20.140625" bestFit="1" customWidth="1"/>
    <col min="3" max="3" width="20.140625" customWidth="1"/>
  </cols>
  <sheetData>
    <row r="1" spans="1:5" x14ac:dyDescent="0.25">
      <c r="A1" s="76" t="s">
        <v>43</v>
      </c>
      <c r="B1" s="76" t="s">
        <v>280</v>
      </c>
      <c r="C1" s="76" t="s">
        <v>28</v>
      </c>
      <c r="D1" s="76" t="s">
        <v>3</v>
      </c>
    </row>
    <row r="2" spans="1:5" x14ac:dyDescent="0.25">
      <c r="A2" s="76" t="s">
        <v>264</v>
      </c>
      <c r="B2" s="82">
        <f ca="1">New_built_LCOE!$D$65</f>
        <v>92.7883747007414</v>
      </c>
      <c r="C2" s="82">
        <v>0</v>
      </c>
      <c r="D2" s="82">
        <f ca="1">LCOS!$BB$6</f>
        <v>2.4293978086221575</v>
      </c>
      <c r="E2" s="69"/>
    </row>
    <row r="3" spans="1:5" x14ac:dyDescent="0.25">
      <c r="A3" s="76" t="s">
        <v>45</v>
      </c>
      <c r="B3" s="82">
        <f ca="1">New_built_LCOE!$D$65</f>
        <v>92.7883747007414</v>
      </c>
      <c r="C3" s="82">
        <v>0</v>
      </c>
      <c r="D3" s="82">
        <f ca="1">LCOS!$BB$6</f>
        <v>2.4293978086221575</v>
      </c>
      <c r="E3" s="69"/>
    </row>
    <row r="4" spans="1:5" x14ac:dyDescent="0.25">
      <c r="A4" s="76" t="s">
        <v>265</v>
      </c>
      <c r="B4" s="76">
        <f ca="1">New_built_LCOE!$D$23</f>
        <v>98.836192699193518</v>
      </c>
      <c r="C4" s="82">
        <f ca="1">New_built_LCOE!$D$23-$B$3</f>
        <v>6.0478179984521176</v>
      </c>
      <c r="D4" s="76">
        <f ca="1">LCOS!$BB$5</f>
        <v>2.1034831989151463</v>
      </c>
      <c r="E4" s="69"/>
    </row>
    <row r="5" spans="1:5" x14ac:dyDescent="0.25">
      <c r="A5" t="s">
        <v>267</v>
      </c>
      <c r="B5" s="76">
        <f ca="1">New_built_LCOE!$D$23</f>
        <v>98.836192699193518</v>
      </c>
      <c r="C5" s="82">
        <f ca="1">New_built_LCOE!$D$23-$B$3</f>
        <v>6.0478179984521176</v>
      </c>
      <c r="D5" s="76">
        <f ca="1">LCOS!$BB$4</f>
        <v>4.2947522135153555</v>
      </c>
      <c r="E5" s="69"/>
    </row>
    <row r="6" spans="1:5" x14ac:dyDescent="0.25">
      <c r="A6" s="76" t="s">
        <v>229</v>
      </c>
      <c r="B6" s="76">
        <f ca="1">New_built_LCOE!$D$37</f>
        <v>101.38297790196927</v>
      </c>
      <c r="C6" s="82">
        <f ca="1">New_built_LCOE!$D$37-$B$3</f>
        <v>8.5946032012278692</v>
      </c>
      <c r="D6" s="76">
        <f ca="1">LCOS!$BB$5</f>
        <v>2.1034831989151463</v>
      </c>
      <c r="E6" s="69"/>
    </row>
    <row r="7" spans="1:5" x14ac:dyDescent="0.25">
      <c r="A7" s="76" t="s">
        <v>266</v>
      </c>
      <c r="B7" s="76">
        <f ca="1">New_built_LCOE!$D$23</f>
        <v>98.836192699193518</v>
      </c>
      <c r="C7" s="82">
        <f ca="1">New_built_LCOE!$D$23-$B$3</f>
        <v>6.0478179984521176</v>
      </c>
      <c r="D7" s="76">
        <f ca="1">LCOS!$BB$3</f>
        <v>14.558037123312342</v>
      </c>
      <c r="E7" s="69"/>
    </row>
    <row r="8" spans="1:5" x14ac:dyDescent="0.25">
      <c r="A8" s="76" t="s">
        <v>281</v>
      </c>
      <c r="B8" s="76">
        <f ca="1">New_built_LCOE!$D$37</f>
        <v>101.38297790196927</v>
      </c>
      <c r="C8" s="82">
        <f ca="1">New_built_LCOE!$D$37-$B$3</f>
        <v>8.5946032012278692</v>
      </c>
      <c r="D8" s="82"/>
    </row>
    <row r="9" spans="1:5" x14ac:dyDescent="0.25">
      <c r="A9" s="76" t="s">
        <v>279</v>
      </c>
      <c r="B9" s="82">
        <f ca="1">New_built_LCOE!$D$79</f>
        <v>105.49828664821953</v>
      </c>
      <c r="C9" s="82">
        <f ca="1">New_built_LCOE!$D$79-$B$2</f>
        <v>12.709911947478133</v>
      </c>
    </row>
  </sheetData>
  <conditionalFormatting sqref="A6:A1048576 A1:A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D667-FC53-46E4-8432-2B523A694D44}">
  <sheetPr>
    <tabColor rgb="FF00B0F0"/>
  </sheetPr>
  <dimension ref="A1:Y64"/>
  <sheetViews>
    <sheetView tabSelected="1" topLeftCell="A16" workbookViewId="0">
      <selection activeCell="C1" sqref="C1"/>
    </sheetView>
  </sheetViews>
  <sheetFormatPr defaultRowHeight="15" x14ac:dyDescent="0.25"/>
  <cols>
    <col min="1" max="1" width="23.7109375" bestFit="1" customWidth="1"/>
    <col min="2" max="2" width="13.42578125" customWidth="1"/>
    <col min="3" max="3" width="27.5703125" bestFit="1" customWidth="1"/>
    <col min="4" max="4" width="13.7109375" bestFit="1" customWidth="1"/>
    <col min="5" max="5" width="11.140625" bestFit="1" customWidth="1"/>
    <col min="6" max="6" width="21.28515625" customWidth="1"/>
    <col min="7" max="7" width="11" customWidth="1"/>
    <col min="11" max="11" width="14.7109375" bestFit="1" customWidth="1"/>
    <col min="13" max="13" width="13.140625" customWidth="1"/>
    <col min="15" max="15" width="15.85546875" customWidth="1"/>
    <col min="17" max="17" width="10.85546875" customWidth="1"/>
    <col min="19" max="19" width="12.85546875" customWidth="1"/>
    <col min="23" max="23" width="14.7109375" bestFit="1" customWidth="1"/>
    <col min="25" max="25" width="10.7109375" customWidth="1"/>
    <col min="29" max="29" width="12" customWidth="1"/>
  </cols>
  <sheetData>
    <row r="1" spans="1:6" x14ac:dyDescent="0.25">
      <c r="A1" s="76" t="s">
        <v>79</v>
      </c>
      <c r="B1" t="s">
        <v>38</v>
      </c>
      <c r="C1" t="s">
        <v>39</v>
      </c>
      <c r="D1" t="s">
        <v>42</v>
      </c>
      <c r="E1" t="s">
        <v>46</v>
      </c>
      <c r="F1" t="s">
        <v>297</v>
      </c>
    </row>
    <row r="2" spans="1:6" x14ac:dyDescent="0.25">
      <c r="A2" t="s">
        <v>289</v>
      </c>
      <c r="B2">
        <f>Keadby!$M$36</f>
        <v>109299193.7885534</v>
      </c>
      <c r="C2">
        <v>0</v>
      </c>
      <c r="D2">
        <v>0</v>
      </c>
      <c r="E2">
        <v>0</v>
      </c>
      <c r="F2" s="95">
        <f>Keadby!$C$49</f>
        <v>74063809.238090321</v>
      </c>
    </row>
    <row r="3" spans="1:6" x14ac:dyDescent="0.25">
      <c r="A3" t="s">
        <v>290</v>
      </c>
      <c r="B3">
        <v>0</v>
      </c>
      <c r="C3">
        <f>Keadby!$Q$36</f>
        <v>32244247.66077457</v>
      </c>
      <c r="D3">
        <v>0</v>
      </c>
      <c r="E3">
        <v>0</v>
      </c>
      <c r="F3" s="95">
        <f>Keadby!$C$49</f>
        <v>74063809.238090321</v>
      </c>
    </row>
    <row r="4" spans="1:6" x14ac:dyDescent="0.25">
      <c r="A4" t="s">
        <v>291</v>
      </c>
      <c r="B4">
        <v>0</v>
      </c>
      <c r="C4">
        <v>0</v>
      </c>
      <c r="D4">
        <f>Keadby!$U$36</f>
        <v>15792583.563413963</v>
      </c>
      <c r="E4">
        <v>0</v>
      </c>
      <c r="F4" s="95">
        <f>Keadby!$G$49</f>
        <v>105252679.91459754</v>
      </c>
    </row>
    <row r="5" spans="1:6" x14ac:dyDescent="0.25">
      <c r="A5" t="s">
        <v>292</v>
      </c>
      <c r="B5">
        <v>0</v>
      </c>
      <c r="C5">
        <v>0</v>
      </c>
      <c r="D5">
        <v>0</v>
      </c>
      <c r="E5">
        <f>Keadby!$Y$36</f>
        <v>18239493.389453914</v>
      </c>
      <c r="F5" s="95">
        <v>0</v>
      </c>
    </row>
    <row r="6" spans="1:6" x14ac:dyDescent="0.25">
      <c r="A6" t="s">
        <v>311</v>
      </c>
      <c r="B6">
        <v>0</v>
      </c>
      <c r="C6">
        <v>0</v>
      </c>
      <c r="D6">
        <f>Keadby!$U$36</f>
        <v>15792583.563413963</v>
      </c>
      <c r="E6">
        <v>0</v>
      </c>
      <c r="F6" s="95">
        <f>Keadby!$C$49</f>
        <v>74063809.238090321</v>
      </c>
    </row>
    <row r="7" spans="1:6" x14ac:dyDescent="0.25">
      <c r="A7" t="s">
        <v>313</v>
      </c>
      <c r="B7">
        <v>0</v>
      </c>
      <c r="C7">
        <f>Keadby!$Q$36</f>
        <v>32244247.66077457</v>
      </c>
      <c r="D7">
        <f>Keadby!$U$36</f>
        <v>15792583.563413963</v>
      </c>
      <c r="E7">
        <v>0</v>
      </c>
      <c r="F7" s="95">
        <f>Keadby!$G$49</f>
        <v>105252679.91459754</v>
      </c>
    </row>
    <row r="8" spans="1:6" x14ac:dyDescent="0.25">
      <c r="A8" t="s">
        <v>314</v>
      </c>
      <c r="B8">
        <v>0</v>
      </c>
      <c r="C8">
        <f>Keadby!$Q$36</f>
        <v>32244247.66077457</v>
      </c>
      <c r="D8">
        <v>0</v>
      </c>
      <c r="E8">
        <f>Keadby!$Y$36</f>
        <v>18239493.389453914</v>
      </c>
      <c r="F8" s="95">
        <f>Keadby!$C$49</f>
        <v>74063809.238090321</v>
      </c>
    </row>
    <row r="9" spans="1:6" x14ac:dyDescent="0.25">
      <c r="A9" t="s">
        <v>315</v>
      </c>
      <c r="B9">
        <v>0</v>
      </c>
      <c r="C9">
        <f>Keadby!$Q$36</f>
        <v>32244247.66077457</v>
      </c>
      <c r="D9">
        <f>Keadby!$U$36</f>
        <v>15792583.563413963</v>
      </c>
      <c r="E9">
        <v>0</v>
      </c>
      <c r="F9" s="95">
        <f>Keadby!$C$49</f>
        <v>74063809.238090321</v>
      </c>
    </row>
    <row r="10" spans="1:6" x14ac:dyDescent="0.25">
      <c r="A10" t="s">
        <v>316</v>
      </c>
      <c r="B10">
        <f>Keadby!$M$36</f>
        <v>109299193.7885534</v>
      </c>
      <c r="C10">
        <v>0</v>
      </c>
      <c r="D10">
        <f>Keadby!$U$36</f>
        <v>15792583.563413963</v>
      </c>
      <c r="E10">
        <v>0</v>
      </c>
      <c r="F10" s="95">
        <f>Keadby!$G$49</f>
        <v>105252679.91459754</v>
      </c>
    </row>
    <row r="11" spans="1:6" x14ac:dyDescent="0.25">
      <c r="A11" t="s">
        <v>317</v>
      </c>
      <c r="B11">
        <f>Keadby!$M$36</f>
        <v>109299193.7885534</v>
      </c>
      <c r="C11">
        <v>0</v>
      </c>
      <c r="D11">
        <v>0</v>
      </c>
      <c r="E11">
        <f>Keadby!$Y$36</f>
        <v>18239493.389453914</v>
      </c>
      <c r="F11" s="95">
        <f>Keadby!$C$49</f>
        <v>74063809.238090321</v>
      </c>
    </row>
    <row r="12" spans="1:6" x14ac:dyDescent="0.25">
      <c r="A12" t="s">
        <v>318</v>
      </c>
      <c r="B12">
        <f>Keadby!$M$36</f>
        <v>109299193.7885534</v>
      </c>
      <c r="C12">
        <v>0</v>
      </c>
      <c r="D12">
        <f>Keadby!$U$36</f>
        <v>15792583.563413963</v>
      </c>
      <c r="E12">
        <v>0</v>
      </c>
      <c r="F12" s="95">
        <f>Keadby!$C$49</f>
        <v>74063809.238090321</v>
      </c>
    </row>
    <row r="13" spans="1:6" x14ac:dyDescent="0.25">
      <c r="A13" t="s">
        <v>319</v>
      </c>
      <c r="B13">
        <v>0</v>
      </c>
      <c r="C13">
        <v>0</v>
      </c>
      <c r="D13">
        <f>Keadby!$U$36</f>
        <v>15792583.563413963</v>
      </c>
      <c r="E13">
        <f>Keadby!$Y$36</f>
        <v>18239493.389453914</v>
      </c>
      <c r="F13" s="95">
        <f>Keadby!$G$49</f>
        <v>105252679.91459754</v>
      </c>
    </row>
    <row r="14" spans="1:6" x14ac:dyDescent="0.25">
      <c r="A14" t="s">
        <v>320</v>
      </c>
      <c r="B14">
        <v>0</v>
      </c>
      <c r="C14">
        <v>0</v>
      </c>
      <c r="D14">
        <f>Keadby!$U$36</f>
        <v>15792583.563413963</v>
      </c>
      <c r="E14">
        <f>Keadby!$Y$36</f>
        <v>18239493.389453914</v>
      </c>
      <c r="F14" s="95">
        <f>Keadby!$C$49</f>
        <v>74063809.238090321</v>
      </c>
    </row>
    <row r="15" spans="1:6" x14ac:dyDescent="0.25">
      <c r="A15" t="s">
        <v>321</v>
      </c>
      <c r="B15">
        <f>Keadby!$M$36</f>
        <v>109299193.7885534</v>
      </c>
      <c r="C15">
        <v>0</v>
      </c>
      <c r="D15">
        <f>Keadby!$U$36</f>
        <v>15792583.563413963</v>
      </c>
      <c r="E15">
        <f>Keadby!$Y$36</f>
        <v>18239493.389453914</v>
      </c>
      <c r="F15" s="95">
        <f>Keadby!$O$49</f>
        <v>155650268.27061847</v>
      </c>
    </row>
    <row r="16" spans="1:6" x14ac:dyDescent="0.25">
      <c r="A16" t="s">
        <v>322</v>
      </c>
      <c r="B16">
        <f>Keadby!$M$36</f>
        <v>109299193.7885534</v>
      </c>
      <c r="C16">
        <v>0</v>
      </c>
      <c r="D16">
        <f>Keadby!$U$36</f>
        <v>15792583.563413963</v>
      </c>
      <c r="E16">
        <f>Keadby!$Y$36</f>
        <v>18239493.389453914</v>
      </c>
      <c r="F16" s="95">
        <f>Keadby!$S$49</f>
        <v>124461397.59411125</v>
      </c>
    </row>
    <row r="17" spans="1:25" x14ac:dyDescent="0.25">
      <c r="A17" t="s">
        <v>323</v>
      </c>
      <c r="B17">
        <v>0</v>
      </c>
      <c r="C17">
        <v>0</v>
      </c>
      <c r="D17">
        <f>Keadby!$U$36*2</f>
        <v>31585167.126827925</v>
      </c>
      <c r="E17">
        <f>Keadby!$Y$36</f>
        <v>18239493.389453914</v>
      </c>
      <c r="F17" s="95">
        <f>Keadby!$O$49</f>
        <v>155650268.27061847</v>
      </c>
    </row>
    <row r="18" spans="1:25" x14ac:dyDescent="0.25">
      <c r="A18" t="s">
        <v>324</v>
      </c>
      <c r="B18">
        <v>0</v>
      </c>
      <c r="C18">
        <f>Keadby!$Q$36</f>
        <v>32244247.66077457</v>
      </c>
      <c r="D18">
        <f>Keadby!$U$36</f>
        <v>15792583.563413963</v>
      </c>
      <c r="E18">
        <f>Keadby!$Y$36</f>
        <v>18239493.389453914</v>
      </c>
      <c r="F18" s="95">
        <f>Keadby!$O$49</f>
        <v>155650268.27061847</v>
      </c>
    </row>
    <row r="19" spans="1:25" x14ac:dyDescent="0.25">
      <c r="A19" t="s">
        <v>325</v>
      </c>
      <c r="B19">
        <v>0</v>
      </c>
      <c r="C19">
        <f>Keadby!$Q$36</f>
        <v>32244247.66077457</v>
      </c>
      <c r="D19">
        <f>Keadby!$U$36</f>
        <v>15792583.563413963</v>
      </c>
      <c r="E19">
        <f>Keadby!$Y$36</f>
        <v>18239493.389453914</v>
      </c>
      <c r="F19" s="95">
        <f>Keadby!$S$49</f>
        <v>124461397.59411125</v>
      </c>
    </row>
    <row r="24" spans="1:25" ht="15.6" customHeight="1" x14ac:dyDescent="0.25"/>
    <row r="27" spans="1:25" x14ac:dyDescent="0.25">
      <c r="A27" t="s">
        <v>81</v>
      </c>
      <c r="B27" t="s">
        <v>8</v>
      </c>
      <c r="C27" t="s">
        <v>79</v>
      </c>
      <c r="D27" t="s">
        <v>273</v>
      </c>
    </row>
    <row r="28" spans="1:25" ht="15.75" x14ac:dyDescent="0.25">
      <c r="A28" t="s">
        <v>282</v>
      </c>
      <c r="B28" s="92">
        <v>893</v>
      </c>
      <c r="C28" t="s">
        <v>283</v>
      </c>
      <c r="K28" s="97" t="s">
        <v>38</v>
      </c>
      <c r="L28" s="97"/>
      <c r="M28" s="97"/>
      <c r="O28" s="97" t="s">
        <v>39</v>
      </c>
      <c r="P28" s="97"/>
      <c r="Q28" s="97"/>
      <c r="S28" s="97" t="s">
        <v>42</v>
      </c>
      <c r="T28" s="97"/>
      <c r="U28" s="97"/>
      <c r="W28" s="97" t="s">
        <v>46</v>
      </c>
      <c r="X28" s="97"/>
      <c r="Y28" s="97"/>
    </row>
    <row r="29" spans="1:25" x14ac:dyDescent="0.25">
      <c r="A29" t="s">
        <v>181</v>
      </c>
      <c r="B29" s="91">
        <v>0.64180000000000004</v>
      </c>
      <c r="C29" t="s">
        <v>284</v>
      </c>
      <c r="K29" s="3"/>
      <c r="L29" s="4" t="s">
        <v>7</v>
      </c>
      <c r="M29" s="4" t="s">
        <v>8</v>
      </c>
      <c r="O29" s="3"/>
      <c r="P29" s="4" t="s">
        <v>7</v>
      </c>
      <c r="Q29" s="4" t="s">
        <v>8</v>
      </c>
      <c r="S29" s="3"/>
      <c r="T29" s="4" t="s">
        <v>7</v>
      </c>
      <c r="U29" s="4" t="s">
        <v>8</v>
      </c>
      <c r="W29" s="3"/>
      <c r="X29" s="4" t="s">
        <v>7</v>
      </c>
      <c r="Y29" s="4" t="s">
        <v>8</v>
      </c>
    </row>
    <row r="30" spans="1:25" x14ac:dyDescent="0.25">
      <c r="A30" t="s">
        <v>33</v>
      </c>
      <c r="B30" s="26">
        <v>3</v>
      </c>
      <c r="C30" t="s">
        <v>171</v>
      </c>
      <c r="K30" s="6" t="s">
        <v>31</v>
      </c>
      <c r="L30" s="7" t="s">
        <v>34</v>
      </c>
      <c r="M30" s="20">
        <f>B37</f>
        <v>1091.0200101638295</v>
      </c>
      <c r="O30" s="6" t="s">
        <v>298</v>
      </c>
      <c r="P30" s="7" t="s">
        <v>34</v>
      </c>
      <c r="Q30" s="20">
        <f>B38</f>
        <v>321.86074015001122</v>
      </c>
      <c r="S30" s="1" t="s">
        <v>42</v>
      </c>
      <c r="T30" s="7" t="s">
        <v>34</v>
      </c>
      <c r="U30" s="20">
        <f>B39</f>
        <v>157.64091282504484</v>
      </c>
      <c r="W30" s="1" t="s">
        <v>46</v>
      </c>
      <c r="X30" s="7" t="s">
        <v>34</v>
      </c>
      <c r="Y30" s="20">
        <f>B40</f>
        <v>182.06586502039821</v>
      </c>
    </row>
    <row r="31" spans="1:25" ht="15.75" x14ac:dyDescent="0.3">
      <c r="A31" t="s">
        <v>285</v>
      </c>
      <c r="B31" s="24">
        <f>Inputs!B46</f>
        <v>7.9798755710655769E-2</v>
      </c>
      <c r="C31" t="s">
        <v>240</v>
      </c>
      <c r="K31" s="6" t="s">
        <v>23</v>
      </c>
      <c r="L31" s="7" t="s">
        <v>26</v>
      </c>
      <c r="M31" s="23">
        <f>$B$28</f>
        <v>893</v>
      </c>
      <c r="O31" s="6" t="s">
        <v>23</v>
      </c>
      <c r="P31" s="7" t="s">
        <v>26</v>
      </c>
      <c r="Q31" s="23">
        <f>$B$28</f>
        <v>893</v>
      </c>
      <c r="S31" s="6" t="s">
        <v>23</v>
      </c>
      <c r="T31" s="7" t="s">
        <v>26</v>
      </c>
      <c r="U31" s="23">
        <f>$B$28</f>
        <v>893</v>
      </c>
      <c r="W31" s="6" t="s">
        <v>23</v>
      </c>
      <c r="X31" s="7" t="s">
        <v>26</v>
      </c>
      <c r="Y31" s="23">
        <f>$B$28</f>
        <v>893</v>
      </c>
    </row>
    <row r="32" spans="1:25" x14ac:dyDescent="0.25">
      <c r="A32" t="s">
        <v>286</v>
      </c>
      <c r="B32" s="24">
        <f>Inputs!B47</f>
        <v>0.11340265885321586</v>
      </c>
      <c r="C32" t="s">
        <v>240</v>
      </c>
      <c r="K32" s="6" t="s">
        <v>33</v>
      </c>
      <c r="L32" s="7" t="s">
        <v>171</v>
      </c>
      <c r="M32" s="70">
        <f>$B$30</f>
        <v>3</v>
      </c>
      <c r="O32" s="6" t="s">
        <v>33</v>
      </c>
      <c r="P32" s="7" t="s">
        <v>171</v>
      </c>
      <c r="Q32" s="70">
        <f>$B$30</f>
        <v>3</v>
      </c>
      <c r="S32" s="6" t="s">
        <v>33</v>
      </c>
      <c r="T32" s="7" t="s">
        <v>171</v>
      </c>
      <c r="U32" s="70">
        <f>$B$30</f>
        <v>3</v>
      </c>
      <c r="W32" s="6" t="s">
        <v>33</v>
      </c>
      <c r="X32" s="7" t="s">
        <v>171</v>
      </c>
      <c r="Y32" s="70">
        <f>$B$30</f>
        <v>3</v>
      </c>
    </row>
    <row r="33" spans="1:25" x14ac:dyDescent="0.25">
      <c r="A33" t="s">
        <v>293</v>
      </c>
      <c r="B33" s="24">
        <v>0</v>
      </c>
      <c r="C33" t="s">
        <v>240</v>
      </c>
      <c r="K33" s="6" t="s">
        <v>33</v>
      </c>
      <c r="L33" s="7" t="s">
        <v>35</v>
      </c>
      <c r="M33" s="8">
        <f>M31*24*M32</f>
        <v>64296</v>
      </c>
      <c r="O33" s="6" t="s">
        <v>33</v>
      </c>
      <c r="P33" s="7" t="s">
        <v>35</v>
      </c>
      <c r="Q33" s="8">
        <f>Q31*24*Q32</f>
        <v>64296</v>
      </c>
      <c r="S33" s="6" t="s">
        <v>33</v>
      </c>
      <c r="T33" s="7" t="s">
        <v>35</v>
      </c>
      <c r="U33" s="8">
        <f>U31*24*U32</f>
        <v>64296</v>
      </c>
      <c r="W33" s="6" t="s">
        <v>33</v>
      </c>
      <c r="X33" s="7" t="s">
        <v>35</v>
      </c>
      <c r="Y33" s="8">
        <f>Y31*24*Y32</f>
        <v>64296</v>
      </c>
    </row>
    <row r="34" spans="1:25" x14ac:dyDescent="0.25">
      <c r="A34" t="s">
        <v>295</v>
      </c>
      <c r="B34" s="24">
        <f>Inputs!B48</f>
        <v>0.16770265885321586</v>
      </c>
      <c r="C34" t="s">
        <v>240</v>
      </c>
      <c r="K34" s="6" t="s">
        <v>32</v>
      </c>
      <c r="L34" s="7" t="s">
        <v>6</v>
      </c>
      <c r="M34" s="22">
        <f>$B$29</f>
        <v>0.64180000000000004</v>
      </c>
      <c r="O34" s="6" t="s">
        <v>32</v>
      </c>
      <c r="P34" s="7" t="s">
        <v>6</v>
      </c>
      <c r="Q34" s="22">
        <f>$B$29</f>
        <v>0.64180000000000004</v>
      </c>
      <c r="S34" s="6" t="s">
        <v>32</v>
      </c>
      <c r="T34" s="7" t="s">
        <v>6</v>
      </c>
      <c r="U34" s="22">
        <f>$B$29</f>
        <v>0.64180000000000004</v>
      </c>
      <c r="W34" s="6" t="s">
        <v>32</v>
      </c>
      <c r="X34" s="7" t="s">
        <v>6</v>
      </c>
      <c r="Y34" s="22">
        <f>$B$29</f>
        <v>0.64180000000000004</v>
      </c>
    </row>
    <row r="35" spans="1:25" x14ac:dyDescent="0.25">
      <c r="A35" t="s">
        <v>296</v>
      </c>
      <c r="B35" s="24">
        <f>Inputs!B49</f>
        <v>0.13409875571065577</v>
      </c>
      <c r="C35" t="s">
        <v>240</v>
      </c>
      <c r="K35" s="6" t="s">
        <v>33</v>
      </c>
      <c r="L35" s="7" t="s">
        <v>36</v>
      </c>
      <c r="M35" s="8">
        <f>M33/M34</f>
        <v>100180.74166406979</v>
      </c>
      <c r="O35" s="6" t="s">
        <v>33</v>
      </c>
      <c r="P35" s="7" t="s">
        <v>36</v>
      </c>
      <c r="Q35" s="8">
        <f>Q33/Q34</f>
        <v>100180.74166406979</v>
      </c>
      <c r="S35" s="6" t="s">
        <v>33</v>
      </c>
      <c r="T35" s="7" t="s">
        <v>36</v>
      </c>
      <c r="U35" s="8">
        <f>U33/U34</f>
        <v>100180.74166406979</v>
      </c>
      <c r="W35" s="6" t="s">
        <v>33</v>
      </c>
      <c r="X35" s="7" t="s">
        <v>36</v>
      </c>
      <c r="Y35" s="8">
        <f>Y33/Y34</f>
        <v>100180.74166406979</v>
      </c>
    </row>
    <row r="36" spans="1:25" x14ac:dyDescent="0.25">
      <c r="A36" t="s">
        <v>5</v>
      </c>
      <c r="B36" s="26">
        <f>Inflation_Adjustment!Y20</f>
        <v>1039.3419734010781</v>
      </c>
      <c r="C36" t="s">
        <v>107</v>
      </c>
      <c r="D36" t="s">
        <v>272</v>
      </c>
      <c r="K36" s="6" t="s">
        <v>287</v>
      </c>
      <c r="L36" s="7" t="s">
        <v>288</v>
      </c>
      <c r="M36" s="93">
        <f>M35*M30</f>
        <v>109299193.7885534</v>
      </c>
      <c r="O36" s="6" t="s">
        <v>287</v>
      </c>
      <c r="P36" s="7" t="s">
        <v>288</v>
      </c>
      <c r="Q36" s="93">
        <f>Q35*Q30</f>
        <v>32244247.66077457</v>
      </c>
      <c r="S36" s="6" t="s">
        <v>287</v>
      </c>
      <c r="T36" s="7" t="s">
        <v>288</v>
      </c>
      <c r="U36" s="93">
        <f>U35*U30</f>
        <v>15792583.563413963</v>
      </c>
      <c r="W36" s="6" t="s">
        <v>287</v>
      </c>
      <c r="X36" s="7" t="s">
        <v>288</v>
      </c>
      <c r="Y36" s="93">
        <f>Y35*Y30</f>
        <v>18239493.389453914</v>
      </c>
    </row>
    <row r="37" spans="1:25" x14ac:dyDescent="0.25">
      <c r="A37" s="1" t="s">
        <v>31</v>
      </c>
      <c r="B37" s="26">
        <f>Inflation_Adjustment!$N$20</f>
        <v>1091.0200101638295</v>
      </c>
      <c r="C37" t="s">
        <v>177</v>
      </c>
      <c r="D37" t="s">
        <v>272</v>
      </c>
    </row>
    <row r="38" spans="1:25" x14ac:dyDescent="0.25">
      <c r="A38" s="1" t="s">
        <v>39</v>
      </c>
      <c r="B38" s="26">
        <f>Inflation_Adjustment!$O$20</f>
        <v>321.86074015001122</v>
      </c>
      <c r="C38" t="s">
        <v>177</v>
      </c>
      <c r="D38" t="s">
        <v>272</v>
      </c>
    </row>
    <row r="39" spans="1:25" x14ac:dyDescent="0.25">
      <c r="A39" s="1" t="s">
        <v>42</v>
      </c>
      <c r="B39" s="26">
        <f>Inflation_Adjustment!$U$20</f>
        <v>157.64091282504484</v>
      </c>
      <c r="C39" t="s">
        <v>177</v>
      </c>
      <c r="D39" t="s">
        <v>272</v>
      </c>
    </row>
    <row r="40" spans="1:25" x14ac:dyDescent="0.25">
      <c r="A40" s="1" t="s">
        <v>46</v>
      </c>
      <c r="B40" s="26">
        <f>Inflation_Adjustment!$X$20</f>
        <v>182.06586502039821</v>
      </c>
      <c r="C40" t="s">
        <v>177</v>
      </c>
      <c r="D40" t="s">
        <v>272</v>
      </c>
    </row>
    <row r="43" spans="1:25" ht="15.75" thickBot="1" x14ac:dyDescent="0.3"/>
    <row r="44" spans="1:25" ht="15.75" x14ac:dyDescent="0.25">
      <c r="A44" s="98" t="s">
        <v>23</v>
      </c>
      <c r="B44" s="99"/>
      <c r="C44" s="100"/>
      <c r="E44" s="98" t="s">
        <v>40</v>
      </c>
      <c r="F44" s="99"/>
      <c r="G44" s="100"/>
      <c r="I44" s="98" t="s">
        <v>152</v>
      </c>
      <c r="J44" s="99"/>
      <c r="K44" s="100"/>
      <c r="M44" s="98" t="s">
        <v>294</v>
      </c>
      <c r="N44" s="99"/>
      <c r="O44" s="100"/>
      <c r="Q44" s="98" t="s">
        <v>294</v>
      </c>
      <c r="R44" s="99"/>
      <c r="S44" s="100"/>
    </row>
    <row r="45" spans="1:25" x14ac:dyDescent="0.25">
      <c r="A45" s="59"/>
      <c r="B45" s="4" t="s">
        <v>7</v>
      </c>
      <c r="C45" s="60"/>
      <c r="E45" s="59"/>
      <c r="F45" s="4" t="s">
        <v>7</v>
      </c>
      <c r="G45" s="60"/>
      <c r="I45" s="59"/>
      <c r="J45" s="4" t="s">
        <v>7</v>
      </c>
      <c r="K45" s="60"/>
      <c r="M45" s="59"/>
      <c r="N45" s="4" t="s">
        <v>7</v>
      </c>
      <c r="O45" s="60"/>
      <c r="Q45" s="59"/>
      <c r="R45" s="4" t="s">
        <v>7</v>
      </c>
      <c r="S45" s="60"/>
    </row>
    <row r="46" spans="1:25" ht="15.75" x14ac:dyDescent="0.3">
      <c r="A46" s="64" t="s">
        <v>23</v>
      </c>
      <c r="B46" s="7" t="s">
        <v>9</v>
      </c>
      <c r="C46" s="65">
        <f>$B$36</f>
        <v>1039.3419734010781</v>
      </c>
      <c r="E46" s="64" t="s">
        <v>23</v>
      </c>
      <c r="F46" s="7" t="s">
        <v>9</v>
      </c>
      <c r="G46" s="65">
        <f>$B$36</f>
        <v>1039.3419734010781</v>
      </c>
      <c r="I46" s="64" t="s">
        <v>23</v>
      </c>
      <c r="J46" s="7" t="s">
        <v>9</v>
      </c>
      <c r="K46" s="65">
        <f>$B$36</f>
        <v>1039.3419734010781</v>
      </c>
      <c r="M46" s="64" t="s">
        <v>23</v>
      </c>
      <c r="N46" s="7" t="s">
        <v>9</v>
      </c>
      <c r="O46" s="65">
        <f>$B$36</f>
        <v>1039.3419734010781</v>
      </c>
      <c r="Q46" s="64" t="s">
        <v>23</v>
      </c>
      <c r="R46" s="7" t="s">
        <v>9</v>
      </c>
      <c r="S46" s="65">
        <f>$B$36</f>
        <v>1039.3419734010781</v>
      </c>
    </row>
    <row r="47" spans="1:25" ht="15.75" x14ac:dyDescent="0.3">
      <c r="A47" s="64" t="s">
        <v>10</v>
      </c>
      <c r="B47" s="7" t="s">
        <v>26</v>
      </c>
      <c r="C47" s="94">
        <f>$B$28</f>
        <v>893</v>
      </c>
      <c r="E47" s="64" t="s">
        <v>10</v>
      </c>
      <c r="F47" s="7" t="s">
        <v>26</v>
      </c>
      <c r="G47" s="94">
        <f>$B$28</f>
        <v>893</v>
      </c>
      <c r="I47" s="64" t="s">
        <v>10</v>
      </c>
      <c r="J47" s="7" t="s">
        <v>26</v>
      </c>
      <c r="K47" s="94">
        <f>$B$28</f>
        <v>893</v>
      </c>
      <c r="M47" s="64" t="s">
        <v>10</v>
      </c>
      <c r="N47" s="7" t="s">
        <v>26</v>
      </c>
      <c r="O47" s="94">
        <f>$B$28</f>
        <v>893</v>
      </c>
      <c r="Q47" s="64" t="s">
        <v>10</v>
      </c>
      <c r="R47" s="7" t="s">
        <v>26</v>
      </c>
      <c r="S47" s="94">
        <f>$B$28</f>
        <v>893</v>
      </c>
    </row>
    <row r="48" spans="1:25" x14ac:dyDescent="0.25">
      <c r="A48" s="64" t="s">
        <v>28</v>
      </c>
      <c r="B48" s="7" t="s">
        <v>6</v>
      </c>
      <c r="C48" s="67">
        <f>B31</f>
        <v>7.9798755710655769E-2</v>
      </c>
      <c r="E48" s="64" t="s">
        <v>28</v>
      </c>
      <c r="F48" s="7" t="s">
        <v>6</v>
      </c>
      <c r="G48" s="67">
        <f>B32</f>
        <v>0.11340265885321586</v>
      </c>
      <c r="I48" s="64" t="s">
        <v>28</v>
      </c>
      <c r="J48" s="7" t="s">
        <v>6</v>
      </c>
      <c r="K48" s="67">
        <v>1</v>
      </c>
      <c r="M48" s="64" t="s">
        <v>28</v>
      </c>
      <c r="N48" s="7" t="s">
        <v>6</v>
      </c>
      <c r="O48" s="67">
        <f>B34</f>
        <v>0.16770265885321586</v>
      </c>
      <c r="Q48" s="64" t="s">
        <v>28</v>
      </c>
      <c r="R48" s="7" t="s">
        <v>6</v>
      </c>
      <c r="S48" s="67">
        <f>B35</f>
        <v>0.13409875571065577</v>
      </c>
    </row>
    <row r="49" spans="1:19" x14ac:dyDescent="0.25">
      <c r="A49" s="64" t="s">
        <v>287</v>
      </c>
      <c r="B49" s="7" t="s">
        <v>288</v>
      </c>
      <c r="C49" s="65">
        <f>C46*C47*1000*C48</f>
        <v>74063809.238090321</v>
      </c>
      <c r="E49" s="64" t="s">
        <v>287</v>
      </c>
      <c r="F49" s="7" t="s">
        <v>288</v>
      </c>
      <c r="G49" s="65">
        <f>G46*G47*1000*G48</f>
        <v>105252679.91459754</v>
      </c>
      <c r="I49" s="64" t="s">
        <v>287</v>
      </c>
      <c r="J49" s="7" t="s">
        <v>288</v>
      </c>
      <c r="K49" s="65">
        <f>K46*K47*1000*K48</f>
        <v>928132382.2471627</v>
      </c>
      <c r="M49" s="64" t="s">
        <v>287</v>
      </c>
      <c r="N49" s="7" t="s">
        <v>288</v>
      </c>
      <c r="O49" s="65">
        <f>O46*O47*1000*O48</f>
        <v>155650268.27061847</v>
      </c>
      <c r="Q49" s="64" t="s">
        <v>287</v>
      </c>
      <c r="R49" s="7" t="s">
        <v>288</v>
      </c>
      <c r="S49" s="65">
        <f>S46*S47*1000*S48</f>
        <v>124461397.59411125</v>
      </c>
    </row>
    <row r="64" spans="1:19" x14ac:dyDescent="0.25">
      <c r="C64" s="95"/>
    </row>
  </sheetData>
  <mergeCells count="9">
    <mergeCell ref="K28:M28"/>
    <mergeCell ref="O28:Q28"/>
    <mergeCell ref="S28:U28"/>
    <mergeCell ref="W28:Y28"/>
    <mergeCell ref="A44:C44"/>
    <mergeCell ref="E44:G44"/>
    <mergeCell ref="I44:K44"/>
    <mergeCell ref="M44:O44"/>
    <mergeCell ref="Q44:S44"/>
  </mergeCells>
  <conditionalFormatting sqref="A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E728-5D44-40E8-9222-DFC040C3BC33}">
  <sheetPr>
    <tabColor rgb="FF00B0F0"/>
  </sheetPr>
  <dimension ref="A1:Y65"/>
  <sheetViews>
    <sheetView workbookViewId="0">
      <selection activeCell="G1" sqref="G1"/>
    </sheetView>
  </sheetViews>
  <sheetFormatPr defaultRowHeight="15" x14ac:dyDescent="0.25"/>
  <cols>
    <col min="1" max="1" width="23.7109375" bestFit="1" customWidth="1"/>
    <col min="2" max="2" width="13.42578125" customWidth="1"/>
    <col min="3" max="3" width="27.5703125" bestFit="1" customWidth="1"/>
    <col min="4" max="4" width="13.7109375" bestFit="1" customWidth="1"/>
    <col min="5" max="5" width="11.140625" bestFit="1" customWidth="1"/>
    <col min="6" max="6" width="21.28515625" customWidth="1"/>
    <col min="7" max="7" width="23.28515625" bestFit="1" customWidth="1"/>
    <col min="11" max="11" width="14.7109375" bestFit="1" customWidth="1"/>
    <col min="13" max="13" width="13.140625" customWidth="1"/>
    <col min="15" max="15" width="15.85546875" customWidth="1"/>
    <col min="17" max="17" width="10.85546875" customWidth="1"/>
    <col min="19" max="19" width="12.85546875" customWidth="1"/>
    <col min="23" max="23" width="14.7109375" bestFit="1" customWidth="1"/>
    <col min="25" max="25" width="10.7109375" customWidth="1"/>
    <col min="29" max="29" width="12" customWidth="1"/>
  </cols>
  <sheetData>
    <row r="1" spans="1:7" x14ac:dyDescent="0.25">
      <c r="A1" s="76" t="s">
        <v>79</v>
      </c>
      <c r="B1" t="s">
        <v>38</v>
      </c>
      <c r="C1" t="s">
        <v>39</v>
      </c>
      <c r="D1" t="s">
        <v>42</v>
      </c>
      <c r="E1" t="s">
        <v>46</v>
      </c>
      <c r="F1" t="s">
        <v>297</v>
      </c>
      <c r="G1" t="s">
        <v>280</v>
      </c>
    </row>
    <row r="2" spans="1:7" x14ac:dyDescent="0.25">
      <c r="A2" s="76" t="s">
        <v>312</v>
      </c>
      <c r="B2">
        <v>0</v>
      </c>
      <c r="C2">
        <v>0</v>
      </c>
      <c r="D2">
        <v>0</v>
      </c>
      <c r="E2">
        <f>UK!$Y$37</f>
        <v>790686042.37430072</v>
      </c>
      <c r="F2" s="95">
        <v>0</v>
      </c>
      <c r="G2" s="95">
        <f t="shared" ref="G2:G20" si="0">$K$50</f>
        <v>39494994989.240967</v>
      </c>
    </row>
    <row r="3" spans="1:7" x14ac:dyDescent="0.25">
      <c r="A3" t="s">
        <v>289</v>
      </c>
      <c r="B3">
        <f>UK!$M$37</f>
        <v>4738144044.1400595</v>
      </c>
      <c r="C3">
        <v>0</v>
      </c>
      <c r="D3">
        <v>0</v>
      </c>
      <c r="E3">
        <v>0</v>
      </c>
      <c r="F3" s="95">
        <f>UK!$C$50</f>
        <v>3151651456.9400134</v>
      </c>
      <c r="G3" s="95">
        <f>$K$50</f>
        <v>39494994989.240967</v>
      </c>
    </row>
    <row r="4" spans="1:7" x14ac:dyDescent="0.25">
      <c r="A4" t="s">
        <v>290</v>
      </c>
      <c r="B4">
        <v>0</v>
      </c>
      <c r="C4">
        <f>UK!$Q$37</f>
        <v>1397795214.3657629</v>
      </c>
      <c r="D4">
        <v>0</v>
      </c>
      <c r="E4">
        <v>0</v>
      </c>
      <c r="F4" s="95">
        <f>UK!$C$50</f>
        <v>3151651456.9400134</v>
      </c>
      <c r="G4" s="95">
        <f t="shared" si="0"/>
        <v>39494994989.240967</v>
      </c>
    </row>
    <row r="5" spans="1:7" x14ac:dyDescent="0.25">
      <c r="A5" t="s">
        <v>291</v>
      </c>
      <c r="B5">
        <v>0</v>
      </c>
      <c r="C5">
        <v>0</v>
      </c>
      <c r="D5">
        <f>UK!$U$37</f>
        <v>684611964.26876616</v>
      </c>
      <c r="E5">
        <v>0</v>
      </c>
      <c r="F5" s="95">
        <f>UK!$G$50</f>
        <v>4478837443.1743631</v>
      </c>
      <c r="G5" s="95">
        <f t="shared" si="0"/>
        <v>39494994989.240967</v>
      </c>
    </row>
    <row r="6" spans="1:7" x14ac:dyDescent="0.25">
      <c r="A6" t="s">
        <v>292</v>
      </c>
      <c r="B6">
        <v>0</v>
      </c>
      <c r="C6">
        <v>0</v>
      </c>
      <c r="D6">
        <v>0</v>
      </c>
      <c r="E6">
        <f>UK!$Y$37</f>
        <v>790686042.37430072</v>
      </c>
      <c r="F6" s="95">
        <v>0</v>
      </c>
      <c r="G6" s="95">
        <f t="shared" si="0"/>
        <v>39494994989.240967</v>
      </c>
    </row>
    <row r="7" spans="1:7" x14ac:dyDescent="0.25">
      <c r="A7" t="s">
        <v>311</v>
      </c>
      <c r="B7">
        <v>0</v>
      </c>
      <c r="C7">
        <v>0</v>
      </c>
      <c r="D7">
        <f>UK!$U$37</f>
        <v>684611964.26876616</v>
      </c>
      <c r="E7">
        <v>0</v>
      </c>
      <c r="F7" s="95">
        <f>UK!$C$50</f>
        <v>3151651456.9400134</v>
      </c>
      <c r="G7" s="95">
        <f t="shared" si="0"/>
        <v>39494994989.240967</v>
      </c>
    </row>
    <row r="8" spans="1:7" x14ac:dyDescent="0.25">
      <c r="A8" t="s">
        <v>313</v>
      </c>
      <c r="B8">
        <v>0</v>
      </c>
      <c r="C8">
        <f>UK!$Q$37</f>
        <v>1397795214.3657629</v>
      </c>
      <c r="D8">
        <f>UK!$U$37</f>
        <v>684611964.26876616</v>
      </c>
      <c r="E8">
        <v>0</v>
      </c>
      <c r="F8" s="95">
        <f>UK!$G$50</f>
        <v>4478837443.1743631</v>
      </c>
      <c r="G8" s="95">
        <f t="shared" si="0"/>
        <v>39494994989.240967</v>
      </c>
    </row>
    <row r="9" spans="1:7" x14ac:dyDescent="0.25">
      <c r="A9" t="s">
        <v>314</v>
      </c>
      <c r="B9">
        <v>0</v>
      </c>
      <c r="C9">
        <f>UK!$Q$37</f>
        <v>1397795214.3657629</v>
      </c>
      <c r="D9">
        <v>0</v>
      </c>
      <c r="E9">
        <f>UK!$Y$37</f>
        <v>790686042.37430072</v>
      </c>
      <c r="F9" s="95">
        <f>UK!$C$50</f>
        <v>3151651456.9400134</v>
      </c>
      <c r="G9" s="95">
        <f t="shared" si="0"/>
        <v>39494994989.240967</v>
      </c>
    </row>
    <row r="10" spans="1:7" x14ac:dyDescent="0.25">
      <c r="A10" t="s">
        <v>315</v>
      </c>
      <c r="B10">
        <v>0</v>
      </c>
      <c r="C10">
        <f>UK!$Q$37</f>
        <v>1397795214.3657629</v>
      </c>
      <c r="D10">
        <f>UK!$U$37</f>
        <v>684611964.26876616</v>
      </c>
      <c r="E10">
        <v>0</v>
      </c>
      <c r="F10" s="95">
        <f>UK!$C$50</f>
        <v>3151651456.9400134</v>
      </c>
      <c r="G10" s="95">
        <f t="shared" si="0"/>
        <v>39494994989.240967</v>
      </c>
    </row>
    <row r="11" spans="1:7" x14ac:dyDescent="0.25">
      <c r="A11" t="s">
        <v>316</v>
      </c>
      <c r="B11">
        <f>UK!$M$37</f>
        <v>4738144044.1400595</v>
      </c>
      <c r="C11">
        <v>0</v>
      </c>
      <c r="D11">
        <f>UK!$U$37</f>
        <v>684611964.26876616</v>
      </c>
      <c r="E11">
        <v>0</v>
      </c>
      <c r="F11" s="95">
        <f>UK!$G$50</f>
        <v>4478837443.1743631</v>
      </c>
      <c r="G11" s="95">
        <f t="shared" si="0"/>
        <v>39494994989.240967</v>
      </c>
    </row>
    <row r="12" spans="1:7" x14ac:dyDescent="0.25">
      <c r="A12" t="s">
        <v>317</v>
      </c>
      <c r="B12">
        <f>UK!$M$37</f>
        <v>4738144044.1400595</v>
      </c>
      <c r="C12">
        <v>0</v>
      </c>
      <c r="D12">
        <v>0</v>
      </c>
      <c r="E12">
        <f>UK!$Y$37</f>
        <v>790686042.37430072</v>
      </c>
      <c r="F12" s="95">
        <f>UK!$C$50</f>
        <v>3151651456.9400134</v>
      </c>
      <c r="G12" s="95">
        <f t="shared" si="0"/>
        <v>39494994989.240967</v>
      </c>
    </row>
    <row r="13" spans="1:7" x14ac:dyDescent="0.25">
      <c r="A13" t="s">
        <v>318</v>
      </c>
      <c r="B13">
        <f>UK!$M$37</f>
        <v>4738144044.1400595</v>
      </c>
      <c r="C13">
        <v>0</v>
      </c>
      <c r="D13">
        <f>UK!$U$37</f>
        <v>684611964.26876616</v>
      </c>
      <c r="E13">
        <v>0</v>
      </c>
      <c r="F13" s="95">
        <f>UK!$C$50</f>
        <v>3151651456.9400134</v>
      </c>
      <c r="G13" s="95">
        <f t="shared" si="0"/>
        <v>39494994989.240967</v>
      </c>
    </row>
    <row r="14" spans="1:7" x14ac:dyDescent="0.25">
      <c r="A14" t="s">
        <v>319</v>
      </c>
      <c r="B14">
        <v>0</v>
      </c>
      <c r="C14">
        <v>0</v>
      </c>
      <c r="D14">
        <f>UK!$U$37</f>
        <v>684611964.26876616</v>
      </c>
      <c r="E14">
        <f>UK!$Y$37</f>
        <v>790686042.37430072</v>
      </c>
      <c r="F14" s="95">
        <f>UK!$G$50</f>
        <v>4478837443.1743631</v>
      </c>
      <c r="G14" s="95">
        <f t="shared" si="0"/>
        <v>39494994989.240967</v>
      </c>
    </row>
    <row r="15" spans="1:7" x14ac:dyDescent="0.25">
      <c r="A15" t="s">
        <v>320</v>
      </c>
      <c r="B15">
        <v>0</v>
      </c>
      <c r="C15">
        <v>0</v>
      </c>
      <c r="D15">
        <f>UK!$U$37</f>
        <v>684611964.26876616</v>
      </c>
      <c r="E15">
        <f>UK!$Y$37</f>
        <v>790686042.37430072</v>
      </c>
      <c r="F15" s="95">
        <f>UK!$C$50</f>
        <v>3151651456.9400134</v>
      </c>
      <c r="G15" s="95">
        <f t="shared" si="0"/>
        <v>39494994989.240967</v>
      </c>
    </row>
    <row r="16" spans="1:7" x14ac:dyDescent="0.25">
      <c r="A16" t="s">
        <v>321</v>
      </c>
      <c r="B16">
        <f>UK!$M$37</f>
        <v>4738144044.1400595</v>
      </c>
      <c r="C16">
        <v>0</v>
      </c>
      <c r="D16">
        <f>UK!$U$37</f>
        <v>684611964.26876616</v>
      </c>
      <c r="E16">
        <f>UK!$Y$37</f>
        <v>790686042.37430072</v>
      </c>
      <c r="F16" s="95">
        <f>UK!$O$50</f>
        <v>6623415671.090148</v>
      </c>
      <c r="G16" s="95">
        <f t="shared" si="0"/>
        <v>39494994989.240967</v>
      </c>
    </row>
    <row r="17" spans="1:25" x14ac:dyDescent="0.25">
      <c r="A17" t="s">
        <v>322</v>
      </c>
      <c r="B17">
        <f>UK!$M$37</f>
        <v>4738144044.1400595</v>
      </c>
      <c r="C17">
        <v>0</v>
      </c>
      <c r="D17">
        <f>UK!$U$37</f>
        <v>684611964.26876616</v>
      </c>
      <c r="E17">
        <f>UK!$Y$37</f>
        <v>790686042.37430072</v>
      </c>
      <c r="F17" s="95">
        <f>UK!$S$50</f>
        <v>5296229684.8557978</v>
      </c>
      <c r="G17" s="95">
        <f t="shared" si="0"/>
        <v>39494994989.240967</v>
      </c>
    </row>
    <row r="18" spans="1:25" x14ac:dyDescent="0.25">
      <c r="A18" t="s">
        <v>323</v>
      </c>
      <c r="B18">
        <v>0</v>
      </c>
      <c r="C18">
        <v>0</v>
      </c>
      <c r="D18">
        <f>UK!$U$37*2</f>
        <v>1369223928.5375323</v>
      </c>
      <c r="E18">
        <f>UK!$Y$37</f>
        <v>790686042.37430072</v>
      </c>
      <c r="F18" s="95">
        <f>UK!$O$50</f>
        <v>6623415671.090148</v>
      </c>
      <c r="G18" s="95">
        <f t="shared" si="0"/>
        <v>39494994989.240967</v>
      </c>
    </row>
    <row r="19" spans="1:25" x14ac:dyDescent="0.25">
      <c r="A19" t="s">
        <v>324</v>
      </c>
      <c r="B19">
        <v>0</v>
      </c>
      <c r="C19">
        <f>UK!$Q$37</f>
        <v>1397795214.3657629</v>
      </c>
      <c r="D19">
        <f>UK!$U$37</f>
        <v>684611964.26876616</v>
      </c>
      <c r="E19">
        <f>UK!$Y$37</f>
        <v>790686042.37430072</v>
      </c>
      <c r="F19" s="95">
        <f>UK!$O$50</f>
        <v>6623415671.090148</v>
      </c>
      <c r="G19" s="95">
        <f t="shared" si="0"/>
        <v>39494994989.240967</v>
      </c>
    </row>
    <row r="20" spans="1:25" x14ac:dyDescent="0.25">
      <c r="A20" t="s">
        <v>325</v>
      </c>
      <c r="B20">
        <v>0</v>
      </c>
      <c r="C20">
        <f>UK!$Q$37</f>
        <v>1397795214.3657629</v>
      </c>
      <c r="D20">
        <f>UK!$U$37</f>
        <v>684611964.26876616</v>
      </c>
      <c r="E20">
        <f>UK!$Y$37</f>
        <v>790686042.37430072</v>
      </c>
      <c r="F20" s="95">
        <f>UK!$S$50</f>
        <v>5296229684.8557978</v>
      </c>
      <c r="G20" s="95">
        <f t="shared" si="0"/>
        <v>39494994989.240967</v>
      </c>
    </row>
    <row r="25" spans="1:25" ht="15.6" customHeight="1" x14ac:dyDescent="0.25"/>
    <row r="28" spans="1:25" x14ac:dyDescent="0.25">
      <c r="A28" t="s">
        <v>81</v>
      </c>
      <c r="B28" t="s">
        <v>8</v>
      </c>
      <c r="C28" t="s">
        <v>79</v>
      </c>
      <c r="D28" t="s">
        <v>273</v>
      </c>
    </row>
    <row r="29" spans="1:25" ht="15.75" x14ac:dyDescent="0.25">
      <c r="A29" t="s">
        <v>282</v>
      </c>
      <c r="B29" s="92">
        <v>38000</v>
      </c>
      <c r="C29" t="s">
        <v>283</v>
      </c>
      <c r="K29" s="97" t="s">
        <v>38</v>
      </c>
      <c r="L29" s="97"/>
      <c r="M29" s="97"/>
      <c r="O29" s="97" t="s">
        <v>39</v>
      </c>
      <c r="P29" s="97"/>
      <c r="Q29" s="97"/>
      <c r="S29" s="97" t="s">
        <v>42</v>
      </c>
      <c r="T29" s="97"/>
      <c r="U29" s="97"/>
      <c r="W29" s="97" t="s">
        <v>46</v>
      </c>
      <c r="X29" s="97"/>
      <c r="Y29" s="97"/>
    </row>
    <row r="30" spans="1:25" x14ac:dyDescent="0.25">
      <c r="A30" t="s">
        <v>181</v>
      </c>
      <c r="B30" s="91">
        <v>0.63</v>
      </c>
      <c r="C30" t="s">
        <v>284</v>
      </c>
      <c r="K30" s="3"/>
      <c r="L30" s="4" t="s">
        <v>7</v>
      </c>
      <c r="M30" s="4" t="s">
        <v>8</v>
      </c>
      <c r="O30" s="3"/>
      <c r="P30" s="4" t="s">
        <v>7</v>
      </c>
      <c r="Q30" s="4" t="s">
        <v>8</v>
      </c>
      <c r="S30" s="3"/>
      <c r="T30" s="4" t="s">
        <v>7</v>
      </c>
      <c r="U30" s="4" t="s">
        <v>8</v>
      </c>
      <c r="W30" s="3"/>
      <c r="X30" s="4" t="s">
        <v>7</v>
      </c>
      <c r="Y30" s="4" t="s">
        <v>8</v>
      </c>
    </row>
    <row r="31" spans="1:25" x14ac:dyDescent="0.25">
      <c r="A31" t="s">
        <v>33</v>
      </c>
      <c r="B31" s="26">
        <v>3</v>
      </c>
      <c r="C31" t="s">
        <v>171</v>
      </c>
      <c r="K31" s="6" t="s">
        <v>31</v>
      </c>
      <c r="L31" s="7" t="s">
        <v>34</v>
      </c>
      <c r="M31" s="20">
        <f>B38</f>
        <v>1091.0200101638295</v>
      </c>
      <c r="O31" s="6" t="s">
        <v>298</v>
      </c>
      <c r="P31" s="7" t="s">
        <v>34</v>
      </c>
      <c r="Q31" s="20">
        <f>B39</f>
        <v>321.86074015001122</v>
      </c>
      <c r="S31" s="1" t="s">
        <v>42</v>
      </c>
      <c r="T31" s="7" t="s">
        <v>34</v>
      </c>
      <c r="U31" s="20">
        <f>B40</f>
        <v>157.64091282504484</v>
      </c>
      <c r="W31" s="1" t="s">
        <v>46</v>
      </c>
      <c r="X31" s="7" t="s">
        <v>34</v>
      </c>
      <c r="Y31" s="20">
        <f>B41</f>
        <v>182.06586502039821</v>
      </c>
    </row>
    <row r="32" spans="1:25" ht="15.75" x14ac:dyDescent="0.3">
      <c r="A32" t="s">
        <v>285</v>
      </c>
      <c r="B32" s="24">
        <f>Inputs!B46</f>
        <v>7.9798755710655769E-2</v>
      </c>
      <c r="C32" t="s">
        <v>240</v>
      </c>
      <c r="K32" s="6" t="s">
        <v>23</v>
      </c>
      <c r="L32" s="7" t="s">
        <v>26</v>
      </c>
      <c r="M32" s="23">
        <f>$B$29</f>
        <v>38000</v>
      </c>
      <c r="O32" s="6" t="s">
        <v>23</v>
      </c>
      <c r="P32" s="7" t="s">
        <v>26</v>
      </c>
      <c r="Q32" s="23">
        <f>$B$29</f>
        <v>38000</v>
      </c>
      <c r="S32" s="6" t="s">
        <v>23</v>
      </c>
      <c r="T32" s="7" t="s">
        <v>26</v>
      </c>
      <c r="U32" s="23">
        <f>$B$29</f>
        <v>38000</v>
      </c>
      <c r="W32" s="6" t="s">
        <v>23</v>
      </c>
      <c r="X32" s="7" t="s">
        <v>26</v>
      </c>
      <c r="Y32" s="23">
        <f>$B$29</f>
        <v>38000</v>
      </c>
    </row>
    <row r="33" spans="1:25" x14ac:dyDescent="0.25">
      <c r="A33" t="s">
        <v>286</v>
      </c>
      <c r="B33" s="24">
        <f>Inputs!B47</f>
        <v>0.11340265885321586</v>
      </c>
      <c r="C33" t="s">
        <v>240</v>
      </c>
      <c r="K33" s="6" t="s">
        <v>33</v>
      </c>
      <c r="L33" s="7" t="s">
        <v>171</v>
      </c>
      <c r="M33" s="70">
        <f>$B$31</f>
        <v>3</v>
      </c>
      <c r="O33" s="6" t="s">
        <v>33</v>
      </c>
      <c r="P33" s="7" t="s">
        <v>171</v>
      </c>
      <c r="Q33" s="70">
        <f>$B$31</f>
        <v>3</v>
      </c>
      <c r="S33" s="6" t="s">
        <v>33</v>
      </c>
      <c r="T33" s="7" t="s">
        <v>171</v>
      </c>
      <c r="U33" s="70">
        <f>$B$31</f>
        <v>3</v>
      </c>
      <c r="W33" s="6" t="s">
        <v>33</v>
      </c>
      <c r="X33" s="7" t="s">
        <v>171</v>
      </c>
      <c r="Y33" s="70">
        <f>$B$31</f>
        <v>3</v>
      </c>
    </row>
    <row r="34" spans="1:25" x14ac:dyDescent="0.25">
      <c r="A34" t="s">
        <v>293</v>
      </c>
      <c r="B34" s="24">
        <v>0</v>
      </c>
      <c r="C34" t="s">
        <v>240</v>
      </c>
      <c r="K34" s="6" t="s">
        <v>33</v>
      </c>
      <c r="L34" s="7" t="s">
        <v>35</v>
      </c>
      <c r="M34" s="8">
        <f>M32*24*M33</f>
        <v>2736000</v>
      </c>
      <c r="O34" s="6" t="s">
        <v>33</v>
      </c>
      <c r="P34" s="7" t="s">
        <v>35</v>
      </c>
      <c r="Q34" s="8">
        <f>Q32*24*Q33</f>
        <v>2736000</v>
      </c>
      <c r="S34" s="6" t="s">
        <v>33</v>
      </c>
      <c r="T34" s="7" t="s">
        <v>35</v>
      </c>
      <c r="U34" s="8">
        <f>U32*24*U33</f>
        <v>2736000</v>
      </c>
      <c r="W34" s="6" t="s">
        <v>33</v>
      </c>
      <c r="X34" s="7" t="s">
        <v>35</v>
      </c>
      <c r="Y34" s="8">
        <f>Y32*24*Y33</f>
        <v>2736000</v>
      </c>
    </row>
    <row r="35" spans="1:25" x14ac:dyDescent="0.25">
      <c r="A35" t="s">
        <v>295</v>
      </c>
      <c r="B35" s="24">
        <f>Inputs!B48</f>
        <v>0.16770265885321586</v>
      </c>
      <c r="C35" t="s">
        <v>240</v>
      </c>
      <c r="K35" s="6" t="s">
        <v>32</v>
      </c>
      <c r="L35" s="7" t="s">
        <v>6</v>
      </c>
      <c r="M35" s="22">
        <f>$B$30</f>
        <v>0.63</v>
      </c>
      <c r="O35" s="6" t="s">
        <v>32</v>
      </c>
      <c r="P35" s="7" t="s">
        <v>6</v>
      </c>
      <c r="Q35" s="22">
        <f>$B$30</f>
        <v>0.63</v>
      </c>
      <c r="S35" s="6" t="s">
        <v>32</v>
      </c>
      <c r="T35" s="7" t="s">
        <v>6</v>
      </c>
      <c r="U35" s="22">
        <f>$B$30</f>
        <v>0.63</v>
      </c>
      <c r="W35" s="6" t="s">
        <v>32</v>
      </c>
      <c r="X35" s="7" t="s">
        <v>6</v>
      </c>
      <c r="Y35" s="22">
        <f>$B$30</f>
        <v>0.63</v>
      </c>
    </row>
    <row r="36" spans="1:25" x14ac:dyDescent="0.25">
      <c r="A36" t="s">
        <v>296</v>
      </c>
      <c r="B36" s="24">
        <f>Inputs!B49</f>
        <v>0.13409875571065577</v>
      </c>
      <c r="C36" t="s">
        <v>240</v>
      </c>
      <c r="K36" s="6" t="s">
        <v>33</v>
      </c>
      <c r="L36" s="7" t="s">
        <v>36</v>
      </c>
      <c r="M36" s="8">
        <f>M34/M35</f>
        <v>4342857.1428571427</v>
      </c>
      <c r="O36" s="6" t="s">
        <v>33</v>
      </c>
      <c r="P36" s="7" t="s">
        <v>36</v>
      </c>
      <c r="Q36" s="8">
        <f>Q34/Q35</f>
        <v>4342857.1428571427</v>
      </c>
      <c r="S36" s="6" t="s">
        <v>33</v>
      </c>
      <c r="T36" s="7" t="s">
        <v>36</v>
      </c>
      <c r="U36" s="8">
        <f>U34/U35</f>
        <v>4342857.1428571427</v>
      </c>
      <c r="W36" s="6" t="s">
        <v>33</v>
      </c>
      <c r="X36" s="7" t="s">
        <v>36</v>
      </c>
      <c r="Y36" s="8">
        <f>Y34/Y35</f>
        <v>4342857.1428571427</v>
      </c>
    </row>
    <row r="37" spans="1:25" x14ac:dyDescent="0.25">
      <c r="A37" t="s">
        <v>5</v>
      </c>
      <c r="B37" s="26">
        <f>Inflation_Adjustment!Y20</f>
        <v>1039.3419734010781</v>
      </c>
      <c r="C37" t="s">
        <v>107</v>
      </c>
      <c r="D37" t="s">
        <v>272</v>
      </c>
      <c r="K37" s="6" t="s">
        <v>287</v>
      </c>
      <c r="L37" s="7" t="s">
        <v>288</v>
      </c>
      <c r="M37" s="93">
        <f>M36*M31</f>
        <v>4738144044.1400595</v>
      </c>
      <c r="O37" s="6" t="s">
        <v>287</v>
      </c>
      <c r="P37" s="7" t="s">
        <v>288</v>
      </c>
      <c r="Q37" s="93">
        <f>Q36*Q31</f>
        <v>1397795214.3657629</v>
      </c>
      <c r="S37" s="6" t="s">
        <v>287</v>
      </c>
      <c r="T37" s="7" t="s">
        <v>288</v>
      </c>
      <c r="U37" s="93">
        <f>U36*U31</f>
        <v>684611964.26876616</v>
      </c>
      <c r="W37" s="6" t="s">
        <v>287</v>
      </c>
      <c r="X37" s="7" t="s">
        <v>288</v>
      </c>
      <c r="Y37" s="93">
        <f>Y36*Y31</f>
        <v>790686042.37430072</v>
      </c>
    </row>
    <row r="38" spans="1:25" x14ac:dyDescent="0.25">
      <c r="A38" s="1" t="s">
        <v>31</v>
      </c>
      <c r="B38" s="26">
        <f>Inflation_Adjustment!$N$20</f>
        <v>1091.0200101638295</v>
      </c>
      <c r="C38" t="s">
        <v>177</v>
      </c>
      <c r="D38" t="s">
        <v>272</v>
      </c>
    </row>
    <row r="39" spans="1:25" x14ac:dyDescent="0.25">
      <c r="A39" s="1" t="s">
        <v>39</v>
      </c>
      <c r="B39" s="26">
        <f>Inflation_Adjustment!$O$20</f>
        <v>321.86074015001122</v>
      </c>
      <c r="C39" t="s">
        <v>177</v>
      </c>
      <c r="D39" t="s">
        <v>272</v>
      </c>
    </row>
    <row r="40" spans="1:25" x14ac:dyDescent="0.25">
      <c r="A40" s="1" t="s">
        <v>42</v>
      </c>
      <c r="B40" s="26">
        <f>Inflation_Adjustment!$U$20</f>
        <v>157.64091282504484</v>
      </c>
      <c r="C40" t="s">
        <v>177</v>
      </c>
      <c r="D40" t="s">
        <v>272</v>
      </c>
    </row>
    <row r="41" spans="1:25" x14ac:dyDescent="0.25">
      <c r="A41" s="1" t="s">
        <v>46</v>
      </c>
      <c r="B41" s="26">
        <f>Inflation_Adjustment!$X$20</f>
        <v>182.06586502039821</v>
      </c>
      <c r="C41" t="s">
        <v>177</v>
      </c>
      <c r="D41" t="s">
        <v>272</v>
      </c>
    </row>
    <row r="44" spans="1:25" ht="15.75" thickBot="1" x14ac:dyDescent="0.3"/>
    <row r="45" spans="1:25" ht="15.75" x14ac:dyDescent="0.25">
      <c r="A45" s="98" t="s">
        <v>23</v>
      </c>
      <c r="B45" s="99"/>
      <c r="C45" s="100"/>
      <c r="E45" s="98" t="s">
        <v>40</v>
      </c>
      <c r="F45" s="99"/>
      <c r="G45" s="100"/>
      <c r="I45" s="98" t="s">
        <v>152</v>
      </c>
      <c r="J45" s="99"/>
      <c r="K45" s="100"/>
      <c r="M45" s="98" t="s">
        <v>294</v>
      </c>
      <c r="N45" s="99"/>
      <c r="O45" s="100"/>
      <c r="Q45" s="98" t="s">
        <v>294</v>
      </c>
      <c r="R45" s="99"/>
      <c r="S45" s="100"/>
    </row>
    <row r="46" spans="1:25" x14ac:dyDescent="0.25">
      <c r="A46" s="59"/>
      <c r="B46" s="4" t="s">
        <v>7</v>
      </c>
      <c r="C46" s="60"/>
      <c r="E46" s="59"/>
      <c r="F46" s="4" t="s">
        <v>7</v>
      </c>
      <c r="G46" s="60"/>
      <c r="I46" s="59"/>
      <c r="J46" s="4" t="s">
        <v>7</v>
      </c>
      <c r="K46" s="60"/>
      <c r="M46" s="59"/>
      <c r="N46" s="4" t="s">
        <v>7</v>
      </c>
      <c r="O46" s="60"/>
      <c r="Q46" s="59"/>
      <c r="R46" s="4" t="s">
        <v>7</v>
      </c>
      <c r="S46" s="60"/>
    </row>
    <row r="47" spans="1:25" ht="15.75" x14ac:dyDescent="0.3">
      <c r="A47" s="64" t="s">
        <v>23</v>
      </c>
      <c r="B47" s="7" t="s">
        <v>9</v>
      </c>
      <c r="C47" s="65">
        <f>$B$37</f>
        <v>1039.3419734010781</v>
      </c>
      <c r="E47" s="64" t="s">
        <v>23</v>
      </c>
      <c r="F47" s="7" t="s">
        <v>9</v>
      </c>
      <c r="G47" s="65">
        <f>$B$37</f>
        <v>1039.3419734010781</v>
      </c>
      <c r="I47" s="64" t="s">
        <v>23</v>
      </c>
      <c r="J47" s="7" t="s">
        <v>9</v>
      </c>
      <c r="K47" s="65">
        <f>$B$37</f>
        <v>1039.3419734010781</v>
      </c>
      <c r="M47" s="64" t="s">
        <v>23</v>
      </c>
      <c r="N47" s="7" t="s">
        <v>9</v>
      </c>
      <c r="O47" s="65">
        <f>$B$37</f>
        <v>1039.3419734010781</v>
      </c>
      <c r="Q47" s="64" t="s">
        <v>23</v>
      </c>
      <c r="R47" s="7" t="s">
        <v>9</v>
      </c>
      <c r="S47" s="65">
        <f>$B$37</f>
        <v>1039.3419734010781</v>
      </c>
    </row>
    <row r="48" spans="1:25" ht="15.75" x14ac:dyDescent="0.3">
      <c r="A48" s="64" t="s">
        <v>10</v>
      </c>
      <c r="B48" s="7" t="s">
        <v>26</v>
      </c>
      <c r="C48" s="94">
        <f>$B$29</f>
        <v>38000</v>
      </c>
      <c r="E48" s="64" t="s">
        <v>10</v>
      </c>
      <c r="F48" s="7" t="s">
        <v>26</v>
      </c>
      <c r="G48" s="94">
        <f>$B$29</f>
        <v>38000</v>
      </c>
      <c r="I48" s="64" t="s">
        <v>10</v>
      </c>
      <c r="J48" s="7" t="s">
        <v>26</v>
      </c>
      <c r="K48" s="94">
        <f>$B$29</f>
        <v>38000</v>
      </c>
      <c r="M48" s="64" t="s">
        <v>10</v>
      </c>
      <c r="N48" s="7" t="s">
        <v>26</v>
      </c>
      <c r="O48" s="94">
        <f>$B$29</f>
        <v>38000</v>
      </c>
      <c r="Q48" s="64" t="s">
        <v>10</v>
      </c>
      <c r="R48" s="7" t="s">
        <v>26</v>
      </c>
      <c r="S48" s="94">
        <f>$B$29</f>
        <v>38000</v>
      </c>
    </row>
    <row r="49" spans="1:19" x14ac:dyDescent="0.25">
      <c r="A49" s="64" t="s">
        <v>28</v>
      </c>
      <c r="B49" s="7" t="s">
        <v>6</v>
      </c>
      <c r="C49" s="67">
        <f>B32</f>
        <v>7.9798755710655769E-2</v>
      </c>
      <c r="E49" s="64" t="s">
        <v>28</v>
      </c>
      <c r="F49" s="7" t="s">
        <v>6</v>
      </c>
      <c r="G49" s="67">
        <f>B33</f>
        <v>0.11340265885321586</v>
      </c>
      <c r="I49" s="64" t="s">
        <v>28</v>
      </c>
      <c r="J49" s="7" t="s">
        <v>6</v>
      </c>
      <c r="K49" s="67">
        <v>1</v>
      </c>
      <c r="M49" s="64" t="s">
        <v>28</v>
      </c>
      <c r="N49" s="7" t="s">
        <v>6</v>
      </c>
      <c r="O49" s="67">
        <f>B35</f>
        <v>0.16770265885321586</v>
      </c>
      <c r="Q49" s="64" t="s">
        <v>28</v>
      </c>
      <c r="R49" s="7" t="s">
        <v>6</v>
      </c>
      <c r="S49" s="67">
        <f>B36</f>
        <v>0.13409875571065577</v>
      </c>
    </row>
    <row r="50" spans="1:19" x14ac:dyDescent="0.25">
      <c r="A50" s="64" t="s">
        <v>287</v>
      </c>
      <c r="B50" s="7" t="s">
        <v>288</v>
      </c>
      <c r="C50" s="65">
        <f>C47*C48*1000*C49</f>
        <v>3151651456.9400134</v>
      </c>
      <c r="E50" s="64" t="s">
        <v>287</v>
      </c>
      <c r="F50" s="7" t="s">
        <v>288</v>
      </c>
      <c r="G50" s="65">
        <f>G47*G48*1000*G49</f>
        <v>4478837443.1743631</v>
      </c>
      <c r="I50" s="64" t="s">
        <v>287</v>
      </c>
      <c r="J50" s="7" t="s">
        <v>288</v>
      </c>
      <c r="K50" s="65">
        <f>K47*K48*1000*K49</f>
        <v>39494994989.240967</v>
      </c>
      <c r="M50" s="64" t="s">
        <v>287</v>
      </c>
      <c r="N50" s="7" t="s">
        <v>288</v>
      </c>
      <c r="O50" s="65">
        <f>O47*O48*1000*O49</f>
        <v>6623415671.090148</v>
      </c>
      <c r="Q50" s="64" t="s">
        <v>287</v>
      </c>
      <c r="R50" s="7" t="s">
        <v>288</v>
      </c>
      <c r="S50" s="65">
        <f>S47*S48*1000*S49</f>
        <v>5296229684.8557978</v>
      </c>
    </row>
    <row r="65" spans="3:3" x14ac:dyDescent="0.25">
      <c r="C65" s="95"/>
    </row>
  </sheetData>
  <mergeCells count="9">
    <mergeCell ref="K29:M29"/>
    <mergeCell ref="O29:Q29"/>
    <mergeCell ref="S29:U29"/>
    <mergeCell ref="W29:Y29"/>
    <mergeCell ref="A45:C45"/>
    <mergeCell ref="E45:G45"/>
    <mergeCell ref="I45:K45"/>
    <mergeCell ref="M45:O45"/>
    <mergeCell ref="Q45:S45"/>
  </mergeCells>
  <conditionalFormatting sqref="A1:A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F20C-A4EE-46D8-A2BB-786228AA82FD}">
  <sheetPr>
    <tabColor rgb="FF00B0F0"/>
  </sheetPr>
  <dimension ref="A1:Y65"/>
  <sheetViews>
    <sheetView topLeftCell="A9" zoomScale="70" zoomScaleNormal="70" workbookViewId="0">
      <selection activeCell="G6" sqref="G6"/>
    </sheetView>
  </sheetViews>
  <sheetFormatPr defaultRowHeight="15" x14ac:dyDescent="0.25"/>
  <cols>
    <col min="1" max="1" width="23.7109375" bestFit="1" customWidth="1"/>
    <col min="2" max="2" width="13.42578125" customWidth="1"/>
    <col min="3" max="3" width="27.5703125" bestFit="1" customWidth="1"/>
    <col min="4" max="4" width="13.7109375" bestFit="1" customWidth="1"/>
    <col min="5" max="5" width="11.140625" bestFit="1" customWidth="1"/>
    <col min="6" max="6" width="21.28515625" customWidth="1"/>
    <col min="7" max="7" width="23.28515625" bestFit="1" customWidth="1"/>
    <col min="11" max="11" width="14.7109375" bestFit="1" customWidth="1"/>
    <col min="13" max="13" width="13.140625" customWidth="1"/>
    <col min="15" max="15" width="15.85546875" customWidth="1"/>
    <col min="17" max="17" width="10.85546875" customWidth="1"/>
    <col min="19" max="19" width="12.85546875" customWidth="1"/>
    <col min="23" max="23" width="14.7109375" bestFit="1" customWidth="1"/>
    <col min="25" max="25" width="10.7109375" customWidth="1"/>
    <col min="29" max="29" width="12" customWidth="1"/>
  </cols>
  <sheetData>
    <row r="1" spans="1:7" x14ac:dyDescent="0.25">
      <c r="A1" s="76" t="s">
        <v>79</v>
      </c>
      <c r="B1" t="s">
        <v>38</v>
      </c>
      <c r="C1" t="s">
        <v>39</v>
      </c>
      <c r="D1" t="s">
        <v>42</v>
      </c>
      <c r="E1" t="s">
        <v>46</v>
      </c>
      <c r="F1" t="s">
        <v>297</v>
      </c>
      <c r="G1" t="s">
        <v>280</v>
      </c>
    </row>
    <row r="2" spans="1:7" s="76" customFormat="1" x14ac:dyDescent="0.25">
      <c r="A2" s="76" t="s">
        <v>312</v>
      </c>
      <c r="B2">
        <v>0</v>
      </c>
      <c r="C2">
        <v>0</v>
      </c>
      <c r="D2">
        <v>0</v>
      </c>
      <c r="E2">
        <f>DE!$Y$37</f>
        <v>1079910673.6638477</v>
      </c>
      <c r="F2" s="95">
        <v>0</v>
      </c>
      <c r="G2" s="95">
        <f t="shared" ref="G2:G20" si="0">$K$50</f>
        <v>26191417729.707169</v>
      </c>
    </row>
    <row r="3" spans="1:7" x14ac:dyDescent="0.25">
      <c r="A3" t="s">
        <v>289</v>
      </c>
      <c r="B3">
        <f>DE!$M$37</f>
        <v>6471307260.2860289</v>
      </c>
      <c r="C3">
        <v>0</v>
      </c>
      <c r="D3">
        <v>0</v>
      </c>
      <c r="E3">
        <v>0</v>
      </c>
      <c r="F3" s="95">
        <f>DE!$C$50</f>
        <v>4304492384.6101761</v>
      </c>
      <c r="G3" s="95">
        <f>$K$50</f>
        <v>26191417729.707169</v>
      </c>
    </row>
    <row r="4" spans="1:7" x14ac:dyDescent="0.25">
      <c r="A4" t="s">
        <v>290</v>
      </c>
      <c r="B4">
        <v>0</v>
      </c>
      <c r="C4">
        <f>DE!$Q$37</f>
        <v>1909093990.1469238</v>
      </c>
      <c r="D4">
        <v>0</v>
      </c>
      <c r="E4">
        <v>0</v>
      </c>
      <c r="F4" s="95">
        <f>DE!$C$50</f>
        <v>4304492384.6101761</v>
      </c>
      <c r="G4" s="95">
        <f t="shared" si="0"/>
        <v>26191417729.707169</v>
      </c>
    </row>
    <row r="5" spans="1:7" x14ac:dyDescent="0.25">
      <c r="A5" t="s">
        <v>291</v>
      </c>
      <c r="B5">
        <v>0</v>
      </c>
      <c r="C5">
        <v>0</v>
      </c>
      <c r="D5">
        <f>DE!$U$37</f>
        <v>935035814.35655177</v>
      </c>
      <c r="E5">
        <v>0</v>
      </c>
      <c r="F5" s="95">
        <f>DE!$G$50</f>
        <v>6117149034.2302485</v>
      </c>
      <c r="G5" s="95">
        <f t="shared" si="0"/>
        <v>26191417729.707169</v>
      </c>
    </row>
    <row r="6" spans="1:7" x14ac:dyDescent="0.25">
      <c r="A6" t="s">
        <v>292</v>
      </c>
      <c r="B6">
        <v>0</v>
      </c>
      <c r="C6">
        <v>0</v>
      </c>
      <c r="D6">
        <v>0</v>
      </c>
      <c r="E6">
        <f>DE!$Y$37</f>
        <v>1079910673.6638477</v>
      </c>
      <c r="F6" s="95">
        <v>0</v>
      </c>
      <c r="G6" s="95">
        <f t="shared" si="0"/>
        <v>26191417729.707169</v>
      </c>
    </row>
    <row r="7" spans="1:7" x14ac:dyDescent="0.25">
      <c r="A7" t="s">
        <v>311</v>
      </c>
      <c r="B7">
        <v>0</v>
      </c>
      <c r="C7">
        <v>0</v>
      </c>
      <c r="D7">
        <f>DE!$U$37</f>
        <v>935035814.35655177</v>
      </c>
      <c r="E7">
        <v>0</v>
      </c>
      <c r="F7" s="95">
        <f>DE!$C$50</f>
        <v>4304492384.6101761</v>
      </c>
      <c r="G7" s="95">
        <f t="shared" si="0"/>
        <v>26191417729.707169</v>
      </c>
    </row>
    <row r="8" spans="1:7" x14ac:dyDescent="0.25">
      <c r="A8" t="s">
        <v>313</v>
      </c>
      <c r="B8">
        <v>0</v>
      </c>
      <c r="C8">
        <f>DE!$Q$37</f>
        <v>1909093990.1469238</v>
      </c>
      <c r="D8">
        <f>DE!$U$37</f>
        <v>935035814.35655177</v>
      </c>
      <c r="E8">
        <v>0</v>
      </c>
      <c r="F8" s="95">
        <f>DE!$G$50</f>
        <v>6117149034.2302485</v>
      </c>
      <c r="G8" s="95">
        <f t="shared" si="0"/>
        <v>26191417729.707169</v>
      </c>
    </row>
    <row r="9" spans="1:7" x14ac:dyDescent="0.25">
      <c r="A9" t="s">
        <v>314</v>
      </c>
      <c r="B9">
        <v>0</v>
      </c>
      <c r="C9">
        <f>DE!$Q$37</f>
        <v>1909093990.1469238</v>
      </c>
      <c r="D9">
        <v>0</v>
      </c>
      <c r="E9">
        <f>DE!$Y$37</f>
        <v>1079910673.6638477</v>
      </c>
      <c r="F9" s="95">
        <f>DE!$C$50</f>
        <v>4304492384.6101761</v>
      </c>
      <c r="G9" s="95">
        <f t="shared" si="0"/>
        <v>26191417729.707169</v>
      </c>
    </row>
    <row r="10" spans="1:7" x14ac:dyDescent="0.25">
      <c r="A10" t="s">
        <v>315</v>
      </c>
      <c r="B10">
        <v>0</v>
      </c>
      <c r="C10">
        <f>DE!$Q$37</f>
        <v>1909093990.1469238</v>
      </c>
      <c r="D10">
        <f>DE!$U$37</f>
        <v>935035814.35655177</v>
      </c>
      <c r="E10">
        <v>0</v>
      </c>
      <c r="F10" s="95">
        <f>DE!$C$50</f>
        <v>4304492384.6101761</v>
      </c>
      <c r="G10" s="95">
        <f t="shared" si="0"/>
        <v>26191417729.707169</v>
      </c>
    </row>
    <row r="11" spans="1:7" x14ac:dyDescent="0.25">
      <c r="A11" t="s">
        <v>316</v>
      </c>
      <c r="B11">
        <f>DE!$M$37</f>
        <v>6471307260.2860289</v>
      </c>
      <c r="C11">
        <v>0</v>
      </c>
      <c r="D11">
        <f>DE!$U$37</f>
        <v>935035814.35655177</v>
      </c>
      <c r="E11">
        <v>0</v>
      </c>
      <c r="F11" s="95">
        <f>DE!$G$50</f>
        <v>6117149034.2302485</v>
      </c>
      <c r="G11" s="95">
        <f t="shared" si="0"/>
        <v>26191417729.707169</v>
      </c>
    </row>
    <row r="12" spans="1:7" x14ac:dyDescent="0.25">
      <c r="A12" t="s">
        <v>317</v>
      </c>
      <c r="B12">
        <f>DE!$M$37</f>
        <v>6471307260.2860289</v>
      </c>
      <c r="C12">
        <v>0</v>
      </c>
      <c r="D12">
        <v>0</v>
      </c>
      <c r="E12">
        <f>DE!$Y$37</f>
        <v>1079910673.6638477</v>
      </c>
      <c r="F12" s="95">
        <f>DE!$C$50</f>
        <v>4304492384.6101761</v>
      </c>
      <c r="G12" s="95">
        <f t="shared" si="0"/>
        <v>26191417729.707169</v>
      </c>
    </row>
    <row r="13" spans="1:7" x14ac:dyDescent="0.25">
      <c r="A13" t="s">
        <v>318</v>
      </c>
      <c r="B13">
        <f>DE!$M$37</f>
        <v>6471307260.2860289</v>
      </c>
      <c r="C13">
        <v>0</v>
      </c>
      <c r="D13">
        <f>DE!$U$37</f>
        <v>935035814.35655177</v>
      </c>
      <c r="E13">
        <v>0</v>
      </c>
      <c r="F13" s="95">
        <f>DE!$C$50</f>
        <v>4304492384.6101761</v>
      </c>
      <c r="G13" s="95">
        <f t="shared" si="0"/>
        <v>26191417729.707169</v>
      </c>
    </row>
    <row r="14" spans="1:7" x14ac:dyDescent="0.25">
      <c r="A14" t="s">
        <v>319</v>
      </c>
      <c r="B14">
        <v>0</v>
      </c>
      <c r="C14">
        <v>0</v>
      </c>
      <c r="D14">
        <f>DE!$U$37</f>
        <v>935035814.35655177</v>
      </c>
      <c r="E14">
        <f>DE!$Y$37</f>
        <v>1079910673.6638477</v>
      </c>
      <c r="F14" s="95">
        <f>DE!$G$50</f>
        <v>6117149034.2302485</v>
      </c>
      <c r="G14" s="95">
        <f t="shared" si="0"/>
        <v>26191417729.707169</v>
      </c>
    </row>
    <row r="15" spans="1:7" x14ac:dyDescent="0.25">
      <c r="A15" t="s">
        <v>320</v>
      </c>
      <c r="B15">
        <v>0</v>
      </c>
      <c r="C15">
        <v>0</v>
      </c>
      <c r="D15">
        <f>DE!$U$37</f>
        <v>935035814.35655177</v>
      </c>
      <c r="E15">
        <f>DE!$Y$37</f>
        <v>1079910673.6638477</v>
      </c>
      <c r="F15" s="95">
        <f>DE!$C$50</f>
        <v>4304492384.6101761</v>
      </c>
      <c r="G15" s="95">
        <f t="shared" si="0"/>
        <v>26191417729.707169</v>
      </c>
    </row>
    <row r="16" spans="1:7" x14ac:dyDescent="0.25">
      <c r="A16" t="s">
        <v>321</v>
      </c>
      <c r="B16">
        <f>DE!$M$37</f>
        <v>6471307260.2860289</v>
      </c>
      <c r="C16">
        <v>0</v>
      </c>
      <c r="D16">
        <f>DE!$U$37</f>
        <v>935035814.35655177</v>
      </c>
      <c r="E16">
        <f>DE!$Y$37</f>
        <v>1079910673.6638477</v>
      </c>
      <c r="F16" s="95">
        <f>DE!$O$50</f>
        <v>9046191403.4099655</v>
      </c>
      <c r="G16" s="95">
        <f t="shared" si="0"/>
        <v>26191417729.707169</v>
      </c>
    </row>
    <row r="17" spans="1:25" x14ac:dyDescent="0.25">
      <c r="A17" t="s">
        <v>322</v>
      </c>
      <c r="B17">
        <f>DE!$M$37</f>
        <v>6471307260.2860289</v>
      </c>
      <c r="C17">
        <v>0</v>
      </c>
      <c r="D17">
        <f>DE!$U$37</f>
        <v>935035814.35655177</v>
      </c>
      <c r="E17">
        <f>DE!$Y$37</f>
        <v>1079910673.6638477</v>
      </c>
      <c r="F17" s="95">
        <f>DE!$S$50</f>
        <v>7233534753.7898932</v>
      </c>
      <c r="G17" s="95">
        <f t="shared" si="0"/>
        <v>26191417729.707169</v>
      </c>
    </row>
    <row r="18" spans="1:25" x14ac:dyDescent="0.25">
      <c r="A18" t="s">
        <v>323</v>
      </c>
      <c r="B18">
        <v>0</v>
      </c>
      <c r="C18">
        <v>0</v>
      </c>
      <c r="D18">
        <f>DE!$U$37*2</f>
        <v>1870071628.7131035</v>
      </c>
      <c r="E18">
        <f>DE!$Y$37</f>
        <v>1079910673.6638477</v>
      </c>
      <c r="F18" s="95">
        <f>DE!$O$50</f>
        <v>9046191403.4099655</v>
      </c>
      <c r="G18" s="95">
        <f t="shared" si="0"/>
        <v>26191417729.707169</v>
      </c>
    </row>
    <row r="19" spans="1:25" x14ac:dyDescent="0.25">
      <c r="A19" t="s">
        <v>324</v>
      </c>
      <c r="B19">
        <v>0</v>
      </c>
      <c r="C19">
        <f>DE!$Q$37</f>
        <v>1909093990.1469238</v>
      </c>
      <c r="D19">
        <f>DE!$U$37</f>
        <v>935035814.35655177</v>
      </c>
      <c r="E19">
        <f>DE!$Y$37</f>
        <v>1079910673.6638477</v>
      </c>
      <c r="F19" s="95">
        <f>DE!$O$50</f>
        <v>9046191403.4099655</v>
      </c>
      <c r="G19" s="95">
        <f t="shared" si="0"/>
        <v>26191417729.707169</v>
      </c>
    </row>
    <row r="20" spans="1:25" x14ac:dyDescent="0.25">
      <c r="A20" t="s">
        <v>325</v>
      </c>
      <c r="B20">
        <v>0</v>
      </c>
      <c r="C20">
        <f>DE!$Q$37</f>
        <v>1909093990.1469238</v>
      </c>
      <c r="D20">
        <f>DE!$U$37</f>
        <v>935035814.35655177</v>
      </c>
      <c r="E20">
        <f>DE!$Y$37</f>
        <v>1079910673.6638477</v>
      </c>
      <c r="F20" s="95">
        <f>DE!$S$50</f>
        <v>7233534753.7898932</v>
      </c>
      <c r="G20" s="95">
        <f t="shared" si="0"/>
        <v>26191417729.707169</v>
      </c>
    </row>
    <row r="25" spans="1:25" ht="15.6" customHeight="1" x14ac:dyDescent="0.25"/>
    <row r="27" spans="1:25" x14ac:dyDescent="0.25">
      <c r="A27" t="s">
        <v>81</v>
      </c>
      <c r="B27" t="s">
        <v>8</v>
      </c>
      <c r="C27" t="s">
        <v>79</v>
      </c>
      <c r="D27" t="s">
        <v>273</v>
      </c>
    </row>
    <row r="28" spans="1:25" x14ac:dyDescent="0.25">
      <c r="A28" t="s">
        <v>282</v>
      </c>
      <c r="B28" s="92">
        <v>51900</v>
      </c>
      <c r="C28" t="s">
        <v>283</v>
      </c>
      <c r="D28" t="s">
        <v>300</v>
      </c>
    </row>
    <row r="29" spans="1:25" ht="15.75" x14ac:dyDescent="0.25">
      <c r="A29" t="s">
        <v>299</v>
      </c>
      <c r="B29" s="92">
        <f>B28-25200</f>
        <v>26700</v>
      </c>
      <c r="C29" t="s">
        <v>283</v>
      </c>
      <c r="D29" t="s">
        <v>300</v>
      </c>
      <c r="K29" s="97" t="s">
        <v>38</v>
      </c>
      <c r="L29" s="97"/>
      <c r="M29" s="97"/>
      <c r="O29" s="97" t="s">
        <v>39</v>
      </c>
      <c r="P29" s="97"/>
      <c r="Q29" s="97"/>
      <c r="S29" s="97" t="s">
        <v>42</v>
      </c>
      <c r="T29" s="97"/>
      <c r="U29" s="97"/>
      <c r="W29" s="97" t="s">
        <v>46</v>
      </c>
      <c r="X29" s="97"/>
      <c r="Y29" s="97"/>
    </row>
    <row r="30" spans="1:25" x14ac:dyDescent="0.25">
      <c r="A30" t="s">
        <v>181</v>
      </c>
      <c r="B30" s="91">
        <v>0.63</v>
      </c>
      <c r="C30" t="s">
        <v>284</v>
      </c>
      <c r="K30" s="3"/>
      <c r="L30" s="4" t="s">
        <v>7</v>
      </c>
      <c r="M30" s="4" t="s">
        <v>8</v>
      </c>
      <c r="O30" s="3"/>
      <c r="P30" s="4" t="s">
        <v>7</v>
      </c>
      <c r="Q30" s="4" t="s">
        <v>8</v>
      </c>
      <c r="S30" s="3"/>
      <c r="T30" s="4" t="s">
        <v>7</v>
      </c>
      <c r="U30" s="4" t="s">
        <v>8</v>
      </c>
      <c r="W30" s="3"/>
      <c r="X30" s="4" t="s">
        <v>7</v>
      </c>
      <c r="Y30" s="4" t="s">
        <v>8</v>
      </c>
    </row>
    <row r="31" spans="1:25" x14ac:dyDescent="0.25">
      <c r="A31" t="s">
        <v>33</v>
      </c>
      <c r="B31" s="26">
        <v>3</v>
      </c>
      <c r="C31" t="s">
        <v>171</v>
      </c>
      <c r="K31" s="6" t="s">
        <v>31</v>
      </c>
      <c r="L31" s="7" t="s">
        <v>34</v>
      </c>
      <c r="M31" s="20">
        <f>B38</f>
        <v>1091.0200101638295</v>
      </c>
      <c r="O31" s="6" t="s">
        <v>298</v>
      </c>
      <c r="P31" s="7" t="s">
        <v>34</v>
      </c>
      <c r="Q31" s="20">
        <f>B39</f>
        <v>321.86074015001122</v>
      </c>
      <c r="S31" s="1" t="s">
        <v>42</v>
      </c>
      <c r="T31" s="7" t="s">
        <v>34</v>
      </c>
      <c r="U31" s="20">
        <f>B40</f>
        <v>157.64091282504484</v>
      </c>
      <c r="W31" s="1" t="s">
        <v>46</v>
      </c>
      <c r="X31" s="7" t="s">
        <v>34</v>
      </c>
      <c r="Y31" s="20">
        <f>B41</f>
        <v>182.06586502039821</v>
      </c>
    </row>
    <row r="32" spans="1:25" ht="15.75" x14ac:dyDescent="0.3">
      <c r="A32" t="s">
        <v>285</v>
      </c>
      <c r="B32" s="24">
        <f>Inputs!B46</f>
        <v>7.9798755710655769E-2</v>
      </c>
      <c r="C32" t="s">
        <v>240</v>
      </c>
      <c r="K32" s="6" t="s">
        <v>23</v>
      </c>
      <c r="L32" s="7" t="s">
        <v>26</v>
      </c>
      <c r="M32" s="23">
        <f>$B$28</f>
        <v>51900</v>
      </c>
      <c r="O32" s="6" t="s">
        <v>23</v>
      </c>
      <c r="P32" s="7" t="s">
        <v>26</v>
      </c>
      <c r="Q32" s="23">
        <f>$B$28</f>
        <v>51900</v>
      </c>
      <c r="S32" s="6" t="s">
        <v>23</v>
      </c>
      <c r="T32" s="7" t="s">
        <v>26</v>
      </c>
      <c r="U32" s="23">
        <f>$B$28</f>
        <v>51900</v>
      </c>
      <c r="W32" s="6" t="s">
        <v>23</v>
      </c>
      <c r="X32" s="7" t="s">
        <v>26</v>
      </c>
      <c r="Y32" s="23">
        <f>$B$28</f>
        <v>51900</v>
      </c>
    </row>
    <row r="33" spans="1:25" x14ac:dyDescent="0.25">
      <c r="A33" t="s">
        <v>286</v>
      </c>
      <c r="B33" s="24">
        <f>Inputs!B47</f>
        <v>0.11340265885321586</v>
      </c>
      <c r="C33" t="s">
        <v>240</v>
      </c>
      <c r="K33" s="6" t="s">
        <v>33</v>
      </c>
      <c r="L33" s="7" t="s">
        <v>171</v>
      </c>
      <c r="M33" s="70">
        <f>$B$31</f>
        <v>3</v>
      </c>
      <c r="O33" s="6" t="s">
        <v>33</v>
      </c>
      <c r="P33" s="7" t="s">
        <v>171</v>
      </c>
      <c r="Q33" s="70">
        <f>$B$31</f>
        <v>3</v>
      </c>
      <c r="S33" s="6" t="s">
        <v>33</v>
      </c>
      <c r="T33" s="7" t="s">
        <v>171</v>
      </c>
      <c r="U33" s="70">
        <f>$B$31</f>
        <v>3</v>
      </c>
      <c r="W33" s="6" t="s">
        <v>33</v>
      </c>
      <c r="X33" s="7" t="s">
        <v>171</v>
      </c>
      <c r="Y33" s="70">
        <f>$B$31</f>
        <v>3</v>
      </c>
    </row>
    <row r="34" spans="1:25" x14ac:dyDescent="0.25">
      <c r="A34" t="s">
        <v>293</v>
      </c>
      <c r="B34" s="24">
        <v>0</v>
      </c>
      <c r="C34" t="s">
        <v>240</v>
      </c>
      <c r="K34" s="6" t="s">
        <v>33</v>
      </c>
      <c r="L34" s="7" t="s">
        <v>35</v>
      </c>
      <c r="M34" s="8">
        <f>M32*24*M33</f>
        <v>3736800</v>
      </c>
      <c r="O34" s="6" t="s">
        <v>33</v>
      </c>
      <c r="P34" s="7" t="s">
        <v>35</v>
      </c>
      <c r="Q34" s="8">
        <f>Q32*24*Q33</f>
        <v>3736800</v>
      </c>
      <c r="S34" s="6" t="s">
        <v>33</v>
      </c>
      <c r="T34" s="7" t="s">
        <v>35</v>
      </c>
      <c r="U34" s="8">
        <f>U32*24*U33</f>
        <v>3736800</v>
      </c>
      <c r="W34" s="6" t="s">
        <v>33</v>
      </c>
      <c r="X34" s="7" t="s">
        <v>35</v>
      </c>
      <c r="Y34" s="8">
        <f>Y32*24*Y33</f>
        <v>3736800</v>
      </c>
    </row>
    <row r="35" spans="1:25" x14ac:dyDescent="0.25">
      <c r="A35" t="s">
        <v>295</v>
      </c>
      <c r="B35" s="24">
        <f>Inputs!B48</f>
        <v>0.16770265885321586</v>
      </c>
      <c r="C35" t="s">
        <v>240</v>
      </c>
      <c r="K35" s="6" t="s">
        <v>32</v>
      </c>
      <c r="L35" s="7" t="s">
        <v>6</v>
      </c>
      <c r="M35" s="22">
        <f>$B$30</f>
        <v>0.63</v>
      </c>
      <c r="O35" s="6" t="s">
        <v>32</v>
      </c>
      <c r="P35" s="7" t="s">
        <v>6</v>
      </c>
      <c r="Q35" s="22">
        <f>$B$30</f>
        <v>0.63</v>
      </c>
      <c r="S35" s="6" t="s">
        <v>32</v>
      </c>
      <c r="T35" s="7" t="s">
        <v>6</v>
      </c>
      <c r="U35" s="22">
        <f>$B$30</f>
        <v>0.63</v>
      </c>
      <c r="W35" s="6" t="s">
        <v>32</v>
      </c>
      <c r="X35" s="7" t="s">
        <v>6</v>
      </c>
      <c r="Y35" s="22">
        <f>$B$30</f>
        <v>0.63</v>
      </c>
    </row>
    <row r="36" spans="1:25" x14ac:dyDescent="0.25">
      <c r="A36" t="s">
        <v>296</v>
      </c>
      <c r="B36" s="24">
        <f>Inputs!B49</f>
        <v>0.13409875571065577</v>
      </c>
      <c r="C36" t="s">
        <v>240</v>
      </c>
      <c r="K36" s="6" t="s">
        <v>33</v>
      </c>
      <c r="L36" s="7" t="s">
        <v>36</v>
      </c>
      <c r="M36" s="8">
        <f>M34/M35</f>
        <v>5931428.5714285718</v>
      </c>
      <c r="O36" s="6" t="s">
        <v>33</v>
      </c>
      <c r="P36" s="7" t="s">
        <v>36</v>
      </c>
      <c r="Q36" s="8">
        <f>Q34/Q35</f>
        <v>5931428.5714285718</v>
      </c>
      <c r="S36" s="6" t="s">
        <v>33</v>
      </c>
      <c r="T36" s="7" t="s">
        <v>36</v>
      </c>
      <c r="U36" s="8">
        <f>U34/U35</f>
        <v>5931428.5714285718</v>
      </c>
      <c r="W36" s="6" t="s">
        <v>33</v>
      </c>
      <c r="X36" s="7" t="s">
        <v>36</v>
      </c>
      <c r="Y36" s="8">
        <f>Y34/Y35</f>
        <v>5931428.5714285718</v>
      </c>
    </row>
    <row r="37" spans="1:25" x14ac:dyDescent="0.25">
      <c r="A37" t="s">
        <v>5</v>
      </c>
      <c r="B37" s="26">
        <f>Inflation_Adjustment!Y20</f>
        <v>1039.3419734010781</v>
      </c>
      <c r="C37" t="s">
        <v>107</v>
      </c>
      <c r="D37" t="s">
        <v>272</v>
      </c>
      <c r="K37" s="6" t="s">
        <v>287</v>
      </c>
      <c r="L37" s="7" t="s">
        <v>288</v>
      </c>
      <c r="M37" s="93">
        <f>M36*M31</f>
        <v>6471307260.2860289</v>
      </c>
      <c r="O37" s="6" t="s">
        <v>287</v>
      </c>
      <c r="P37" s="7" t="s">
        <v>288</v>
      </c>
      <c r="Q37" s="93">
        <f>Q36*Q31</f>
        <v>1909093990.1469238</v>
      </c>
      <c r="S37" s="6" t="s">
        <v>287</v>
      </c>
      <c r="T37" s="7" t="s">
        <v>288</v>
      </c>
      <c r="U37" s="93">
        <f>U36*U31</f>
        <v>935035814.35655177</v>
      </c>
      <c r="W37" s="6" t="s">
        <v>287</v>
      </c>
      <c r="X37" s="7" t="s">
        <v>288</v>
      </c>
      <c r="Y37" s="93">
        <f>Y36*Y31</f>
        <v>1079910673.6638477</v>
      </c>
    </row>
    <row r="38" spans="1:25" x14ac:dyDescent="0.25">
      <c r="A38" s="1" t="s">
        <v>31</v>
      </c>
      <c r="B38" s="26">
        <f>Inflation_Adjustment!$N$20</f>
        <v>1091.0200101638295</v>
      </c>
      <c r="C38" t="s">
        <v>177</v>
      </c>
      <c r="D38" t="s">
        <v>272</v>
      </c>
    </row>
    <row r="39" spans="1:25" x14ac:dyDescent="0.25">
      <c r="A39" s="1" t="s">
        <v>39</v>
      </c>
      <c r="B39" s="26">
        <f>Inflation_Adjustment!$O$20</f>
        <v>321.86074015001122</v>
      </c>
      <c r="C39" t="s">
        <v>177</v>
      </c>
      <c r="D39" t="s">
        <v>272</v>
      </c>
    </row>
    <row r="40" spans="1:25" x14ac:dyDescent="0.25">
      <c r="A40" s="1" t="s">
        <v>42</v>
      </c>
      <c r="B40" s="26">
        <f>Inflation_Adjustment!$U$20</f>
        <v>157.64091282504484</v>
      </c>
      <c r="C40" t="s">
        <v>177</v>
      </c>
      <c r="D40" t="s">
        <v>272</v>
      </c>
    </row>
    <row r="41" spans="1:25" x14ac:dyDescent="0.25">
      <c r="A41" s="1" t="s">
        <v>46</v>
      </c>
      <c r="B41" s="26">
        <f>Inflation_Adjustment!$X$20</f>
        <v>182.06586502039821</v>
      </c>
      <c r="C41" t="s">
        <v>177</v>
      </c>
      <c r="D41" t="s">
        <v>272</v>
      </c>
    </row>
    <row r="44" spans="1:25" ht="15.75" thickBot="1" x14ac:dyDescent="0.3"/>
    <row r="45" spans="1:25" ht="15.75" x14ac:dyDescent="0.25">
      <c r="A45" s="98" t="s">
        <v>23</v>
      </c>
      <c r="B45" s="99"/>
      <c r="C45" s="100"/>
      <c r="E45" s="98" t="s">
        <v>40</v>
      </c>
      <c r="F45" s="99"/>
      <c r="G45" s="100"/>
      <c r="I45" s="98" t="s">
        <v>152</v>
      </c>
      <c r="J45" s="99"/>
      <c r="K45" s="100"/>
      <c r="M45" s="98" t="s">
        <v>294</v>
      </c>
      <c r="N45" s="99"/>
      <c r="O45" s="100"/>
      <c r="Q45" s="98" t="s">
        <v>294</v>
      </c>
      <c r="R45" s="99"/>
      <c r="S45" s="100"/>
    </row>
    <row r="46" spans="1:25" x14ac:dyDescent="0.25">
      <c r="A46" s="59"/>
      <c r="B46" s="4" t="s">
        <v>7</v>
      </c>
      <c r="C46" s="60"/>
      <c r="E46" s="59"/>
      <c r="F46" s="4" t="s">
        <v>7</v>
      </c>
      <c r="G46" s="60"/>
      <c r="I46" s="59"/>
      <c r="J46" s="4" t="s">
        <v>7</v>
      </c>
      <c r="K46" s="60"/>
      <c r="M46" s="59"/>
      <c r="N46" s="4" t="s">
        <v>7</v>
      </c>
      <c r="O46" s="60"/>
      <c r="Q46" s="59"/>
      <c r="R46" s="4" t="s">
        <v>7</v>
      </c>
      <c r="S46" s="60"/>
    </row>
    <row r="47" spans="1:25" ht="15.75" x14ac:dyDescent="0.3">
      <c r="A47" s="64" t="s">
        <v>23</v>
      </c>
      <c r="B47" s="7" t="s">
        <v>9</v>
      </c>
      <c r="C47" s="65">
        <f>$B$37</f>
        <v>1039.3419734010781</v>
      </c>
      <c r="E47" s="64" t="s">
        <v>23</v>
      </c>
      <c r="F47" s="7" t="s">
        <v>9</v>
      </c>
      <c r="G47" s="65">
        <f>$B$37</f>
        <v>1039.3419734010781</v>
      </c>
      <c r="I47" s="64" t="s">
        <v>23</v>
      </c>
      <c r="J47" s="7" t="s">
        <v>9</v>
      </c>
      <c r="K47" s="65">
        <f>$B$37</f>
        <v>1039.3419734010781</v>
      </c>
      <c r="M47" s="64" t="s">
        <v>23</v>
      </c>
      <c r="N47" s="7" t="s">
        <v>9</v>
      </c>
      <c r="O47" s="65">
        <f>$B$37</f>
        <v>1039.3419734010781</v>
      </c>
      <c r="Q47" s="64" t="s">
        <v>23</v>
      </c>
      <c r="R47" s="7" t="s">
        <v>9</v>
      </c>
      <c r="S47" s="65">
        <f>$B$37</f>
        <v>1039.3419734010781</v>
      </c>
    </row>
    <row r="48" spans="1:25" ht="15.75" x14ac:dyDescent="0.3">
      <c r="A48" s="64" t="s">
        <v>10</v>
      </c>
      <c r="B48" s="7" t="s">
        <v>26</v>
      </c>
      <c r="C48" s="94">
        <f>$B$28</f>
        <v>51900</v>
      </c>
      <c r="E48" s="64" t="s">
        <v>10</v>
      </c>
      <c r="F48" s="7" t="s">
        <v>26</v>
      </c>
      <c r="G48" s="94">
        <f>$B$28</f>
        <v>51900</v>
      </c>
      <c r="I48" s="64" t="s">
        <v>10</v>
      </c>
      <c r="J48" s="7" t="s">
        <v>26</v>
      </c>
      <c r="K48" s="94">
        <f>B28-B29</f>
        <v>25200</v>
      </c>
      <c r="M48" s="64" t="s">
        <v>10</v>
      </c>
      <c r="N48" s="7" t="s">
        <v>26</v>
      </c>
      <c r="O48" s="94">
        <f>$B$28</f>
        <v>51900</v>
      </c>
      <c r="Q48" s="64" t="s">
        <v>10</v>
      </c>
      <c r="R48" s="7" t="s">
        <v>26</v>
      </c>
      <c r="S48" s="94">
        <f>$B$28</f>
        <v>51900</v>
      </c>
    </row>
    <row r="49" spans="1:19" x14ac:dyDescent="0.25">
      <c r="A49" s="64" t="s">
        <v>28</v>
      </c>
      <c r="B49" s="7" t="s">
        <v>6</v>
      </c>
      <c r="C49" s="67">
        <f>B32</f>
        <v>7.9798755710655769E-2</v>
      </c>
      <c r="E49" s="64" t="s">
        <v>28</v>
      </c>
      <c r="F49" s="7" t="s">
        <v>6</v>
      </c>
      <c r="G49" s="67">
        <f>B33</f>
        <v>0.11340265885321586</v>
      </c>
      <c r="I49" s="64" t="s">
        <v>28</v>
      </c>
      <c r="J49" s="7" t="s">
        <v>6</v>
      </c>
      <c r="K49" s="67">
        <v>1</v>
      </c>
      <c r="M49" s="64" t="s">
        <v>28</v>
      </c>
      <c r="N49" s="7" t="s">
        <v>6</v>
      </c>
      <c r="O49" s="67">
        <f>B35</f>
        <v>0.16770265885321586</v>
      </c>
      <c r="Q49" s="64" t="s">
        <v>28</v>
      </c>
      <c r="R49" s="7" t="s">
        <v>6</v>
      </c>
      <c r="S49" s="67">
        <f>B36</f>
        <v>0.13409875571065577</v>
      </c>
    </row>
    <row r="50" spans="1:19" x14ac:dyDescent="0.25">
      <c r="A50" s="64" t="s">
        <v>287</v>
      </c>
      <c r="B50" s="7" t="s">
        <v>288</v>
      </c>
      <c r="C50" s="65">
        <f>C47*C48*1000*C49</f>
        <v>4304492384.6101761</v>
      </c>
      <c r="E50" s="64" t="s">
        <v>287</v>
      </c>
      <c r="F50" s="7" t="s">
        <v>288</v>
      </c>
      <c r="G50" s="65">
        <f>G47*G48*1000*G49</f>
        <v>6117149034.2302485</v>
      </c>
      <c r="I50" s="64" t="s">
        <v>287</v>
      </c>
      <c r="J50" s="7" t="s">
        <v>288</v>
      </c>
      <c r="K50" s="65">
        <f>K47*K48*1000*K49</f>
        <v>26191417729.707169</v>
      </c>
      <c r="M50" s="64" t="s">
        <v>287</v>
      </c>
      <c r="N50" s="7" t="s">
        <v>288</v>
      </c>
      <c r="O50" s="65">
        <f>O47*O48*1000*O49</f>
        <v>9046191403.4099655</v>
      </c>
      <c r="Q50" s="64" t="s">
        <v>287</v>
      </c>
      <c r="R50" s="7" t="s">
        <v>288</v>
      </c>
      <c r="S50" s="65">
        <f>S47*S48*1000*S49</f>
        <v>7233534753.7898932</v>
      </c>
    </row>
    <row r="65" spans="3:3" x14ac:dyDescent="0.25">
      <c r="C65" s="95"/>
    </row>
  </sheetData>
  <mergeCells count="9">
    <mergeCell ref="K29:M29"/>
    <mergeCell ref="O29:Q29"/>
    <mergeCell ref="S29:U29"/>
    <mergeCell ref="W29:Y29"/>
    <mergeCell ref="A45:C45"/>
    <mergeCell ref="E45:G45"/>
    <mergeCell ref="I45:K45"/>
    <mergeCell ref="M45:O45"/>
    <mergeCell ref="Q45:S45"/>
  </mergeCells>
  <conditionalFormatting sqref="A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XFD2 A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0AD4-325B-462E-81F1-B213F614220B}">
  <sheetPr>
    <tabColor rgb="FFFFC000"/>
  </sheetPr>
  <dimension ref="A1:AD108"/>
  <sheetViews>
    <sheetView zoomScale="115" zoomScaleNormal="115" workbookViewId="0">
      <selection activeCell="C20" sqref="C20"/>
    </sheetView>
  </sheetViews>
  <sheetFormatPr defaultRowHeight="15" x14ac:dyDescent="0.25"/>
  <cols>
    <col min="1" max="1" width="24" bestFit="1" customWidth="1"/>
    <col min="2" max="2" width="12" customWidth="1"/>
    <col min="3" max="3" width="10.85546875" bestFit="1" customWidth="1"/>
    <col min="4" max="5" width="15.140625" customWidth="1"/>
    <col min="6" max="6" width="16.28515625" bestFit="1" customWidth="1"/>
    <col min="7" max="7" width="21.7109375" bestFit="1" customWidth="1"/>
    <col min="8" max="8" width="16.42578125" bestFit="1" customWidth="1"/>
    <col min="9" max="9" width="16.28515625" customWidth="1"/>
    <col min="10" max="10" width="10.42578125" bestFit="1" customWidth="1"/>
    <col min="11" max="11" width="8" bestFit="1" customWidth="1"/>
    <col min="12" max="12" width="11" bestFit="1" customWidth="1"/>
    <col min="13" max="13" width="15.28515625" bestFit="1" customWidth="1"/>
    <col min="14" max="14" width="14.140625" bestFit="1" customWidth="1"/>
    <col min="15" max="15" width="13.7109375" bestFit="1" customWidth="1"/>
    <col min="16" max="16" width="12.42578125" bestFit="1" customWidth="1"/>
    <col min="17" max="17" width="12.5703125" bestFit="1" customWidth="1"/>
    <col min="18" max="18" width="11.5703125" bestFit="1" customWidth="1"/>
    <col min="19" max="19" width="9.28515625" bestFit="1" customWidth="1"/>
    <col min="20" max="20" width="12.140625" bestFit="1" customWidth="1"/>
    <col min="21" max="21" width="7.85546875" bestFit="1" customWidth="1"/>
    <col min="22" max="22" width="15" bestFit="1" customWidth="1"/>
    <col min="23" max="23" width="24" bestFit="1" customWidth="1"/>
    <col min="24" max="24" width="18.5703125" bestFit="1" customWidth="1"/>
    <col min="25" max="25" width="10" bestFit="1" customWidth="1"/>
    <col min="26" max="26" width="15.85546875" bestFit="1" customWidth="1"/>
    <col min="27" max="27" width="15.28515625" bestFit="1" customWidth="1"/>
    <col min="28" max="28" width="17" bestFit="1" customWidth="1"/>
    <col min="29" max="29" width="10" bestFit="1" customWidth="1"/>
  </cols>
  <sheetData>
    <row r="1" spans="1:30" x14ac:dyDescent="0.25">
      <c r="A1" s="72" t="s">
        <v>50</v>
      </c>
      <c r="B1" s="72" t="s">
        <v>109</v>
      </c>
      <c r="C1" s="72" t="s">
        <v>110</v>
      </c>
      <c r="D1" s="86" t="s">
        <v>269</v>
      </c>
      <c r="E1" s="86" t="s">
        <v>268</v>
      </c>
      <c r="F1" s="72" t="s">
        <v>188</v>
      </c>
      <c r="G1" s="72" t="s">
        <v>304</v>
      </c>
      <c r="H1" s="72" t="s">
        <v>228</v>
      </c>
      <c r="I1" s="87" t="s">
        <v>189</v>
      </c>
      <c r="J1" s="87" t="s">
        <v>195</v>
      </c>
      <c r="K1" s="87" t="s">
        <v>190</v>
      </c>
      <c r="L1" s="88" t="s">
        <v>203</v>
      </c>
      <c r="M1" s="72" t="s">
        <v>260</v>
      </c>
      <c r="N1" s="87" t="s">
        <v>191</v>
      </c>
      <c r="O1" s="72" t="s">
        <v>192</v>
      </c>
      <c r="P1" s="89" t="s">
        <v>193</v>
      </c>
      <c r="Q1" s="72" t="s">
        <v>194</v>
      </c>
      <c r="R1" s="89" t="s">
        <v>196</v>
      </c>
      <c r="S1" s="89" t="s">
        <v>197</v>
      </c>
      <c r="T1" s="88" t="s">
        <v>198</v>
      </c>
      <c r="U1" s="72" t="s">
        <v>199</v>
      </c>
      <c r="V1" s="87" t="s">
        <v>200</v>
      </c>
      <c r="W1" s="72" t="s">
        <v>202</v>
      </c>
      <c r="X1" s="72" t="s">
        <v>201</v>
      </c>
      <c r="Y1" s="72" t="s">
        <v>5</v>
      </c>
      <c r="Z1" s="89" t="s">
        <v>238</v>
      </c>
      <c r="AA1" s="89" t="s">
        <v>244</v>
      </c>
      <c r="AB1" s="89" t="s">
        <v>245</v>
      </c>
    </row>
    <row r="2" spans="1:30" x14ac:dyDescent="0.25">
      <c r="A2" s="72">
        <v>2007</v>
      </c>
      <c r="B2" s="73">
        <v>2.2983440070095101E-2</v>
      </c>
      <c r="C2" s="73">
        <v>2.8526724815013803E-2</v>
      </c>
      <c r="D2" s="86">
        <v>1</v>
      </c>
      <c r="E2" s="86">
        <v>1</v>
      </c>
      <c r="F2" s="72"/>
      <c r="G2" s="72"/>
      <c r="H2" s="72"/>
      <c r="I2" s="87"/>
      <c r="J2" s="87"/>
      <c r="K2" s="87"/>
      <c r="L2" s="87"/>
      <c r="M2" s="72"/>
      <c r="N2" s="87"/>
      <c r="O2" s="72"/>
      <c r="P2" s="87"/>
      <c r="Q2" s="72"/>
      <c r="R2" s="87"/>
      <c r="S2" s="87"/>
      <c r="T2" s="87"/>
      <c r="U2" s="72"/>
      <c r="V2" s="87"/>
      <c r="W2" s="72"/>
      <c r="X2" s="72"/>
      <c r="Y2" s="72"/>
      <c r="Z2" s="72"/>
      <c r="AA2" s="72"/>
      <c r="AB2" s="72"/>
    </row>
    <row r="3" spans="1:30" x14ac:dyDescent="0.25">
      <c r="A3" s="72">
        <v>2008</v>
      </c>
      <c r="B3" s="73">
        <v>2.6283798163721901E-2</v>
      </c>
      <c r="C3" s="73">
        <v>3.8391002966509997E-2</v>
      </c>
      <c r="D3" s="86">
        <f>D2*(1+$B3)</f>
        <v>1.0262837981637218</v>
      </c>
      <c r="E3" s="86">
        <f>E2*(1+$C3)</f>
        <v>1.03839100296651</v>
      </c>
      <c r="F3" s="72"/>
      <c r="G3" s="72"/>
      <c r="H3" s="72"/>
      <c r="I3" s="87"/>
      <c r="J3" s="87"/>
      <c r="K3" s="87"/>
      <c r="L3" s="87"/>
      <c r="M3" s="72"/>
      <c r="N3" s="87"/>
      <c r="O3" s="72"/>
      <c r="P3" s="87"/>
      <c r="Q3" s="72"/>
      <c r="R3" s="87"/>
      <c r="S3" s="87"/>
      <c r="T3" s="87"/>
      <c r="U3" s="72"/>
      <c r="V3" s="87"/>
      <c r="W3" s="72"/>
      <c r="X3" s="72"/>
      <c r="Y3" s="72"/>
      <c r="Z3" s="72"/>
      <c r="AA3" s="72"/>
      <c r="AB3" s="72"/>
    </row>
    <row r="4" spans="1:30" x14ac:dyDescent="0.25">
      <c r="A4" s="72">
        <v>2009</v>
      </c>
      <c r="B4" s="73">
        <v>3.1273900736844703E-3</v>
      </c>
      <c r="C4" s="73">
        <v>-3.55546266299747E-3</v>
      </c>
      <c r="D4" s="86">
        <f t="shared" ref="D4:D20" si="0">D3*(1+$B4)</f>
        <v>1.0294933879268824</v>
      </c>
      <c r="E4" s="86">
        <f t="shared" ref="E4:E20" si="1">E3*(1+$C4)</f>
        <v>1.0346990425258702</v>
      </c>
      <c r="F4" s="72"/>
      <c r="G4" s="72"/>
      <c r="H4" s="72"/>
      <c r="I4" s="87"/>
      <c r="J4" s="87"/>
      <c r="K4" s="87"/>
      <c r="L4" s="87"/>
      <c r="M4" s="72"/>
      <c r="N4" s="87"/>
      <c r="O4" s="72"/>
      <c r="P4" s="87"/>
      <c r="Q4" s="72"/>
      <c r="R4" s="87"/>
      <c r="S4" s="87"/>
      <c r="T4" s="87"/>
      <c r="U4" s="72"/>
      <c r="V4" s="87"/>
      <c r="W4" s="72"/>
      <c r="X4" s="72"/>
      <c r="Y4" s="72"/>
      <c r="Z4" s="72"/>
      <c r="AA4" s="72"/>
      <c r="AB4" s="72"/>
    </row>
    <row r="5" spans="1:30" x14ac:dyDescent="0.25">
      <c r="A5" s="72">
        <v>2010</v>
      </c>
      <c r="B5" s="73">
        <v>1.1038103778926001E-2</v>
      </c>
      <c r="C5" s="73">
        <v>1.6400434423899001E-2</v>
      </c>
      <c r="D5" s="86">
        <f t="shared" si="0"/>
        <v>1.0408570427825374</v>
      </c>
      <c r="E5" s="86">
        <f t="shared" si="1"/>
        <v>1.0516685563212869</v>
      </c>
      <c r="F5" s="72"/>
      <c r="G5" s="72"/>
      <c r="H5" s="72"/>
      <c r="I5" s="87"/>
      <c r="J5" s="87"/>
      <c r="K5" s="87"/>
      <c r="L5" s="87"/>
      <c r="M5" s="72"/>
      <c r="N5" s="87"/>
      <c r="O5" s="72"/>
      <c r="P5" s="87"/>
      <c r="Q5" s="72"/>
      <c r="R5" s="87"/>
      <c r="S5" s="87"/>
      <c r="T5" s="87"/>
      <c r="U5" s="72"/>
      <c r="V5" s="87"/>
      <c r="W5" s="72"/>
      <c r="X5" s="72"/>
      <c r="Y5" s="72"/>
      <c r="Z5" s="72"/>
      <c r="AA5" s="72"/>
      <c r="AB5" s="72"/>
    </row>
    <row r="6" spans="1:30" x14ac:dyDescent="0.25">
      <c r="A6" s="72">
        <v>2011</v>
      </c>
      <c r="B6" s="73">
        <v>2.0751728373587398E-2</v>
      </c>
      <c r="C6" s="73">
        <v>3.156841568622E-2</v>
      </c>
      <c r="D6" s="86">
        <f t="shared" si="0"/>
        <v>1.062456625410096</v>
      </c>
      <c r="E6" s="86">
        <f t="shared" si="1"/>
        <v>1.0848680664713641</v>
      </c>
      <c r="F6" s="72"/>
      <c r="G6" s="72"/>
      <c r="H6" s="72"/>
      <c r="I6" s="87"/>
      <c r="J6" s="87"/>
      <c r="K6" s="87"/>
      <c r="L6" s="87"/>
      <c r="M6" s="72"/>
      <c r="N6" s="87"/>
      <c r="O6" s="72"/>
      <c r="P6" s="87"/>
      <c r="Q6" s="72"/>
      <c r="R6" s="87"/>
      <c r="S6" s="87"/>
      <c r="T6" s="87"/>
      <c r="U6" s="72"/>
      <c r="V6" s="87"/>
      <c r="W6" s="72"/>
      <c r="X6" s="72"/>
      <c r="Y6" s="72"/>
      <c r="Z6" s="72"/>
      <c r="AA6" s="72"/>
      <c r="AB6" s="72"/>
    </row>
    <row r="7" spans="1:30" x14ac:dyDescent="0.25">
      <c r="A7" s="72">
        <v>2012</v>
      </c>
      <c r="B7" s="73">
        <v>2.0084888478295603E-2</v>
      </c>
      <c r="C7" s="73">
        <v>2.0693372652606699E-2</v>
      </c>
      <c r="D7" s="86">
        <f t="shared" si="0"/>
        <v>1.0837959482444841</v>
      </c>
      <c r="E7" s="86">
        <f t="shared" si="1"/>
        <v>1.1073176456497689</v>
      </c>
      <c r="F7" s="72"/>
      <c r="G7" s="72"/>
      <c r="H7" s="72"/>
      <c r="I7" s="87"/>
      <c r="J7" s="87"/>
      <c r="K7" s="87"/>
      <c r="L7" s="87"/>
      <c r="M7" s="72"/>
      <c r="N7" s="87"/>
      <c r="O7" s="72"/>
      <c r="P7" s="87"/>
      <c r="Q7" s="72"/>
      <c r="R7" s="87"/>
      <c r="S7" s="87"/>
      <c r="T7" s="87"/>
      <c r="U7" s="72"/>
      <c r="V7" s="87"/>
      <c r="W7" s="72"/>
      <c r="X7" s="72"/>
      <c r="Y7" s="72"/>
      <c r="Z7" s="72"/>
      <c r="AA7" s="72"/>
      <c r="AB7" s="72"/>
    </row>
    <row r="8" spans="1:30" x14ac:dyDescent="0.25">
      <c r="A8" s="72">
        <v>2013</v>
      </c>
      <c r="B8" s="73">
        <v>1.50472330251876E-2</v>
      </c>
      <c r="C8" s="73">
        <v>1.46483265562717E-2</v>
      </c>
      <c r="D8" s="86">
        <f t="shared" si="0"/>
        <v>1.1001040784294731</v>
      </c>
      <c r="E8" s="86">
        <f t="shared" si="1"/>
        <v>1.1235379961247687</v>
      </c>
      <c r="F8" s="72"/>
      <c r="G8" s="72"/>
      <c r="H8" s="72"/>
      <c r="I8" s="87"/>
      <c r="J8" s="87"/>
      <c r="K8" s="87"/>
      <c r="L8" s="87"/>
      <c r="M8" s="72"/>
      <c r="N8" s="87"/>
      <c r="O8" s="72"/>
      <c r="P8" s="87"/>
      <c r="Q8" s="72"/>
      <c r="R8" s="87"/>
      <c r="S8" s="87"/>
      <c r="T8" s="87"/>
      <c r="U8" s="72"/>
      <c r="V8" s="87"/>
      <c r="W8" s="72"/>
      <c r="X8" s="72"/>
      <c r="Y8" s="72"/>
      <c r="Z8" s="72"/>
      <c r="AA8" s="72"/>
      <c r="AB8" s="72"/>
    </row>
    <row r="9" spans="1:30" x14ac:dyDescent="0.25">
      <c r="A9" s="72">
        <v>2014</v>
      </c>
      <c r="B9" s="73">
        <v>9.0679400043424604E-3</v>
      </c>
      <c r="C9" s="73">
        <v>1.6222229774081699E-2</v>
      </c>
      <c r="D9" s="86">
        <f t="shared" si="0"/>
        <v>1.1100797562112041</v>
      </c>
      <c r="E9" s="86">
        <f t="shared" si="1"/>
        <v>1.141764287657816</v>
      </c>
      <c r="F9" s="72"/>
      <c r="G9" s="72"/>
      <c r="H9" s="72"/>
      <c r="I9" s="87"/>
      <c r="J9" s="87"/>
      <c r="K9" s="87"/>
      <c r="L9" s="87"/>
      <c r="M9" s="72"/>
      <c r="N9" s="87"/>
      <c r="O9" s="72"/>
      <c r="P9" s="87"/>
      <c r="Q9" s="72"/>
      <c r="R9" s="87"/>
      <c r="S9" s="87"/>
      <c r="T9" s="87"/>
      <c r="U9" s="72"/>
      <c r="V9" s="87"/>
      <c r="W9" s="72"/>
      <c r="X9" s="72"/>
      <c r="Y9" s="72"/>
      <c r="Z9" s="72"/>
      <c r="AA9" s="72"/>
      <c r="AB9" s="72"/>
    </row>
    <row r="10" spans="1:30" x14ac:dyDescent="0.25">
      <c r="A10" s="72">
        <v>2015</v>
      </c>
      <c r="B10" s="73">
        <v>5.1442613712545607E-3</v>
      </c>
      <c r="C10" s="73">
        <v>1.18627135552451E-3</v>
      </c>
      <c r="D10" s="86">
        <f t="shared" si="0"/>
        <v>1.115790296620093</v>
      </c>
      <c r="E10" s="86">
        <f t="shared" si="1"/>
        <v>1.1431187299270251</v>
      </c>
      <c r="F10" s="72"/>
      <c r="G10" s="72"/>
      <c r="H10" s="72"/>
      <c r="I10" s="87"/>
      <c r="J10" s="87"/>
      <c r="K10" s="87"/>
      <c r="L10" s="87"/>
      <c r="M10" s="87"/>
      <c r="N10" s="87"/>
      <c r="O10" s="72"/>
      <c r="P10" s="72"/>
      <c r="Q10" s="72"/>
      <c r="R10" s="72"/>
      <c r="S10" s="87"/>
      <c r="T10" s="87"/>
      <c r="U10" s="72"/>
      <c r="V10" s="87"/>
      <c r="W10" s="72"/>
      <c r="X10" s="72"/>
      <c r="Y10" s="72"/>
      <c r="Z10" s="87">
        <f>B47</f>
        <v>45.317</v>
      </c>
      <c r="AA10" s="87">
        <f>B48</f>
        <v>27.930530736641206</v>
      </c>
      <c r="AB10" s="72">
        <f>B49</f>
        <v>11.171842488549613</v>
      </c>
    </row>
    <row r="11" spans="1:30" s="26" customFormat="1" x14ac:dyDescent="0.25">
      <c r="A11" s="72">
        <v>2016</v>
      </c>
      <c r="B11" s="73">
        <v>4.91747008445174E-3</v>
      </c>
      <c r="C11" s="73">
        <v>1.26158320570536E-2</v>
      </c>
      <c r="D11" s="86">
        <f t="shared" si="0"/>
        <v>1.1212771620242437</v>
      </c>
      <c r="E11" s="86">
        <f t="shared" si="1"/>
        <v>1.1575401238450569</v>
      </c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>
        <f>B37</f>
        <v>25.4</v>
      </c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</row>
    <row r="12" spans="1:30" s="26" customFormat="1" x14ac:dyDescent="0.25">
      <c r="A12" s="72">
        <v>2017</v>
      </c>
      <c r="B12" s="73">
        <v>1.50949485109628E-2</v>
      </c>
      <c r="C12" s="73">
        <v>2.1301100036596101E-2</v>
      </c>
      <c r="D12" s="86">
        <f>D11*(1+$B12)</f>
        <v>1.1382027830515182</v>
      </c>
      <c r="E12" s="86">
        <f t="shared" si="1"/>
        <v>1.1821970018194543</v>
      </c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>
        <f>B44</f>
        <v>3.4</v>
      </c>
      <c r="X12" s="87"/>
      <c r="Y12" s="87"/>
      <c r="Z12" s="87"/>
      <c r="AA12" s="87"/>
      <c r="AB12" s="87"/>
    </row>
    <row r="13" spans="1:30" s="26" customFormat="1" x14ac:dyDescent="0.25">
      <c r="A13" s="72">
        <v>2018</v>
      </c>
      <c r="B13" s="73">
        <v>1.73216879766942E-2</v>
      </c>
      <c r="C13" s="73">
        <v>2.4425832969281702E-2</v>
      </c>
      <c r="D13" s="86">
        <f t="shared" si="0"/>
        <v>1.1579183765137415</v>
      </c>
      <c r="E13" s="86">
        <f t="shared" si="1"/>
        <v>1.211073148322682</v>
      </c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>
        <f>B39</f>
        <v>18.776</v>
      </c>
      <c r="S13" s="87"/>
      <c r="T13" s="87">
        <f>B41</f>
        <v>2.6890000000000001</v>
      </c>
      <c r="U13" s="87"/>
      <c r="V13" s="87">
        <f>B43</f>
        <v>71</v>
      </c>
      <c r="W13" s="87"/>
      <c r="X13" s="87">
        <f>B45</f>
        <v>133</v>
      </c>
      <c r="Y13" s="87"/>
      <c r="Z13" s="87"/>
      <c r="AA13" s="87"/>
      <c r="AB13" s="87"/>
      <c r="AD13"/>
    </row>
    <row r="14" spans="1:30" s="26" customFormat="1" x14ac:dyDescent="0.25">
      <c r="A14" s="72">
        <v>2019</v>
      </c>
      <c r="B14" s="73">
        <v>1.4456597688825299E-2</v>
      </c>
      <c r="C14" s="73">
        <v>1.8122100752602101E-2</v>
      </c>
      <c r="D14" s="86">
        <f t="shared" si="0"/>
        <v>1.1746579366394985</v>
      </c>
      <c r="E14" s="86">
        <f t="shared" si="1"/>
        <v>1.2330203379353566</v>
      </c>
      <c r="F14" s="87"/>
      <c r="G14" s="87"/>
      <c r="H14" s="87"/>
      <c r="I14" s="87">
        <f>B30</f>
        <v>20</v>
      </c>
      <c r="J14" s="87">
        <f>B31</f>
        <v>27</v>
      </c>
      <c r="K14" s="87">
        <f>B32</f>
        <v>28</v>
      </c>
      <c r="L14" s="87"/>
      <c r="M14" s="87"/>
      <c r="N14" s="87"/>
      <c r="O14" s="87">
        <f>B35</f>
        <v>240</v>
      </c>
      <c r="P14" s="87"/>
      <c r="Q14" s="87">
        <f>B38</f>
        <v>6.7698259187620895</v>
      </c>
      <c r="R14" s="87"/>
      <c r="S14" s="87"/>
      <c r="T14" s="87"/>
      <c r="U14" s="87">
        <f>B42</f>
        <v>117.54716981132076</v>
      </c>
      <c r="V14" s="87"/>
      <c r="W14" s="87"/>
      <c r="X14" s="87"/>
      <c r="Y14" s="87">
        <f>B46</f>
        <v>775</v>
      </c>
      <c r="Z14" s="87"/>
      <c r="AA14" s="87"/>
      <c r="AB14" s="87"/>
      <c r="AD14"/>
    </row>
    <row r="15" spans="1:30" s="26" customFormat="1" x14ac:dyDescent="0.25">
      <c r="A15" s="72">
        <v>2020</v>
      </c>
      <c r="B15" s="73">
        <v>1.4487792581398201E-3</v>
      </c>
      <c r="C15" s="73">
        <v>1.2335843963062899E-2</v>
      </c>
      <c r="D15" s="86">
        <f t="shared" si="0"/>
        <v>1.1763597566935111</v>
      </c>
      <c r="E15" s="86">
        <f t="shared" si="1"/>
        <v>1.2482306844274103</v>
      </c>
      <c r="F15" s="87"/>
      <c r="G15" s="87"/>
      <c r="H15" s="87"/>
      <c r="I15" s="87"/>
      <c r="J15" s="87"/>
      <c r="K15" s="87"/>
      <c r="L15" s="87">
        <f>B33</f>
        <v>18.3</v>
      </c>
      <c r="M15" s="87"/>
      <c r="N15" s="87"/>
      <c r="O15" s="87"/>
      <c r="P15" s="87"/>
      <c r="Q15" s="87"/>
      <c r="R15" s="87"/>
      <c r="S15" s="87">
        <f>B40</f>
        <v>6.157</v>
      </c>
      <c r="T15" s="87"/>
      <c r="U15" s="87"/>
      <c r="V15" s="87"/>
      <c r="W15" s="87"/>
      <c r="X15" s="87"/>
      <c r="Y15" s="87"/>
      <c r="Z15" s="87"/>
      <c r="AA15" s="87"/>
      <c r="AB15" s="87"/>
    </row>
    <row r="16" spans="1:30" s="26" customFormat="1" x14ac:dyDescent="0.25">
      <c r="A16" s="72">
        <v>2021</v>
      </c>
      <c r="B16" s="73">
        <v>3.06666666666673E-2</v>
      </c>
      <c r="C16" s="73">
        <v>4.6978588636374205E-2</v>
      </c>
      <c r="D16" s="86">
        <f t="shared" si="0"/>
        <v>1.2124347892321128</v>
      </c>
      <c r="E16" s="86">
        <f t="shared" si="1"/>
        <v>1.3068708002744254</v>
      </c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</row>
    <row r="17" spans="1:28" s="26" customFormat="1" x14ac:dyDescent="0.25">
      <c r="A17" s="72">
        <v>2022</v>
      </c>
      <c r="B17" s="73">
        <v>6.8725743855109697E-2</v>
      </c>
      <c r="C17" s="73">
        <v>8.00279982052121E-2</v>
      </c>
      <c r="D17" s="86">
        <f t="shared" si="0"/>
        <v>1.2957602719979029</v>
      </c>
      <c r="E17" s="86">
        <f t="shared" si="1"/>
        <v>1.4114570543332312</v>
      </c>
      <c r="F17" s="87">
        <f>B27</f>
        <v>45</v>
      </c>
      <c r="G17" s="87">
        <f>B28</f>
        <v>87.008700870087011</v>
      </c>
      <c r="H17" s="87">
        <f>B29</f>
        <v>8.7087087087087074</v>
      </c>
      <c r="I17" s="87"/>
      <c r="J17" s="87"/>
      <c r="K17" s="87"/>
      <c r="L17" s="87"/>
      <c r="M17" s="87">
        <f>B36</f>
        <v>6.6006600660066006</v>
      </c>
      <c r="N17" s="87">
        <f>B34</f>
        <v>850</v>
      </c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</row>
    <row r="18" spans="1:28" s="26" customFormat="1" x14ac:dyDescent="0.25">
      <c r="A18" s="72">
        <v>2023</v>
      </c>
      <c r="B18" s="73">
        <v>5.9464366772582301E-2</v>
      </c>
      <c r="C18" s="73">
        <v>4.1163383837448803E-2</v>
      </c>
      <c r="D18" s="86">
        <f t="shared" si="0"/>
        <v>1.3728118360613271</v>
      </c>
      <c r="E18" s="86">
        <f t="shared" si="1"/>
        <v>1.4695574028308247</v>
      </c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</row>
    <row r="19" spans="1:28" s="26" customFormat="1" x14ac:dyDescent="0.25">
      <c r="A19" s="72">
        <v>2024</v>
      </c>
      <c r="B19" s="73">
        <v>2.2564981433876002E-2</v>
      </c>
      <c r="C19" s="73">
        <v>2.9495252048520701E-2</v>
      </c>
      <c r="D19" s="86">
        <f t="shared" si="0"/>
        <v>1.4037893096542562</v>
      </c>
      <c r="E19" s="86">
        <f t="shared" si="1"/>
        <v>1.5129023688270895</v>
      </c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</row>
    <row r="20" spans="1:28" s="26" customFormat="1" x14ac:dyDescent="0.25">
      <c r="A20" s="72">
        <v>2025</v>
      </c>
      <c r="B20" s="73">
        <f>Inputs!$B$15</f>
        <v>1.4999999999999999E-2</v>
      </c>
      <c r="C20" s="73">
        <v>2.4199999999999999E-2</v>
      </c>
      <c r="D20" s="86">
        <f t="shared" si="0"/>
        <v>1.4248461492990698</v>
      </c>
      <c r="E20" s="86">
        <f t="shared" si="1"/>
        <v>1.549514606152705</v>
      </c>
      <c r="F20" s="90" cm="1">
        <f t="array" ref="F20">LOOKUP(2,1/(F$2:F$19&lt;&gt;""),F$2:F$19) * $D$20 / LOOKUP(2,1/(F$2:F$19&lt;&gt;""),$D$2:$D$19)</f>
        <v>49.48297775760323</v>
      </c>
      <c r="G20" s="90" cm="1">
        <f t="array" ref="G20">LOOKUP(2,1/(G$2:G$19&lt;&gt;""),G$2:G$19) * $D$20 / LOOKUP(2,1/(G$2:G$19&lt;&gt;""),$D$2:$D$19)</f>
        <v>95.676657997165975</v>
      </c>
      <c r="H20" s="90" cm="1">
        <f t="array" ref="H20">LOOKUP(2,1/(H$2:H$19&lt;&gt;""),H$2:H$19) * $D$20 / LOOKUP(2,1/(H$2:H$19&lt;&gt;""),$D$2:$D$19)</f>
        <v>9.5762853184550778</v>
      </c>
      <c r="I20" s="90" cm="1">
        <f t="array" ref="I20">LOOKUP(2,1/(I$2:I$19&lt;&gt;""),I$2:I$19) * $D$20 / LOOKUP(2,1/(I$2:I$19&lt;&gt;""),$D$2:$D$19)</f>
        <v>24.259762861268673</v>
      </c>
      <c r="J20" s="90" cm="1">
        <f t="array" ref="J20">LOOKUP(2,1/(J$2:J$19&lt;&gt;""),J$2:J$19) * $D$20 / LOOKUP(2,1/(J$2:J$19&lt;&gt;""),$D$2:$D$19)</f>
        <v>32.750679862712708</v>
      </c>
      <c r="K20" s="90" cm="1">
        <f t="array" ref="K20">LOOKUP(2,1/(K$2:K$19&lt;&gt;""),K$2:K$19) * $D$20 / LOOKUP(2,1/(K$2:K$19&lt;&gt;""),$D$2:$D$19)</f>
        <v>33.963668005776142</v>
      </c>
      <c r="L20" s="90" cm="1">
        <f t="array" ref="L20">LOOKUP(2,1/(L$2:L$19&lt;&gt;""),L$2:L$19) * $E$20 / LOOKUP(2,1/(L$2:L$19&lt;&gt;""),$E$2:$E$19)</f>
        <v>22.717048736549888</v>
      </c>
      <c r="M20" s="90" cm="1">
        <f t="array" ref="M20">LOOKUP(2,1/(M$10:M$19&lt;&gt;""),M$10:M$19) * $D$20 / LOOKUP(2,1/(M$10:M$19&lt;&gt;""),$D$2:$D$19)</f>
        <v>8.472296720355887</v>
      </c>
      <c r="N20" s="90" cm="1">
        <f t="array" ref="N20">LOOKUP(2,1/(N$10:N$19&lt;&gt;""),N$10:N$19) * $D$20 / LOOKUP(2,1/(N$10:N$19&lt;&gt;""),$D$2:$D$19)</f>
        <v>1091.0200101638295</v>
      </c>
      <c r="O20" s="90" cm="1">
        <f t="array" ref="O20">LOOKUP(2,1/(O$10:O$19&lt;&gt;""),O$10:O$19) * $D$20 / LOOKUP(2,1/(O$10:O$19&lt;&gt;""),$D$2:$D$19)</f>
        <v>321.86074015001122</v>
      </c>
      <c r="P20" s="90" cm="1">
        <f t="array" ref="P20">LOOKUP(2,1/(P$2:P$19&lt;&gt;""),P$2:P$19) * $E$20 / LOOKUP(2,1/(P$2:P$19&lt;&gt;""),$E$2:$E$19)</f>
        <v>34.001128933261022</v>
      </c>
      <c r="Q20" s="90" cm="1">
        <f t="array" ref="Q20">LOOKUP(2,1/(Q$10:Q$19&lt;&gt;""),Q$10:Q$19) * $D$20 / LOOKUP(2,1/(Q$10:Q$19&lt;&gt;""),$D$2:$D$19)</f>
        <v>9.0789215870812345</v>
      </c>
      <c r="R20" s="90" cm="1">
        <f t="array" ref="R20">LOOKUP(2,1/(R$2:R$19&lt;&gt;""),R$2:R$19) * $E$20 / LOOKUP(2,1/(R$2:R$19&lt;&gt;""),$E$2:$E$19)</f>
        <v>24.023062756710861</v>
      </c>
      <c r="S20" s="90" cm="1">
        <f t="array" ref="S20">LOOKUP(2,1/(S$2:S$19&lt;&gt;""),S$2:S$19) * $E$20 / LOOKUP(2,1/(S$2:S$19&lt;&gt;""),$E$2:$E$19)</f>
        <v>7.6431075995047904</v>
      </c>
      <c r="T20" s="90" cm="1">
        <f t="array" ref="T20">LOOKUP(2,1/(T$2:T$19&lt;&gt;""),T$2:T$19) * $E$20 / LOOKUP(2,1/(T$2:T$19&lt;&gt;""),$E$2:$E$19)</f>
        <v>3.440456740136105</v>
      </c>
      <c r="U20" s="90" cm="1">
        <f t="array" ref="U20">LOOKUP(2,1/(U$10:U$19&lt;&gt;""),U$10:U$19) * $D$20 / LOOKUP(2,1/(U$10:U$19&lt;&gt;""),$D$2:$D$19)</f>
        <v>157.64091282504484</v>
      </c>
      <c r="V20" s="90" cm="1">
        <f t="array" ref="V20">LOOKUP(2,1/(V$10:V$19&lt;&gt;""),V$10:V$19) * $D$20 / LOOKUP(2,1/(V$10:V$19&lt;&gt;""),$D$2:$D$19)</f>
        <v>97.193055762768964</v>
      </c>
      <c r="W20" s="90" cm="1">
        <f t="array" ref="W20">LOOKUP(2,1/(W$10:W$19&lt;&gt;""),W$10:W$19) * $D$20 / LOOKUP(2,1/(W$10:W$19&lt;&gt;""),$D$2:$D$19)</f>
        <v>4.7056901621993763</v>
      </c>
      <c r="X20" s="90" cm="1">
        <f t="array" ref="X20">LOOKUP(2,1/(X$10:X$19&lt;&gt;""),X$10:X$19) * $D$20 / LOOKUP(2,1/(X$10:X$19&lt;&gt;""),$D$2:$D$19)</f>
        <v>182.06586502039821</v>
      </c>
      <c r="Y20" s="90" cm="1">
        <f t="array" ref="Y20">LOOKUP(2,1/(Y$10:Y$19&lt;&gt;""),Y$10:Y$19) * $D$20 / LOOKUP(2,1/(Y$10:Y$19&lt;&gt;""),$D$2:$D$19)</f>
        <v>1039.3419734010781</v>
      </c>
      <c r="Z20" s="90" cm="1">
        <f t="array" ref="Z20">LOOKUP(2,1/(Z$2:Z$19&lt;&gt;""),Z$2:Z$19) * $E$20 / LOOKUP(2,1/(Z$2:Z$19&lt;&gt;""),$E$2:$E$19)</f>
        <v>61.427874085752073</v>
      </c>
      <c r="AA20" s="90" cm="1">
        <f t="array" ref="AA20">LOOKUP(2,1/(AA$2:AA$19&lt;&gt;""),AA$2:AA$19) * $E$20 / LOOKUP(2,1/(AA$2:AA$19&lt;&gt;""),$E$2:$E$19)</f>
        <v>37.860253883501201</v>
      </c>
      <c r="AB20" s="90" cm="1">
        <f t="array" ref="AB20">LOOKUP(2,1/(AB$2:AB$19&lt;&gt;""),AB$2:AB$19) * $E$20 / LOOKUP(2,1/(AB$2:AB$19&lt;&gt;""),$E$2:$E$19)</f>
        <v>15.143600275668751</v>
      </c>
    </row>
    <row r="23" spans="1:28" x14ac:dyDescent="0.25">
      <c r="A23" t="s">
        <v>270</v>
      </c>
      <c r="B23" t="s">
        <v>271</v>
      </c>
    </row>
    <row r="24" spans="1:28" x14ac:dyDescent="0.25">
      <c r="A24" t="s">
        <v>59</v>
      </c>
      <c r="B24" s="25">
        <v>0.92451526717557209</v>
      </c>
    </row>
    <row r="26" spans="1:28" x14ac:dyDescent="0.25">
      <c r="B26" t="s">
        <v>8</v>
      </c>
      <c r="C26" t="s">
        <v>7</v>
      </c>
      <c r="D26" t="s">
        <v>176</v>
      </c>
      <c r="E26" t="s">
        <v>216</v>
      </c>
    </row>
    <row r="27" spans="1:28" x14ac:dyDescent="0.25">
      <c r="A27" t="s">
        <v>188</v>
      </c>
      <c r="B27">
        <v>45</v>
      </c>
      <c r="C27" t="s">
        <v>34</v>
      </c>
      <c r="D27" t="s">
        <v>234</v>
      </c>
    </row>
    <row r="28" spans="1:28" x14ac:dyDescent="0.25">
      <c r="A28" t="s">
        <v>304</v>
      </c>
      <c r="B28">
        <f>2.9/0.03333</f>
        <v>87.008700870087011</v>
      </c>
      <c r="C28" t="s">
        <v>34</v>
      </c>
      <c r="D28" t="s">
        <v>234</v>
      </c>
    </row>
    <row r="29" spans="1:28" x14ac:dyDescent="0.25">
      <c r="A29" t="s">
        <v>228</v>
      </c>
      <c r="B29" s="26">
        <f>0.29/0.0333</f>
        <v>8.7087087087087074</v>
      </c>
      <c r="C29" t="s">
        <v>34</v>
      </c>
      <c r="D29" t="s">
        <v>180</v>
      </c>
    </row>
    <row r="30" spans="1:28" x14ac:dyDescent="0.25">
      <c r="A30" t="s">
        <v>189</v>
      </c>
      <c r="B30">
        <v>20</v>
      </c>
      <c r="C30" t="s">
        <v>34</v>
      </c>
      <c r="D30" t="s">
        <v>122</v>
      </c>
      <c r="E30" t="s">
        <v>217</v>
      </c>
    </row>
    <row r="31" spans="1:28" x14ac:dyDescent="0.25">
      <c r="A31" t="s">
        <v>195</v>
      </c>
      <c r="B31">
        <v>27</v>
      </c>
      <c r="C31" t="s">
        <v>34</v>
      </c>
      <c r="D31" t="s">
        <v>160</v>
      </c>
      <c r="E31" t="s">
        <v>218</v>
      </c>
    </row>
    <row r="32" spans="1:28" x14ac:dyDescent="0.25">
      <c r="A32" t="s">
        <v>190</v>
      </c>
      <c r="B32">
        <v>28</v>
      </c>
      <c r="C32" t="s">
        <v>34</v>
      </c>
      <c r="D32" t="s">
        <v>160</v>
      </c>
      <c r="E32" t="s">
        <v>218</v>
      </c>
    </row>
    <row r="33" spans="1:19" x14ac:dyDescent="0.25">
      <c r="A33" t="s">
        <v>203</v>
      </c>
      <c r="B33">
        <v>18.3</v>
      </c>
      <c r="C33" t="s">
        <v>34</v>
      </c>
      <c r="D33" t="s">
        <v>225</v>
      </c>
      <c r="E33" t="s">
        <v>224</v>
      </c>
    </row>
    <row r="34" spans="1:19" x14ac:dyDescent="0.25">
      <c r="A34" t="s">
        <v>191</v>
      </c>
      <c r="B34">
        <v>850</v>
      </c>
      <c r="C34" t="s">
        <v>34</v>
      </c>
      <c r="D34" t="s">
        <v>180</v>
      </c>
    </row>
    <row r="35" spans="1:19" x14ac:dyDescent="0.25">
      <c r="A35" t="s">
        <v>192</v>
      </c>
      <c r="B35">
        <v>240</v>
      </c>
      <c r="C35" t="s">
        <v>34</v>
      </c>
      <c r="D35" t="s">
        <v>205</v>
      </c>
    </row>
    <row r="36" spans="1:19" x14ac:dyDescent="0.25">
      <c r="A36" t="s">
        <v>260</v>
      </c>
      <c r="B36">
        <f>0.22/0.03333</f>
        <v>6.6006600660066006</v>
      </c>
      <c r="C36" t="s">
        <v>34</v>
      </c>
      <c r="D36" t="s">
        <v>261</v>
      </c>
    </row>
    <row r="37" spans="1:19" x14ac:dyDescent="0.25">
      <c r="A37" t="s">
        <v>193</v>
      </c>
      <c r="B37" s="26">
        <v>25.4</v>
      </c>
      <c r="C37" t="s">
        <v>34</v>
      </c>
      <c r="D37" t="s">
        <v>214</v>
      </c>
      <c r="E37" t="s">
        <v>215</v>
      </c>
    </row>
    <row r="38" spans="1:19" x14ac:dyDescent="0.25">
      <c r="A38" t="s">
        <v>194</v>
      </c>
      <c r="B38">
        <f>35/5.17</f>
        <v>6.7698259187620895</v>
      </c>
      <c r="C38" t="s">
        <v>34</v>
      </c>
      <c r="D38" t="s">
        <v>120</v>
      </c>
      <c r="O38" s="25"/>
    </row>
    <row r="39" spans="1:19" x14ac:dyDescent="0.25">
      <c r="A39" t="s">
        <v>196</v>
      </c>
      <c r="B39">
        <v>18.776</v>
      </c>
      <c r="C39" t="s">
        <v>34</v>
      </c>
      <c r="D39" t="s">
        <v>183</v>
      </c>
      <c r="E39" t="s">
        <v>224</v>
      </c>
      <c r="Q39" s="26"/>
      <c r="S39" s="25"/>
    </row>
    <row r="40" spans="1:19" x14ac:dyDescent="0.25">
      <c r="A40" t="s">
        <v>197</v>
      </c>
      <c r="B40">
        <v>6.157</v>
      </c>
      <c r="C40" t="s">
        <v>34</v>
      </c>
      <c r="D40" t="s">
        <v>225</v>
      </c>
      <c r="E40" t="s">
        <v>224</v>
      </c>
    </row>
    <row r="41" spans="1:19" x14ac:dyDescent="0.25">
      <c r="A41" t="s">
        <v>198</v>
      </c>
      <c r="B41">
        <v>2.6890000000000001</v>
      </c>
      <c r="C41" t="s">
        <v>34</v>
      </c>
      <c r="D41" t="s">
        <v>183</v>
      </c>
      <c r="E41" t="s">
        <v>224</v>
      </c>
      <c r="R41" s="25"/>
    </row>
    <row r="42" spans="1:19" x14ac:dyDescent="0.25">
      <c r="A42" t="s">
        <v>199</v>
      </c>
      <c r="B42">
        <f>623/5.3</f>
        <v>117.54716981132076</v>
      </c>
      <c r="C42" t="s">
        <v>34</v>
      </c>
      <c r="D42" t="s">
        <v>120</v>
      </c>
    </row>
    <row r="43" spans="1:19" x14ac:dyDescent="0.25">
      <c r="A43" t="s">
        <v>200</v>
      </c>
      <c r="B43">
        <v>71</v>
      </c>
      <c r="C43" t="s">
        <v>34</v>
      </c>
      <c r="D43" t="s">
        <v>220</v>
      </c>
    </row>
    <row r="44" spans="1:19" x14ac:dyDescent="0.25">
      <c r="A44" t="s">
        <v>202</v>
      </c>
      <c r="B44">
        <v>3.4</v>
      </c>
      <c r="C44" t="s">
        <v>34</v>
      </c>
      <c r="D44" t="s">
        <v>221</v>
      </c>
      <c r="E44" t="s">
        <v>215</v>
      </c>
      <c r="O44" s="77"/>
    </row>
    <row r="45" spans="1:19" x14ac:dyDescent="0.25">
      <c r="A45" t="s">
        <v>201</v>
      </c>
      <c r="B45">
        <v>133</v>
      </c>
      <c r="C45" t="s">
        <v>34</v>
      </c>
      <c r="D45" t="s">
        <v>220</v>
      </c>
    </row>
    <row r="46" spans="1:19" x14ac:dyDescent="0.25">
      <c r="A46" t="s">
        <v>5</v>
      </c>
      <c r="B46">
        <v>775</v>
      </c>
      <c r="C46" t="s">
        <v>185</v>
      </c>
      <c r="D46" t="s">
        <v>120</v>
      </c>
    </row>
    <row r="47" spans="1:19" x14ac:dyDescent="0.25">
      <c r="A47" t="s">
        <v>238</v>
      </c>
      <c r="B47">
        <v>45.317</v>
      </c>
      <c r="C47" t="s">
        <v>185</v>
      </c>
      <c r="D47" t="s">
        <v>237</v>
      </c>
      <c r="E47" t="s">
        <v>215</v>
      </c>
      <c r="J47" s="1"/>
    </row>
    <row r="48" spans="1:19" x14ac:dyDescent="0.25">
      <c r="A48" t="s">
        <v>244</v>
      </c>
      <c r="B48">
        <f>B24*30.211</f>
        <v>27.930530736641206</v>
      </c>
      <c r="C48" t="s">
        <v>185</v>
      </c>
      <c r="D48" t="s">
        <v>237</v>
      </c>
      <c r="E48" t="s">
        <v>215</v>
      </c>
      <c r="J48" s="1"/>
    </row>
    <row r="49" spans="1:10" x14ac:dyDescent="0.25">
      <c r="A49" t="s">
        <v>245</v>
      </c>
      <c r="B49">
        <f>B24*12.084</f>
        <v>11.171842488549613</v>
      </c>
      <c r="C49" t="s">
        <v>185</v>
      </c>
      <c r="D49" t="s">
        <v>237</v>
      </c>
      <c r="E49" t="s">
        <v>215</v>
      </c>
      <c r="J49" s="1"/>
    </row>
    <row r="50" spans="1:10" x14ac:dyDescent="0.25">
      <c r="J50" s="1"/>
    </row>
    <row r="52" spans="1:10" x14ac:dyDescent="0.25">
      <c r="A52" t="s">
        <v>178</v>
      </c>
    </row>
    <row r="53" spans="1:10" x14ac:dyDescent="0.25">
      <c r="A53">
        <v>1</v>
      </c>
      <c r="B53" t="s">
        <v>179</v>
      </c>
    </row>
    <row r="54" spans="1:10" x14ac:dyDescent="0.25">
      <c r="A54">
        <v>2</v>
      </c>
      <c r="B54" t="s">
        <v>184</v>
      </c>
    </row>
    <row r="55" spans="1:10" x14ac:dyDescent="0.25">
      <c r="A55">
        <v>3</v>
      </c>
      <c r="B55" t="s">
        <v>186</v>
      </c>
    </row>
    <row r="56" spans="1:10" x14ac:dyDescent="0.25">
      <c r="A56">
        <v>4</v>
      </c>
      <c r="B56" t="s">
        <v>204</v>
      </c>
    </row>
    <row r="57" spans="1:10" x14ac:dyDescent="0.25">
      <c r="A57">
        <v>5</v>
      </c>
      <c r="B57" t="s">
        <v>206</v>
      </c>
    </row>
    <row r="58" spans="1:10" x14ac:dyDescent="0.25">
      <c r="A58">
        <v>6</v>
      </c>
      <c r="B58" t="s">
        <v>207</v>
      </c>
    </row>
    <row r="59" spans="1:10" x14ac:dyDescent="0.25">
      <c r="A59">
        <v>7</v>
      </c>
      <c r="B59" t="s">
        <v>208</v>
      </c>
    </row>
    <row r="60" spans="1:10" x14ac:dyDescent="0.25">
      <c r="A60">
        <v>8</v>
      </c>
      <c r="B60" t="s">
        <v>227</v>
      </c>
    </row>
    <row r="61" spans="1:10" x14ac:dyDescent="0.25">
      <c r="A61">
        <v>9</v>
      </c>
      <c r="B61" t="s">
        <v>219</v>
      </c>
    </row>
    <row r="62" spans="1:10" x14ac:dyDescent="0.25">
      <c r="A62">
        <v>10</v>
      </c>
      <c r="B62" t="s">
        <v>222</v>
      </c>
    </row>
    <row r="63" spans="1:10" x14ac:dyDescent="0.25">
      <c r="A63">
        <v>11</v>
      </c>
      <c r="B63" t="s">
        <v>223</v>
      </c>
    </row>
    <row r="64" spans="1:10" x14ac:dyDescent="0.25">
      <c r="A64">
        <v>12</v>
      </c>
      <c r="B64" t="s">
        <v>226</v>
      </c>
    </row>
    <row r="65" spans="1:2" x14ac:dyDescent="0.25">
      <c r="A65">
        <v>13</v>
      </c>
      <c r="B65" t="s">
        <v>235</v>
      </c>
    </row>
    <row r="66" spans="1:2" x14ac:dyDescent="0.25">
      <c r="A66">
        <v>14</v>
      </c>
      <c r="B66" t="s">
        <v>243</v>
      </c>
    </row>
    <row r="67" spans="1:2" x14ac:dyDescent="0.25">
      <c r="A67">
        <v>15</v>
      </c>
      <c r="B67" t="s">
        <v>263</v>
      </c>
    </row>
    <row r="83" spans="1:4" x14ac:dyDescent="0.25">
      <c r="A83">
        <v>0.58543306423078301</v>
      </c>
    </row>
    <row r="84" spans="1:4" x14ac:dyDescent="0.25">
      <c r="A84">
        <v>1.44026838719741</v>
      </c>
    </row>
    <row r="85" spans="1:4" x14ac:dyDescent="0.25">
      <c r="A85">
        <v>1.9838573133447099</v>
      </c>
    </row>
    <row r="86" spans="1:4" x14ac:dyDescent="0.25">
      <c r="A86">
        <v>1.42080615551526</v>
      </c>
      <c r="B86" s="76"/>
    </row>
    <row r="87" spans="1:4" x14ac:dyDescent="0.25">
      <c r="A87">
        <v>1.03422218628562</v>
      </c>
      <c r="B87" s="76"/>
    </row>
    <row r="88" spans="1:4" x14ac:dyDescent="0.25">
      <c r="A88">
        <v>1.66573696655992</v>
      </c>
      <c r="B88" s="76"/>
      <c r="D88">
        <v>2.8526724815013803E-2</v>
      </c>
    </row>
    <row r="89" spans="1:4" x14ac:dyDescent="0.25">
      <c r="A89">
        <v>1.54691114751328</v>
      </c>
      <c r="B89" s="76"/>
      <c r="D89">
        <v>3.8391002966509997E-2</v>
      </c>
    </row>
    <row r="90" spans="1:4" x14ac:dyDescent="0.25">
      <c r="A90">
        <v>1.5774264284056301</v>
      </c>
      <c r="B90" s="76"/>
      <c r="D90">
        <v>-3.55546266299747E-3</v>
      </c>
    </row>
    <row r="91" spans="1:4" x14ac:dyDescent="0.25">
      <c r="A91">
        <v>2.29834400700951</v>
      </c>
      <c r="B91" s="85">
        <f>A91/100</f>
        <v>2.2983440070095101E-2</v>
      </c>
      <c r="D91">
        <v>1.6400434423899001E-2</v>
      </c>
    </row>
    <row r="92" spans="1:4" x14ac:dyDescent="0.25">
      <c r="A92">
        <v>2.6283798163721901</v>
      </c>
      <c r="B92" s="85">
        <f t="shared" ref="B92:B108" si="2">A92/100</f>
        <v>2.6283798163721901E-2</v>
      </c>
      <c r="D92">
        <v>3.156841568622E-2</v>
      </c>
    </row>
    <row r="93" spans="1:4" x14ac:dyDescent="0.25">
      <c r="A93">
        <v>0.31273900736844701</v>
      </c>
      <c r="B93" s="85">
        <f t="shared" si="2"/>
        <v>3.1273900736844703E-3</v>
      </c>
      <c r="D93">
        <v>2.0693372652606699E-2</v>
      </c>
    </row>
    <row r="94" spans="1:4" x14ac:dyDescent="0.25">
      <c r="A94">
        <v>1.1038103778926001</v>
      </c>
      <c r="B94" s="85">
        <f t="shared" si="2"/>
        <v>1.1038103778926001E-2</v>
      </c>
      <c r="D94">
        <v>1.46483265562717E-2</v>
      </c>
    </row>
    <row r="95" spans="1:4" x14ac:dyDescent="0.25">
      <c r="A95">
        <v>2.0751728373587399</v>
      </c>
      <c r="B95" s="85">
        <f t="shared" si="2"/>
        <v>2.0751728373587398E-2</v>
      </c>
      <c r="D95">
        <v>1.6222229774081699E-2</v>
      </c>
    </row>
    <row r="96" spans="1:4" x14ac:dyDescent="0.25">
      <c r="A96">
        <v>2.0084888478295602</v>
      </c>
      <c r="B96" s="85">
        <f t="shared" si="2"/>
        <v>2.0084888478295603E-2</v>
      </c>
      <c r="D96">
        <v>1.18627135552451E-3</v>
      </c>
    </row>
    <row r="97" spans="1:4" x14ac:dyDescent="0.25">
      <c r="A97">
        <v>1.5047233025187601</v>
      </c>
      <c r="B97" s="85">
        <f t="shared" si="2"/>
        <v>1.50472330251876E-2</v>
      </c>
      <c r="D97">
        <v>1.26158320570536E-2</v>
      </c>
    </row>
    <row r="98" spans="1:4" x14ac:dyDescent="0.25">
      <c r="A98">
        <v>0.90679400043424596</v>
      </c>
      <c r="B98" s="85">
        <f t="shared" si="2"/>
        <v>9.0679400043424604E-3</v>
      </c>
      <c r="D98">
        <v>2.1301100036596101E-2</v>
      </c>
    </row>
    <row r="99" spans="1:4" x14ac:dyDescent="0.25">
      <c r="A99">
        <v>0.51442613712545604</v>
      </c>
      <c r="B99" s="85">
        <f t="shared" si="2"/>
        <v>5.1442613712545607E-3</v>
      </c>
      <c r="D99">
        <v>2.4425832969281702E-2</v>
      </c>
    </row>
    <row r="100" spans="1:4" x14ac:dyDescent="0.25">
      <c r="A100">
        <v>0.49174700844517399</v>
      </c>
      <c r="B100" s="85">
        <f t="shared" si="2"/>
        <v>4.91747008445174E-3</v>
      </c>
      <c r="D100">
        <v>1.8122100752602101E-2</v>
      </c>
    </row>
    <row r="101" spans="1:4" x14ac:dyDescent="0.25">
      <c r="A101">
        <v>1.50949485109628</v>
      </c>
      <c r="B101" s="85">
        <f t="shared" si="2"/>
        <v>1.50949485109628E-2</v>
      </c>
      <c r="D101">
        <v>1.2335843963062899E-2</v>
      </c>
    </row>
    <row r="102" spans="1:4" x14ac:dyDescent="0.25">
      <c r="A102">
        <v>1.73216879766942</v>
      </c>
      <c r="B102" s="85">
        <f t="shared" si="2"/>
        <v>1.73216879766942E-2</v>
      </c>
      <c r="D102">
        <v>4.6978588636374205E-2</v>
      </c>
    </row>
    <row r="103" spans="1:4" x14ac:dyDescent="0.25">
      <c r="A103">
        <v>1.4456597688825299</v>
      </c>
      <c r="B103" s="85">
        <f t="shared" si="2"/>
        <v>1.4456597688825299E-2</v>
      </c>
      <c r="D103">
        <v>8.00279982052121E-2</v>
      </c>
    </row>
    <row r="104" spans="1:4" x14ac:dyDescent="0.25">
      <c r="A104">
        <v>0.14487792581398201</v>
      </c>
      <c r="B104" s="85">
        <f t="shared" si="2"/>
        <v>1.4487792581398201E-3</v>
      </c>
      <c r="D104">
        <v>4.1163383837448803E-2</v>
      </c>
    </row>
    <row r="105" spans="1:4" x14ac:dyDescent="0.25">
      <c r="A105">
        <v>3.0666666666667299</v>
      </c>
      <c r="B105" s="85">
        <f t="shared" si="2"/>
        <v>3.06666666666673E-2</v>
      </c>
      <c r="D105">
        <v>2.9495252048520701E-2</v>
      </c>
    </row>
    <row r="106" spans="1:4" x14ac:dyDescent="0.25">
      <c r="A106">
        <v>6.87257438551097</v>
      </c>
      <c r="B106" s="85">
        <f t="shared" si="2"/>
        <v>6.8725743855109697E-2</v>
      </c>
    </row>
    <row r="107" spans="1:4" x14ac:dyDescent="0.25">
      <c r="A107">
        <v>5.9464366772582302</v>
      </c>
      <c r="B107" s="85">
        <f t="shared" si="2"/>
        <v>5.9464366772582301E-2</v>
      </c>
    </row>
    <row r="108" spans="1:4" x14ac:dyDescent="0.25">
      <c r="A108">
        <v>2.2564981433876001</v>
      </c>
      <c r="B108" s="85">
        <f t="shared" si="2"/>
        <v>2.2564981433876002E-2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A580-D7F4-482A-A2DD-804EC5EB2531}">
  <sheetPr>
    <tabColor rgb="FFFFC000"/>
  </sheetPr>
  <dimension ref="A4:U64"/>
  <sheetViews>
    <sheetView topLeftCell="A13" zoomScale="130" zoomScaleNormal="130" workbookViewId="0">
      <selection activeCell="B15" sqref="B15"/>
    </sheetView>
  </sheetViews>
  <sheetFormatPr defaultRowHeight="15" x14ac:dyDescent="0.25"/>
  <cols>
    <col min="1" max="1" width="25" bestFit="1" customWidth="1"/>
    <col min="2" max="2" width="20.28515625" bestFit="1" customWidth="1"/>
    <col min="3" max="3" width="43" bestFit="1" customWidth="1"/>
    <col min="4" max="4" width="25.42578125" bestFit="1" customWidth="1"/>
    <col min="8" max="8" width="9.28515625" bestFit="1" customWidth="1"/>
    <col min="9" max="9" width="9" bestFit="1" customWidth="1"/>
    <col min="10" max="10" width="18.5703125" bestFit="1" customWidth="1"/>
    <col min="11" max="12" width="9.28515625" bestFit="1" customWidth="1"/>
    <col min="13" max="13" width="18.7109375" customWidth="1"/>
    <col min="14" max="15" width="9.28515625" bestFit="1" customWidth="1"/>
    <col min="16" max="16" width="12" bestFit="1" customWidth="1"/>
    <col min="17" max="17" width="9.28515625" bestFit="1" customWidth="1"/>
    <col min="18" max="18" width="11" bestFit="1" customWidth="1"/>
    <col min="19" max="19" width="12" bestFit="1" customWidth="1"/>
    <col min="20" max="20" width="11" bestFit="1" customWidth="1"/>
    <col min="21" max="21" width="10.85546875" bestFit="1" customWidth="1"/>
  </cols>
  <sheetData>
    <row r="4" spans="1:21" x14ac:dyDescent="0.25">
      <c r="A4" t="s">
        <v>81</v>
      </c>
      <c r="B4" t="s">
        <v>8</v>
      </c>
      <c r="C4" t="s">
        <v>79</v>
      </c>
      <c r="D4" t="s">
        <v>273</v>
      </c>
    </row>
    <row r="5" spans="1:21" x14ac:dyDescent="0.25">
      <c r="A5" t="s">
        <v>56</v>
      </c>
      <c r="B5" s="24">
        <f>-1+(1+B16)/(1+B15)</f>
        <v>5.8128078817734075E-2</v>
      </c>
      <c r="C5" t="s">
        <v>82</v>
      </c>
      <c r="D5" t="s">
        <v>84</v>
      </c>
    </row>
    <row r="6" spans="1:21" x14ac:dyDescent="0.25">
      <c r="A6" t="s">
        <v>181</v>
      </c>
      <c r="B6" s="24">
        <v>0.63</v>
      </c>
      <c r="C6" t="s">
        <v>182</v>
      </c>
      <c r="D6" t="s">
        <v>183</v>
      </c>
    </row>
    <row r="7" spans="1:21" x14ac:dyDescent="0.25">
      <c r="A7" t="s">
        <v>24</v>
      </c>
      <c r="B7">
        <v>1000</v>
      </c>
      <c r="C7" t="s">
        <v>153</v>
      </c>
      <c r="D7" t="s">
        <v>154</v>
      </c>
      <c r="U7" s="26"/>
    </row>
    <row r="8" spans="1:21" x14ac:dyDescent="0.25">
      <c r="A8" t="s">
        <v>27</v>
      </c>
      <c r="B8" s="26">
        <v>14</v>
      </c>
      <c r="C8" t="s">
        <v>108</v>
      </c>
      <c r="D8" t="s">
        <v>118</v>
      </c>
    </row>
    <row r="9" spans="1:21" x14ac:dyDescent="0.25">
      <c r="A9" t="s">
        <v>58</v>
      </c>
      <c r="B9" s="26">
        <v>3</v>
      </c>
      <c r="C9" t="s">
        <v>116</v>
      </c>
      <c r="D9" t="s">
        <v>119</v>
      </c>
    </row>
    <row r="10" spans="1:21" x14ac:dyDescent="0.25">
      <c r="A10" t="s">
        <v>85</v>
      </c>
      <c r="B10" s="24">
        <f>1-B12</f>
        <v>0.4</v>
      </c>
      <c r="C10" t="s">
        <v>86</v>
      </c>
      <c r="D10" t="s">
        <v>167</v>
      </c>
      <c r="H10" s="30" t="s">
        <v>50</v>
      </c>
      <c r="I10" s="30" t="s">
        <v>70</v>
      </c>
      <c r="J10" s="30" t="s">
        <v>73</v>
      </c>
      <c r="K10" s="30" t="s">
        <v>76</v>
      </c>
      <c r="L10" s="30" t="s">
        <v>71</v>
      </c>
      <c r="M10" s="30" t="s">
        <v>72</v>
      </c>
    </row>
    <row r="11" spans="1:21" x14ac:dyDescent="0.25">
      <c r="A11" t="s">
        <v>87</v>
      </c>
      <c r="B11" s="24">
        <v>0.113</v>
      </c>
      <c r="C11" t="s">
        <v>88</v>
      </c>
      <c r="D11" t="s">
        <v>167</v>
      </c>
      <c r="H11" s="30">
        <v>0</v>
      </c>
      <c r="I11" s="31">
        <v>0.8</v>
      </c>
      <c r="J11" s="30">
        <f>1+((1+$B$26)^(H11+0.5)-1)</f>
        <v>1.0315228591102552</v>
      </c>
      <c r="K11" s="32">
        <f>1-L11</f>
        <v>0.6</v>
      </c>
      <c r="L11" s="32">
        <f>$B$10</f>
        <v>0.4</v>
      </c>
      <c r="M11" s="30">
        <f>1+((1+$B$27)^(H11+0.5)-1)</f>
        <v>1.0849144707611726</v>
      </c>
      <c r="P11">
        <f>SUMPRODUCT(I11:I13,J11:J13,K11:K13)</f>
        <v>0.63105799536437768</v>
      </c>
    </row>
    <row r="12" spans="1:21" x14ac:dyDescent="0.25">
      <c r="A12" t="s">
        <v>89</v>
      </c>
      <c r="B12" s="24">
        <v>0.6</v>
      </c>
      <c r="C12" t="s">
        <v>53</v>
      </c>
      <c r="D12" t="s">
        <v>167</v>
      </c>
      <c r="H12" s="30">
        <v>1</v>
      </c>
      <c r="I12" s="31">
        <v>0.1</v>
      </c>
      <c r="J12" s="30">
        <f t="shared" ref="J12:J13" si="0">1+((1+$B$26)^(H12+0.5)-1)</f>
        <v>1.0975809732404689</v>
      </c>
      <c r="K12" s="32">
        <f t="shared" ref="K12:K13" si="1">1-L12</f>
        <v>0.6</v>
      </c>
      <c r="L12" s="32">
        <f>$B$10</f>
        <v>0.4</v>
      </c>
      <c r="M12" s="30">
        <f>1+((1+$B$27)^(H12+0.5)-1)</f>
        <v>1.2769870873359797</v>
      </c>
    </row>
    <row r="13" spans="1:21" x14ac:dyDescent="0.25">
      <c r="A13" t="s">
        <v>90</v>
      </c>
      <c r="B13" s="24">
        <v>0.06</v>
      </c>
      <c r="C13" t="s">
        <v>54</v>
      </c>
      <c r="D13" t="s">
        <v>166</v>
      </c>
      <c r="H13" s="30">
        <v>2</v>
      </c>
      <c r="I13" s="31">
        <v>0.1</v>
      </c>
      <c r="J13" s="30">
        <f t="shared" si="0"/>
        <v>1.1678694099504499</v>
      </c>
      <c r="K13" s="32">
        <f t="shared" si="1"/>
        <v>0.6</v>
      </c>
      <c r="L13" s="32">
        <f>$B$10</f>
        <v>0.4</v>
      </c>
      <c r="M13" s="30">
        <f>1+((1+$B$27)^(H13+0.5)-1)</f>
        <v>1.5030641264087277</v>
      </c>
      <c r="U13" s="26"/>
    </row>
    <row r="14" spans="1:21" x14ac:dyDescent="0.25">
      <c r="A14" t="s">
        <v>91</v>
      </c>
      <c r="B14" s="24">
        <v>0.2</v>
      </c>
      <c r="C14" t="s">
        <v>125</v>
      </c>
      <c r="D14" t="s">
        <v>160</v>
      </c>
    </row>
    <row r="15" spans="1:21" x14ac:dyDescent="0.25">
      <c r="A15" t="s">
        <v>92</v>
      </c>
      <c r="B15" s="24">
        <v>1.4999999999999999E-2</v>
      </c>
      <c r="C15" t="s">
        <v>57</v>
      </c>
      <c r="D15" t="s">
        <v>161</v>
      </c>
    </row>
    <row r="16" spans="1:21" x14ac:dyDescent="0.25">
      <c r="A16" t="s">
        <v>55</v>
      </c>
      <c r="B16" s="24">
        <f>(B10*B11) + (B12*B13)*(1-B14)</f>
        <v>7.400000000000001E-2</v>
      </c>
      <c r="C16" t="s">
        <v>83</v>
      </c>
      <c r="D16" t="s">
        <v>84</v>
      </c>
    </row>
    <row r="17" spans="1:20" x14ac:dyDescent="0.25">
      <c r="A17" t="s">
        <v>59</v>
      </c>
      <c r="B17" s="25">
        <v>0.92451526717557209</v>
      </c>
      <c r="C17" t="s">
        <v>94</v>
      </c>
      <c r="D17" t="s">
        <v>93</v>
      </c>
    </row>
    <row r="18" spans="1:20" x14ac:dyDescent="0.25">
      <c r="A18" t="s">
        <v>63</v>
      </c>
      <c r="B18" s="24">
        <f>$B$5*(1/(1-1/(1+$B$5)^B19))</f>
        <v>6.7465909888421355E-2</v>
      </c>
      <c r="C18" t="s">
        <v>95</v>
      </c>
      <c r="D18" t="s">
        <v>84</v>
      </c>
    </row>
    <row r="19" spans="1:20" x14ac:dyDescent="0.25">
      <c r="A19" t="s">
        <v>65</v>
      </c>
      <c r="B19" s="26">
        <v>35</v>
      </c>
      <c r="C19" t="s">
        <v>96</v>
      </c>
      <c r="D19" t="s">
        <v>163</v>
      </c>
    </row>
    <row r="20" spans="1:20" x14ac:dyDescent="0.25">
      <c r="A20" t="s">
        <v>64</v>
      </c>
      <c r="B20" s="24">
        <f>$B$5*(1/(1-1/(1+$B$5)^B21))</f>
        <v>8.5864352782925091E-2</v>
      </c>
      <c r="C20" t="s">
        <v>95</v>
      </c>
      <c r="D20" t="s">
        <v>84</v>
      </c>
      <c r="M20" s="33" t="s">
        <v>50</v>
      </c>
      <c r="N20" s="101" t="s">
        <v>51</v>
      </c>
      <c r="O20" s="101"/>
      <c r="P20" s="33"/>
      <c r="Q20" s="33"/>
    </row>
    <row r="21" spans="1:20" x14ac:dyDescent="0.25">
      <c r="A21" t="s">
        <v>66</v>
      </c>
      <c r="B21" s="26">
        <v>20</v>
      </c>
      <c r="C21" t="s">
        <v>97</v>
      </c>
      <c r="D21" t="s">
        <v>122</v>
      </c>
      <c r="M21" s="33"/>
      <c r="N21" s="33" t="s">
        <v>52</v>
      </c>
      <c r="O21" s="33" t="s">
        <v>236</v>
      </c>
      <c r="P21" s="33" t="s">
        <v>60</v>
      </c>
      <c r="Q21" s="33" t="s">
        <v>61</v>
      </c>
    </row>
    <row r="22" spans="1:20" x14ac:dyDescent="0.25">
      <c r="A22" t="s">
        <v>67</v>
      </c>
      <c r="B22" s="24">
        <f>N42</f>
        <v>0.60074358920019699</v>
      </c>
      <c r="C22" t="s">
        <v>111</v>
      </c>
      <c r="D22" t="s">
        <v>84</v>
      </c>
      <c r="M22" s="33">
        <v>1</v>
      </c>
      <c r="N22" s="34">
        <v>0.2</v>
      </c>
      <c r="O22" s="34">
        <v>0.05</v>
      </c>
      <c r="P22" s="33">
        <f>1/((1+Inputs!$B$5)*(1+Inputs!$B$15))^$M22</f>
        <v>0.93109869646182486</v>
      </c>
      <c r="Q22" s="33">
        <f>1/((1+Inputs!$B$5)*(1+Inputs!$B$15))^$M22</f>
        <v>0.93109869646182486</v>
      </c>
    </row>
    <row r="23" spans="1:20" x14ac:dyDescent="0.25">
      <c r="A23" t="s">
        <v>68</v>
      </c>
      <c r="B23" s="24">
        <f>(1-(B22*B14))/(1-B14)</f>
        <v>1.0998141026999506</v>
      </c>
      <c r="C23" t="s">
        <v>98</v>
      </c>
      <c r="D23" t="s">
        <v>84</v>
      </c>
      <c r="M23" s="33">
        <v>2</v>
      </c>
      <c r="N23" s="34">
        <v>0.32</v>
      </c>
      <c r="O23" s="34">
        <v>9.5000000000000001E-2</v>
      </c>
      <c r="P23" s="33">
        <f>1/((1+Inputs!$B$5)*(1+Inputs!$B$15))^$M23</f>
        <v>0.86694478255290952</v>
      </c>
      <c r="Q23" s="33">
        <f>1/((1+Inputs!$B$5)*(1+Inputs!$B$15))^$M23</f>
        <v>0.86694478255290952</v>
      </c>
      <c r="T23" s="27"/>
    </row>
    <row r="24" spans="1:20" x14ac:dyDescent="0.25">
      <c r="A24" t="s">
        <v>69</v>
      </c>
      <c r="B24" s="26">
        <v>3</v>
      </c>
      <c r="C24" t="s">
        <v>99</v>
      </c>
      <c r="D24" t="s">
        <v>164</v>
      </c>
      <c r="M24" s="33">
        <v>3</v>
      </c>
      <c r="N24" s="34">
        <v>0.192</v>
      </c>
      <c r="O24" s="34">
        <v>8.5500000000000007E-2</v>
      </c>
      <c r="P24" s="33">
        <f>1/((1+Inputs!$B$5)*(1+Inputs!$B$15))^$M24</f>
        <v>0.80721115693939438</v>
      </c>
      <c r="Q24" s="33">
        <f>1/((1+Inputs!$B$5)*(1+Inputs!$B$15))^$M24</f>
        <v>0.80721115693939438</v>
      </c>
    </row>
    <row r="25" spans="1:20" x14ac:dyDescent="0.25">
      <c r="A25" t="s">
        <v>74</v>
      </c>
      <c r="B25" s="24">
        <v>0.08</v>
      </c>
      <c r="C25" t="s">
        <v>100</v>
      </c>
      <c r="D25" t="s">
        <v>120</v>
      </c>
      <c r="M25" s="33">
        <v>4</v>
      </c>
      <c r="N25" s="34">
        <v>0.1152</v>
      </c>
      <c r="O25" s="34">
        <v>7.6999999999999999E-2</v>
      </c>
      <c r="P25" s="33">
        <f>1/((1+Inputs!$B$5)*(1+Inputs!$B$15))^$M25</f>
        <v>0.75159325599571147</v>
      </c>
      <c r="Q25" s="33">
        <f>1/((1+Inputs!$B$5)*(1+Inputs!$B$15))^$M25</f>
        <v>0.75159325599571147</v>
      </c>
    </row>
    <row r="26" spans="1:20" x14ac:dyDescent="0.25">
      <c r="A26" s="43" t="s">
        <v>169</v>
      </c>
      <c r="B26" s="44">
        <f>-1+(1+B25)/(1+B15)</f>
        <v>6.4039408866995329E-2</v>
      </c>
      <c r="C26" s="43" t="s">
        <v>100</v>
      </c>
      <c r="D26" s="43" t="s">
        <v>120</v>
      </c>
      <c r="M26" s="33">
        <v>5</v>
      </c>
      <c r="N26" s="34">
        <v>0.1152</v>
      </c>
      <c r="O26" s="34">
        <v>6.93E-2</v>
      </c>
      <c r="P26" s="33">
        <f>1/((1+Inputs!$B$5)*(1+Inputs!$B$15))^$M26</f>
        <v>0.69980750092710564</v>
      </c>
      <c r="Q26" s="33">
        <f>1/((1+Inputs!$B$5)*(1+Inputs!$B$15))^$M26</f>
        <v>0.69980750092710564</v>
      </c>
    </row>
    <row r="27" spans="1:20" x14ac:dyDescent="0.25">
      <c r="A27" t="s">
        <v>75</v>
      </c>
      <c r="B27" s="24">
        <f>B11+B26</f>
        <v>0.17703940886699532</v>
      </c>
      <c r="C27" t="s">
        <v>101</v>
      </c>
      <c r="D27" t="s">
        <v>84</v>
      </c>
      <c r="M27" s="33">
        <v>6</v>
      </c>
      <c r="N27" s="34">
        <v>5.7599999999999998E-2</v>
      </c>
      <c r="O27" s="34">
        <v>6.2300000000000001E-2</v>
      </c>
      <c r="P27" s="33">
        <f>1/((1+Inputs!$B$5)*(1+Inputs!$B$15))^$M27</f>
        <v>0.65158985188743546</v>
      </c>
      <c r="Q27" s="33">
        <f>1/((1+Inputs!$B$5)*(1+Inputs!$B$15))^$M27</f>
        <v>0.65158985188743546</v>
      </c>
    </row>
    <row r="28" spans="1:20" x14ac:dyDescent="0.25">
      <c r="A28" t="s">
        <v>77</v>
      </c>
      <c r="B28" s="24">
        <f>SUMPRODUCT(I11:I13,J11:J13,K11:K13) + SUMPRODUCT(I11:I13,L11:L13,M11:M13)</f>
        <v>1.0894326745577412</v>
      </c>
      <c r="C28" t="s">
        <v>102</v>
      </c>
      <c r="D28" t="s">
        <v>84</v>
      </c>
      <c r="F28">
        <v>8.0835859945340621E-2</v>
      </c>
      <c r="M28" s="33">
        <v>7</v>
      </c>
      <c r="N28" s="33"/>
      <c r="O28" s="34">
        <v>5.8999999999999997E-2</v>
      </c>
      <c r="P28" s="33"/>
      <c r="Q28" s="33">
        <f>1/((1+Inputs!$B$5)*(1+Inputs!$B$15))^$M28</f>
        <v>0.60669446172014474</v>
      </c>
    </row>
    <row r="29" spans="1:20" x14ac:dyDescent="0.25">
      <c r="A29" s="28" t="s">
        <v>103</v>
      </c>
      <c r="B29" s="24">
        <f>B18*B28*B23</f>
        <v>8.0835859945340621E-2</v>
      </c>
      <c r="C29" t="s">
        <v>104</v>
      </c>
      <c r="D29" t="s">
        <v>84</v>
      </c>
      <c r="M29" s="33">
        <v>8</v>
      </c>
      <c r="N29" s="33"/>
      <c r="O29" s="34">
        <v>5.8999999999999997E-2</v>
      </c>
      <c r="P29" s="33"/>
      <c r="Q29" s="33">
        <f>1/((1+Inputs!$B$5)*(1+Inputs!$B$15))^$M29</f>
        <v>0.56489242245823512</v>
      </c>
    </row>
    <row r="30" spans="1:20" x14ac:dyDescent="0.25">
      <c r="A30" s="28" t="s">
        <v>106</v>
      </c>
      <c r="B30" s="24">
        <f>B20*B28*B23</f>
        <v>0.10288038518026518</v>
      </c>
      <c r="C30" t="s">
        <v>105</v>
      </c>
      <c r="D30" t="s">
        <v>84</v>
      </c>
      <c r="F30">
        <v>0.10288038518026518</v>
      </c>
      <c r="M30" s="33">
        <v>9</v>
      </c>
      <c r="N30" s="33"/>
      <c r="O30" s="34">
        <v>5.91E-2</v>
      </c>
      <c r="P30" s="33"/>
      <c r="Q30" s="33">
        <f>1/((1+Inputs!$B$5)*(1+Inputs!$B$15))^$M30</f>
        <v>0.5259705981920253</v>
      </c>
    </row>
    <row r="31" spans="1:20" x14ac:dyDescent="0.25">
      <c r="M31" s="33">
        <v>10</v>
      </c>
      <c r="N31" s="33"/>
      <c r="O31" s="34">
        <v>5.8999999999999997E-2</v>
      </c>
      <c r="P31" s="33"/>
      <c r="Q31" s="33">
        <f>1/((1+Inputs!$B$5)*(1+Inputs!$B$15))^$M31</f>
        <v>0.48973053835384101</v>
      </c>
    </row>
    <row r="32" spans="1:20" x14ac:dyDescent="0.25">
      <c r="A32" t="s">
        <v>5</v>
      </c>
      <c r="B32" s="26">
        <f>Inflation_Adjustment!Y20</f>
        <v>1039.3419734010781</v>
      </c>
      <c r="C32" t="s">
        <v>107</v>
      </c>
      <c r="D32" t="s">
        <v>272</v>
      </c>
      <c r="M32" s="33">
        <v>11</v>
      </c>
      <c r="N32" s="33"/>
      <c r="O32" s="34">
        <v>5.91E-2</v>
      </c>
      <c r="P32" s="33"/>
      <c r="Q32" s="33">
        <f>1/((1+Inputs!$B$5)*(1+Inputs!$B$15))^$M32</f>
        <v>0.45598746587880906</v>
      </c>
    </row>
    <row r="33" spans="1:17" x14ac:dyDescent="0.25">
      <c r="A33" s="1" t="s">
        <v>31</v>
      </c>
      <c r="B33" s="26">
        <f>Inflation_Adjustment!$N$20</f>
        <v>1091.0200101638295</v>
      </c>
      <c r="C33" t="s">
        <v>177</v>
      </c>
      <c r="D33" t="s">
        <v>272</v>
      </c>
      <c r="M33" s="33">
        <v>12</v>
      </c>
      <c r="N33" s="33"/>
      <c r="O33" s="34">
        <v>5.8999999999999997E-2</v>
      </c>
      <c r="P33" s="33"/>
      <c r="Q33" s="33">
        <f>1/((1+Inputs!$B$5)*(1+Inputs!$B$15))^$M33</f>
        <v>0.42456933508268996</v>
      </c>
    </row>
    <row r="34" spans="1:17" x14ac:dyDescent="0.25">
      <c r="A34" s="1" t="s">
        <v>39</v>
      </c>
      <c r="B34" s="26">
        <f>Inflation_Adjustment!$O$20</f>
        <v>321.86074015001122</v>
      </c>
      <c r="C34" t="s">
        <v>177</v>
      </c>
      <c r="D34" t="s">
        <v>272</v>
      </c>
      <c r="M34" s="33">
        <v>13</v>
      </c>
      <c r="N34" s="33"/>
      <c r="O34" s="34">
        <v>5.91E-2</v>
      </c>
      <c r="P34" s="33"/>
      <c r="Q34" s="33">
        <f>1/((1+Inputs!$B$5)*(1+Inputs!$B$15))^$M34</f>
        <v>0.39531595445315632</v>
      </c>
    </row>
    <row r="35" spans="1:17" x14ac:dyDescent="0.25">
      <c r="A35" s="1" t="s">
        <v>42</v>
      </c>
      <c r="B35" s="26">
        <f>Inflation_Adjustment!$U$20</f>
        <v>157.64091282504484</v>
      </c>
      <c r="C35" t="s">
        <v>177</v>
      </c>
      <c r="D35" t="s">
        <v>272</v>
      </c>
      <c r="M35" s="33">
        <v>14</v>
      </c>
      <c r="N35" s="33"/>
      <c r="O35" s="34">
        <v>5.8999999999999997E-2</v>
      </c>
      <c r="P35" s="33"/>
      <c r="Q35" s="33">
        <f>1/((1+Inputs!$B$5)*(1+Inputs!$B$15))^$M35</f>
        <v>0.36807816988189601</v>
      </c>
    </row>
    <row r="36" spans="1:17" x14ac:dyDescent="0.25">
      <c r="A36" s="1" t="s">
        <v>46</v>
      </c>
      <c r="B36" s="26">
        <f>Inflation_Adjustment!$X$20</f>
        <v>182.06586502039821</v>
      </c>
      <c r="C36" t="s">
        <v>177</v>
      </c>
      <c r="D36" t="s">
        <v>272</v>
      </c>
      <c r="M36" s="33">
        <v>15</v>
      </c>
      <c r="N36" s="33"/>
      <c r="O36" s="34">
        <v>5.91E-2</v>
      </c>
      <c r="P36" s="33"/>
      <c r="Q36" s="33">
        <f>1/((1+Inputs!$B$5)*(1+Inputs!$B$15))^$M36</f>
        <v>0.34271710417308754</v>
      </c>
    </row>
    <row r="37" spans="1:17" x14ac:dyDescent="0.25">
      <c r="M37" s="33">
        <v>16</v>
      </c>
      <c r="N37" s="33"/>
      <c r="O37" s="34">
        <v>2.9499999999999998E-2</v>
      </c>
      <c r="P37" s="33"/>
      <c r="Q37" s="33">
        <f>1/((1+Inputs!$B$5)*(1+Inputs!$B$15))^$M37</f>
        <v>0.31910344895073323</v>
      </c>
    </row>
    <row r="38" spans="1:17" x14ac:dyDescent="0.25">
      <c r="A38" t="s">
        <v>238</v>
      </c>
      <c r="B38" s="26">
        <f>Inflation_Adjustment!Z20</f>
        <v>61.427874085752073</v>
      </c>
      <c r="C38" t="s">
        <v>107</v>
      </c>
      <c r="D38" t="s">
        <v>258</v>
      </c>
      <c r="M38" s="33"/>
      <c r="N38" s="42"/>
      <c r="O38" s="42"/>
      <c r="P38" s="33"/>
      <c r="Q38" s="33"/>
    </row>
    <row r="39" spans="1:17" x14ac:dyDescent="0.25">
      <c r="A39" t="s">
        <v>248</v>
      </c>
      <c r="B39" s="26">
        <f>(Inflation_Adjustment!AA20+Inflation_Adjustment!AB20)/2</f>
        <v>26.501927079584977</v>
      </c>
      <c r="C39" t="s">
        <v>107</v>
      </c>
      <c r="D39" t="s">
        <v>258</v>
      </c>
      <c r="M39" s="33"/>
      <c r="N39" s="33"/>
      <c r="O39" s="33"/>
      <c r="P39" s="33"/>
      <c r="Q39" s="33"/>
    </row>
    <row r="40" spans="1:17" x14ac:dyDescent="0.25">
      <c r="A40" t="s">
        <v>254</v>
      </c>
      <c r="B40" s="24">
        <v>4.0800000000000003E-2</v>
      </c>
      <c r="C40" t="s">
        <v>246</v>
      </c>
      <c r="D40" t="s">
        <v>225</v>
      </c>
      <c r="M40" s="33"/>
      <c r="N40" s="33"/>
      <c r="O40" s="33"/>
      <c r="P40" s="33"/>
      <c r="Q40" s="33"/>
    </row>
    <row r="41" spans="1:17" x14ac:dyDescent="0.25">
      <c r="A41" t="s">
        <v>255</v>
      </c>
      <c r="B41" s="24">
        <v>1.35E-2</v>
      </c>
      <c r="C41" t="s">
        <v>256</v>
      </c>
      <c r="D41" t="s">
        <v>225</v>
      </c>
      <c r="M41" s="33" t="s">
        <v>124</v>
      </c>
      <c r="N41" s="33">
        <f>SUMPRODUCT(N22:N27,P22:P27)</f>
        <v>0.82335955450788456</v>
      </c>
      <c r="O41" s="33"/>
      <c r="P41" s="33"/>
      <c r="Q41" s="33"/>
    </row>
    <row r="42" spans="1:17" x14ac:dyDescent="0.25">
      <c r="A42" t="s">
        <v>249</v>
      </c>
      <c r="B42" s="24">
        <f>B40+B41</f>
        <v>5.4300000000000001E-2</v>
      </c>
      <c r="C42" t="s">
        <v>257</v>
      </c>
      <c r="M42" s="33" t="s">
        <v>62</v>
      </c>
      <c r="N42" s="33">
        <f>SUMPRODUCT(O22:O37,Q22:Q37)</f>
        <v>0.60074358920019699</v>
      </c>
      <c r="O42" s="33"/>
      <c r="P42" s="33"/>
      <c r="Q42" s="33"/>
    </row>
    <row r="43" spans="1:17" x14ac:dyDescent="0.25">
      <c r="A43" t="s">
        <v>247</v>
      </c>
      <c r="B43" s="24">
        <f>B39/B32</f>
        <v>2.5498755710655768E-2</v>
      </c>
      <c r="C43" t="s">
        <v>250</v>
      </c>
    </row>
    <row r="44" spans="1:17" x14ac:dyDescent="0.25">
      <c r="A44" t="s">
        <v>251</v>
      </c>
      <c r="B44" s="24">
        <f>Inflation_Adjustment!Z20/B32</f>
        <v>5.9102658853215861E-2</v>
      </c>
      <c r="C44" t="s">
        <v>250</v>
      </c>
    </row>
    <row r="46" spans="1:17" x14ac:dyDescent="0.25">
      <c r="A46" s="1" t="s">
        <v>239</v>
      </c>
      <c r="B46" s="24">
        <f>B42+B43</f>
        <v>7.9798755710655769E-2</v>
      </c>
      <c r="C46" t="s">
        <v>240</v>
      </c>
      <c r="D46" t="s">
        <v>252</v>
      </c>
    </row>
    <row r="47" spans="1:17" x14ac:dyDescent="0.25">
      <c r="A47" s="1" t="s">
        <v>242</v>
      </c>
      <c r="B47" s="24">
        <f>B42+B44</f>
        <v>0.11340265885321586</v>
      </c>
      <c r="C47" t="s">
        <v>240</v>
      </c>
      <c r="D47" t="s">
        <v>253</v>
      </c>
    </row>
    <row r="48" spans="1:17" x14ac:dyDescent="0.25">
      <c r="A48" s="1" t="s">
        <v>301</v>
      </c>
      <c r="B48" s="24">
        <f>B44+2*B42</f>
        <v>0.16770265885321586</v>
      </c>
      <c r="C48" t="s">
        <v>240</v>
      </c>
      <c r="D48" t="s">
        <v>259</v>
      </c>
    </row>
    <row r="49" spans="1:4" x14ac:dyDescent="0.25">
      <c r="A49" s="1" t="s">
        <v>302</v>
      </c>
      <c r="B49" s="24">
        <f>B43+2*B42</f>
        <v>0.13409875571065577</v>
      </c>
      <c r="C49" t="s">
        <v>240</v>
      </c>
      <c r="D49" t="s">
        <v>259</v>
      </c>
    </row>
    <row r="51" spans="1:4" x14ac:dyDescent="0.25">
      <c r="A51" t="s">
        <v>112</v>
      </c>
    </row>
    <row r="52" spans="1:4" x14ac:dyDescent="0.25">
      <c r="A52">
        <v>1</v>
      </c>
      <c r="B52" t="s">
        <v>113</v>
      </c>
    </row>
    <row r="53" spans="1:4" x14ac:dyDescent="0.25">
      <c r="A53">
        <v>2</v>
      </c>
      <c r="B53" t="s">
        <v>114</v>
      </c>
    </row>
    <row r="54" spans="1:4" x14ac:dyDescent="0.25">
      <c r="A54">
        <v>3</v>
      </c>
      <c r="B54" s="29" t="s">
        <v>115</v>
      </c>
    </row>
    <row r="55" spans="1:4" x14ac:dyDescent="0.25">
      <c r="A55">
        <v>4</v>
      </c>
      <c r="B55" t="s">
        <v>117</v>
      </c>
    </row>
    <row r="56" spans="1:4" x14ac:dyDescent="0.25">
      <c r="A56">
        <v>5</v>
      </c>
      <c r="B56" t="s">
        <v>121</v>
      </c>
    </row>
    <row r="57" spans="1:4" x14ac:dyDescent="0.25">
      <c r="A57">
        <v>6</v>
      </c>
      <c r="B57" t="s">
        <v>123</v>
      </c>
    </row>
    <row r="58" spans="1:4" x14ac:dyDescent="0.25">
      <c r="A58">
        <v>7</v>
      </c>
      <c r="B58" t="s">
        <v>159</v>
      </c>
    </row>
    <row r="59" spans="1:4" x14ac:dyDescent="0.25">
      <c r="A59">
        <v>8</v>
      </c>
      <c r="B59" t="s">
        <v>162</v>
      </c>
    </row>
    <row r="60" spans="1:4" x14ac:dyDescent="0.25">
      <c r="A60">
        <v>9</v>
      </c>
      <c r="B60" t="s">
        <v>165</v>
      </c>
    </row>
    <row r="61" spans="1:4" x14ac:dyDescent="0.25">
      <c r="A61">
        <v>10</v>
      </c>
      <c r="B61" t="s">
        <v>168</v>
      </c>
    </row>
    <row r="62" spans="1:4" x14ac:dyDescent="0.25">
      <c r="A62">
        <v>11</v>
      </c>
      <c r="B62" t="s">
        <v>184</v>
      </c>
    </row>
    <row r="63" spans="1:4" x14ac:dyDescent="0.25">
      <c r="A63">
        <v>12</v>
      </c>
      <c r="B63" t="s">
        <v>241</v>
      </c>
    </row>
    <row r="64" spans="1:4" x14ac:dyDescent="0.25">
      <c r="A64">
        <v>13</v>
      </c>
      <c r="B64" t="s">
        <v>243</v>
      </c>
    </row>
  </sheetData>
  <mergeCells count="1">
    <mergeCell ref="N20:O20"/>
  </mergeCells>
  <hyperlinks>
    <hyperlink ref="B54" r:id="rId1" xr:uid="{55FBDF35-0A13-46CD-9D78-5C4C502E521B}"/>
  </hyperlinks>
  <pageMargins left="0.7" right="0.7" top="0.75" bottom="0.75" header="0.3" footer="0.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0907-DE04-4262-B62C-E50AE6D5F90D}">
  <sheetPr>
    <tabColor rgb="FFFFC000"/>
  </sheetPr>
  <dimension ref="S1:T21"/>
  <sheetViews>
    <sheetView zoomScaleNormal="100" workbookViewId="0">
      <selection activeCell="T9" sqref="T9"/>
    </sheetView>
  </sheetViews>
  <sheetFormatPr defaultRowHeight="15" x14ac:dyDescent="0.25"/>
  <cols>
    <col min="19" max="19" width="36" customWidth="1"/>
    <col min="20" max="20" width="43.5703125" customWidth="1"/>
  </cols>
  <sheetData>
    <row r="1" spans="19:20" ht="15.75" thickBot="1" x14ac:dyDescent="0.3">
      <c r="S1" s="35" t="s">
        <v>126</v>
      </c>
      <c r="T1" s="35" t="s">
        <v>127</v>
      </c>
    </row>
    <row r="2" spans="19:20" ht="16.5" thickTop="1" thickBot="1" x14ac:dyDescent="0.3">
      <c r="S2" s="37" t="s">
        <v>80</v>
      </c>
      <c r="T2" s="37" t="s">
        <v>145</v>
      </c>
    </row>
    <row r="3" spans="19:20" ht="15.75" thickBot="1" x14ac:dyDescent="0.3">
      <c r="S3" s="36" t="s">
        <v>27</v>
      </c>
      <c r="T3" s="36" t="s">
        <v>146</v>
      </c>
    </row>
    <row r="4" spans="19:20" ht="15.75" thickBot="1" x14ac:dyDescent="0.3">
      <c r="S4" s="37" t="s">
        <v>58</v>
      </c>
      <c r="T4" s="37" t="s">
        <v>147</v>
      </c>
    </row>
    <row r="5" spans="19:20" ht="15.75" thickBot="1" x14ac:dyDescent="0.3">
      <c r="S5" s="36" t="s">
        <v>128</v>
      </c>
      <c r="T5" s="36" t="s">
        <v>148</v>
      </c>
    </row>
    <row r="6" spans="19:20" ht="15.75" thickBot="1" x14ac:dyDescent="0.3">
      <c r="S6" s="37" t="s">
        <v>74</v>
      </c>
      <c r="T6" s="37" t="s">
        <v>100</v>
      </c>
    </row>
    <row r="7" spans="19:20" ht="15.75" thickBot="1" x14ac:dyDescent="0.3">
      <c r="S7" s="36" t="s">
        <v>129</v>
      </c>
      <c r="T7" s="36" t="s">
        <v>149</v>
      </c>
    </row>
    <row r="8" spans="19:20" ht="25.15" customHeight="1" thickBot="1" x14ac:dyDescent="0.3">
      <c r="S8" s="38" t="s">
        <v>130</v>
      </c>
      <c r="T8" s="37" t="s">
        <v>151</v>
      </c>
    </row>
    <row r="9" spans="19:20" ht="15.75" thickBot="1" x14ac:dyDescent="0.3">
      <c r="S9" s="36" t="s">
        <v>131</v>
      </c>
      <c r="T9" s="39" t="s">
        <v>150</v>
      </c>
    </row>
    <row r="10" spans="19:20" ht="15.75" thickBot="1" x14ac:dyDescent="0.3">
      <c r="S10" s="37" t="s">
        <v>132</v>
      </c>
      <c r="T10" s="37" t="s">
        <v>133</v>
      </c>
    </row>
    <row r="11" spans="19:20" ht="15.75" thickBot="1" x14ac:dyDescent="0.3">
      <c r="S11" s="36" t="s">
        <v>85</v>
      </c>
      <c r="T11" s="36" t="s">
        <v>86</v>
      </c>
    </row>
    <row r="12" spans="19:20" ht="15.75" thickBot="1" x14ac:dyDescent="0.3">
      <c r="S12" s="37" t="s">
        <v>89</v>
      </c>
      <c r="T12" s="37" t="s">
        <v>53</v>
      </c>
    </row>
    <row r="13" spans="19:20" ht="25.5" customHeight="1" thickBot="1" x14ac:dyDescent="0.3">
      <c r="S13" s="40" t="s">
        <v>134</v>
      </c>
      <c r="T13" s="36" t="s">
        <v>135</v>
      </c>
    </row>
    <row r="14" spans="19:20" ht="23.25" customHeight="1" thickBot="1" x14ac:dyDescent="0.3">
      <c r="S14" s="41" t="s">
        <v>136</v>
      </c>
      <c r="T14" s="37" t="s">
        <v>137</v>
      </c>
    </row>
    <row r="15" spans="19:20" ht="29.25" customHeight="1" thickBot="1" x14ac:dyDescent="0.3">
      <c r="S15" s="40" t="s">
        <v>138</v>
      </c>
      <c r="T15" s="36" t="s">
        <v>139</v>
      </c>
    </row>
    <row r="16" spans="19:20" ht="15.75" thickBot="1" x14ac:dyDescent="0.3">
      <c r="S16" s="37" t="s">
        <v>91</v>
      </c>
      <c r="T16" s="37" t="s">
        <v>140</v>
      </c>
    </row>
    <row r="17" spans="19:20" ht="15.75" thickBot="1" x14ac:dyDescent="0.3">
      <c r="S17" s="36" t="s">
        <v>141</v>
      </c>
      <c r="T17" s="36" t="s">
        <v>95</v>
      </c>
    </row>
    <row r="18" spans="19:20" ht="15.75" thickBot="1" x14ac:dyDescent="0.3">
      <c r="S18" s="37" t="s">
        <v>67</v>
      </c>
      <c r="T18" s="37" t="s">
        <v>142</v>
      </c>
    </row>
    <row r="19" spans="19:20" ht="15.75" thickBot="1" x14ac:dyDescent="0.3">
      <c r="S19" s="36" t="s">
        <v>143</v>
      </c>
      <c r="T19" s="36" t="s">
        <v>144</v>
      </c>
    </row>
    <row r="20" spans="19:20" ht="15.75" thickBot="1" x14ac:dyDescent="0.3">
      <c r="S20" s="37" t="s">
        <v>77</v>
      </c>
      <c r="T20" s="37" t="s">
        <v>102</v>
      </c>
    </row>
    <row r="21" spans="19:20" ht="23.65" customHeight="1" thickBot="1" x14ac:dyDescent="0.3">
      <c r="S21" s="40" t="s">
        <v>138</v>
      </c>
      <c r="T21" s="36" t="s">
        <v>139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5A2B-F750-43D1-B7EC-DA353F98F144}">
  <sheetPr>
    <tabColor rgb="FF00B050"/>
  </sheetPr>
  <dimension ref="C1:BH79"/>
  <sheetViews>
    <sheetView topLeftCell="A33" workbookViewId="0">
      <selection activeCell="C70" sqref="C70"/>
    </sheetView>
  </sheetViews>
  <sheetFormatPr defaultRowHeight="15" x14ac:dyDescent="0.25"/>
  <cols>
    <col min="3" max="3" width="31.140625" bestFit="1" customWidth="1"/>
    <col min="4" max="4" width="18.28515625" customWidth="1"/>
    <col min="5" max="5" width="17.140625" bestFit="1" customWidth="1"/>
    <col min="6" max="6" width="11.85546875" bestFit="1" customWidth="1"/>
    <col min="7" max="7" width="10.85546875" bestFit="1" customWidth="1"/>
    <col min="8" max="8" width="4.28515625" customWidth="1"/>
    <col min="9" max="9" width="2.42578125" customWidth="1"/>
    <col min="10" max="21" width="8.7109375" hidden="1" customWidth="1"/>
    <col min="22" max="22" width="3.42578125" hidden="1" customWidth="1"/>
    <col min="23" max="56" width="8.7109375" hidden="1" customWidth="1"/>
    <col min="57" max="57" width="2.140625" customWidth="1"/>
    <col min="58" max="58" width="15" bestFit="1" customWidth="1"/>
    <col min="59" max="59" width="10.85546875" bestFit="1" customWidth="1"/>
    <col min="60" max="60" width="14.42578125" bestFit="1" customWidth="1"/>
  </cols>
  <sheetData>
    <row r="1" spans="3:57" ht="15.75" x14ac:dyDescent="0.25">
      <c r="C1" s="98" t="s">
        <v>23</v>
      </c>
      <c r="D1" s="99"/>
      <c r="E1" s="10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3:57" x14ac:dyDescent="0.25">
      <c r="C2" s="59"/>
      <c r="D2" s="4" t="s">
        <v>7</v>
      </c>
      <c r="E2" s="6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3:57" ht="15.75" x14ac:dyDescent="0.3">
      <c r="C3" s="64" t="s">
        <v>23</v>
      </c>
      <c r="D3" s="7" t="s">
        <v>9</v>
      </c>
      <c r="E3" s="65">
        <f>Inputs!$B$32*(1+Inputs!$B$29)</f>
        <v>1123.3580755982416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3:57" ht="15.75" x14ac:dyDescent="0.3">
      <c r="C4" s="64" t="s">
        <v>10</v>
      </c>
      <c r="D4" s="7" t="s">
        <v>11</v>
      </c>
      <c r="E4" s="66">
        <v>38000000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3:57" x14ac:dyDescent="0.25">
      <c r="C5" s="64" t="s">
        <v>24</v>
      </c>
      <c r="D5" s="7" t="s">
        <v>25</v>
      </c>
      <c r="E5" s="66">
        <f>Inputs!B7</f>
        <v>1000</v>
      </c>
      <c r="F5" s="1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3:57" x14ac:dyDescent="0.25">
      <c r="C6" s="64" t="s">
        <v>170</v>
      </c>
      <c r="D6" s="7" t="s">
        <v>6</v>
      </c>
      <c r="E6" s="67">
        <f>Inputs!$B$5</f>
        <v>5.8128078817734075E-2</v>
      </c>
      <c r="F6" s="1"/>
      <c r="G6" s="1"/>
      <c r="H6" s="1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3:57" ht="15.75" x14ac:dyDescent="0.3">
      <c r="C7" s="64" t="s">
        <v>27</v>
      </c>
      <c r="D7" s="7" t="s">
        <v>9</v>
      </c>
      <c r="E7" s="65">
        <f>Inputs!B8</f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3:57" x14ac:dyDescent="0.25">
      <c r="C8" s="64" t="s">
        <v>28</v>
      </c>
      <c r="D8" s="7" t="s">
        <v>6</v>
      </c>
      <c r="E8" s="67">
        <f>Inputs!$B$46</f>
        <v>7.9798755710655769E-2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3:57" x14ac:dyDescent="0.25">
      <c r="C9" s="64" t="s">
        <v>58</v>
      </c>
      <c r="D9" s="7" t="s">
        <v>34</v>
      </c>
      <c r="E9" s="65">
        <f>Inputs!B9</f>
        <v>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3:57" ht="15.75" thickBot="1" x14ac:dyDescent="0.3">
      <c r="C10" s="61" t="s">
        <v>29</v>
      </c>
      <c r="D10" s="62" t="s">
        <v>30</v>
      </c>
      <c r="E10" s="68">
        <f>Inputs!B19</f>
        <v>35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3:57" ht="15.75" thickBot="1" x14ac:dyDescent="0.3">
      <c r="C11" s="11"/>
      <c r="D11" s="11"/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3:57" x14ac:dyDescent="0.25">
      <c r="C12" s="47" t="s">
        <v>12</v>
      </c>
      <c r="D12" s="48">
        <v>0</v>
      </c>
      <c r="E12" s="48">
        <v>1</v>
      </c>
      <c r="F12" s="48">
        <v>2</v>
      </c>
      <c r="G12" s="48">
        <v>3</v>
      </c>
      <c r="H12" s="48">
        <v>4</v>
      </c>
      <c r="I12" s="48">
        <v>5</v>
      </c>
      <c r="J12" s="48">
        <v>6</v>
      </c>
      <c r="K12" s="48">
        <v>7</v>
      </c>
      <c r="L12" s="48">
        <v>8</v>
      </c>
      <c r="M12" s="48">
        <v>9</v>
      </c>
      <c r="N12" s="48">
        <v>10</v>
      </c>
      <c r="O12" s="48">
        <v>11</v>
      </c>
      <c r="P12" s="48">
        <v>12</v>
      </c>
      <c r="Q12" s="48">
        <v>13</v>
      </c>
      <c r="R12" s="48">
        <v>14</v>
      </c>
      <c r="S12" s="48">
        <v>15</v>
      </c>
      <c r="T12" s="48">
        <v>16</v>
      </c>
      <c r="U12" s="48">
        <v>17</v>
      </c>
      <c r="V12" s="48">
        <v>18</v>
      </c>
      <c r="W12" s="48">
        <v>19</v>
      </c>
      <c r="X12" s="48">
        <v>20</v>
      </c>
      <c r="Y12" s="48">
        <v>21</v>
      </c>
      <c r="Z12" s="48">
        <v>22</v>
      </c>
      <c r="AA12" s="48">
        <v>23</v>
      </c>
      <c r="AB12" s="48">
        <v>24</v>
      </c>
      <c r="AC12" s="48">
        <v>25</v>
      </c>
      <c r="AD12" s="48">
        <v>26</v>
      </c>
      <c r="AE12" s="48">
        <v>27</v>
      </c>
      <c r="AF12" s="48">
        <v>28</v>
      </c>
      <c r="AG12" s="48">
        <v>29</v>
      </c>
      <c r="AH12" s="48">
        <v>30</v>
      </c>
      <c r="AI12" s="48">
        <v>31</v>
      </c>
      <c r="AJ12" s="48">
        <v>32</v>
      </c>
      <c r="AK12" s="48">
        <v>33</v>
      </c>
      <c r="AL12" s="48">
        <v>34</v>
      </c>
      <c r="AM12" s="48">
        <v>35</v>
      </c>
      <c r="AN12" s="48">
        <v>36</v>
      </c>
      <c r="AO12" s="48">
        <v>37</v>
      </c>
      <c r="AP12" s="48">
        <v>38</v>
      </c>
      <c r="AQ12" s="48">
        <v>39</v>
      </c>
      <c r="AR12" s="48">
        <v>40</v>
      </c>
      <c r="AS12" s="48">
        <v>41</v>
      </c>
      <c r="AT12" s="48">
        <v>42</v>
      </c>
      <c r="AU12" s="48">
        <v>43</v>
      </c>
      <c r="AV12" s="48">
        <v>44</v>
      </c>
      <c r="AW12" s="48">
        <v>45</v>
      </c>
      <c r="AX12" s="48">
        <v>46</v>
      </c>
      <c r="AY12" s="48">
        <v>47</v>
      </c>
      <c r="AZ12" s="48">
        <v>48</v>
      </c>
      <c r="BA12" s="48">
        <v>49</v>
      </c>
      <c r="BB12" s="48">
        <v>50</v>
      </c>
      <c r="BC12" s="48">
        <v>51</v>
      </c>
      <c r="BD12" s="48">
        <v>52</v>
      </c>
      <c r="BE12" s="49">
        <v>53</v>
      </c>
    </row>
    <row r="13" spans="3:57" x14ac:dyDescent="0.25">
      <c r="C13" s="50" t="s">
        <v>13</v>
      </c>
      <c r="D13" s="14"/>
      <c r="E13" s="19">
        <f>$E$4*$E$5</f>
        <v>38000000000</v>
      </c>
      <c r="F13" s="19">
        <f t="shared" ref="F13:BE13" si="0">$E$4*$E$5</f>
        <v>38000000000</v>
      </c>
      <c r="G13" s="19">
        <f t="shared" si="0"/>
        <v>38000000000</v>
      </c>
      <c r="H13" s="19">
        <f t="shared" si="0"/>
        <v>38000000000</v>
      </c>
      <c r="I13" s="19">
        <f t="shared" si="0"/>
        <v>38000000000</v>
      </c>
      <c r="J13" s="19">
        <f t="shared" si="0"/>
        <v>38000000000</v>
      </c>
      <c r="K13" s="19">
        <f t="shared" si="0"/>
        <v>38000000000</v>
      </c>
      <c r="L13" s="19">
        <f t="shared" si="0"/>
        <v>38000000000</v>
      </c>
      <c r="M13" s="19">
        <f t="shared" si="0"/>
        <v>38000000000</v>
      </c>
      <c r="N13" s="19">
        <f t="shared" si="0"/>
        <v>38000000000</v>
      </c>
      <c r="O13" s="19">
        <f t="shared" si="0"/>
        <v>38000000000</v>
      </c>
      <c r="P13" s="19">
        <f t="shared" si="0"/>
        <v>38000000000</v>
      </c>
      <c r="Q13" s="19">
        <f t="shared" si="0"/>
        <v>38000000000</v>
      </c>
      <c r="R13" s="19">
        <f t="shared" si="0"/>
        <v>38000000000</v>
      </c>
      <c r="S13" s="19">
        <f t="shared" si="0"/>
        <v>38000000000</v>
      </c>
      <c r="T13" s="19">
        <f t="shared" si="0"/>
        <v>38000000000</v>
      </c>
      <c r="U13" s="19">
        <f t="shared" si="0"/>
        <v>38000000000</v>
      </c>
      <c r="V13" s="19">
        <f t="shared" si="0"/>
        <v>38000000000</v>
      </c>
      <c r="W13" s="19">
        <f t="shared" si="0"/>
        <v>38000000000</v>
      </c>
      <c r="X13" s="19">
        <f t="shared" si="0"/>
        <v>38000000000</v>
      </c>
      <c r="Y13" s="19">
        <f t="shared" si="0"/>
        <v>38000000000</v>
      </c>
      <c r="Z13" s="19">
        <f t="shared" si="0"/>
        <v>38000000000</v>
      </c>
      <c r="AA13" s="19">
        <f t="shared" si="0"/>
        <v>38000000000</v>
      </c>
      <c r="AB13" s="19">
        <f t="shared" si="0"/>
        <v>38000000000</v>
      </c>
      <c r="AC13" s="19">
        <f t="shared" si="0"/>
        <v>38000000000</v>
      </c>
      <c r="AD13" s="19">
        <f t="shared" si="0"/>
        <v>38000000000</v>
      </c>
      <c r="AE13" s="19">
        <f t="shared" si="0"/>
        <v>38000000000</v>
      </c>
      <c r="AF13" s="19">
        <f t="shared" si="0"/>
        <v>38000000000</v>
      </c>
      <c r="AG13" s="19">
        <f t="shared" si="0"/>
        <v>38000000000</v>
      </c>
      <c r="AH13" s="19">
        <f t="shared" si="0"/>
        <v>38000000000</v>
      </c>
      <c r="AI13" s="19">
        <f t="shared" si="0"/>
        <v>38000000000</v>
      </c>
      <c r="AJ13" s="19">
        <f t="shared" si="0"/>
        <v>38000000000</v>
      </c>
      <c r="AK13" s="19">
        <f t="shared" si="0"/>
        <v>38000000000</v>
      </c>
      <c r="AL13" s="19">
        <f t="shared" si="0"/>
        <v>38000000000</v>
      </c>
      <c r="AM13" s="19">
        <f t="shared" si="0"/>
        <v>38000000000</v>
      </c>
      <c r="AN13" s="19">
        <f t="shared" si="0"/>
        <v>38000000000</v>
      </c>
      <c r="AO13" s="19">
        <f t="shared" si="0"/>
        <v>38000000000</v>
      </c>
      <c r="AP13" s="19">
        <f t="shared" si="0"/>
        <v>38000000000</v>
      </c>
      <c r="AQ13" s="19">
        <f t="shared" si="0"/>
        <v>38000000000</v>
      </c>
      <c r="AR13" s="19">
        <f t="shared" si="0"/>
        <v>38000000000</v>
      </c>
      <c r="AS13" s="19">
        <f t="shared" si="0"/>
        <v>38000000000</v>
      </c>
      <c r="AT13" s="19">
        <f t="shared" si="0"/>
        <v>38000000000</v>
      </c>
      <c r="AU13" s="19">
        <f t="shared" si="0"/>
        <v>38000000000</v>
      </c>
      <c r="AV13" s="19">
        <f t="shared" si="0"/>
        <v>38000000000</v>
      </c>
      <c r="AW13" s="19">
        <f t="shared" si="0"/>
        <v>38000000000</v>
      </c>
      <c r="AX13" s="19">
        <f t="shared" si="0"/>
        <v>38000000000</v>
      </c>
      <c r="AY13" s="19">
        <f t="shared" si="0"/>
        <v>38000000000</v>
      </c>
      <c r="AZ13" s="19">
        <f t="shared" si="0"/>
        <v>38000000000</v>
      </c>
      <c r="BA13" s="19">
        <f t="shared" si="0"/>
        <v>38000000000</v>
      </c>
      <c r="BB13" s="19">
        <f t="shared" si="0"/>
        <v>38000000000</v>
      </c>
      <c r="BC13" s="19">
        <f t="shared" si="0"/>
        <v>38000000000</v>
      </c>
      <c r="BD13" s="19">
        <f t="shared" si="0"/>
        <v>38000000000</v>
      </c>
      <c r="BE13" s="51">
        <f t="shared" si="0"/>
        <v>38000000000</v>
      </c>
    </row>
    <row r="14" spans="3:57" x14ac:dyDescent="0.25">
      <c r="C14" s="50" t="s">
        <v>14</v>
      </c>
      <c r="D14" s="15"/>
      <c r="E14" s="19">
        <f>E13/(1+$E$6)^E12</f>
        <v>35912476722.532585</v>
      </c>
      <c r="F14" s="19">
        <f t="shared" ref="F14:BE14" si="1">F13/(1+$E$6)^F12</f>
        <v>33939631167.011703</v>
      </c>
      <c r="G14" s="19">
        <f t="shared" si="1"/>
        <v>32075163533.069717</v>
      </c>
      <c r="H14" s="19">
        <f t="shared" si="1"/>
        <v>30313120098.75769</v>
      </c>
      <c r="I14" s="19">
        <f t="shared" si="1"/>
        <v>28647874208.788689</v>
      </c>
      <c r="J14" s="19">
        <f t="shared" si="1"/>
        <v>27074108307.18856</v>
      </c>
      <c r="K14" s="19">
        <f t="shared" si="1"/>
        <v>25586796956.979877</v>
      </c>
      <c r="L14" s="19">
        <f t="shared" si="1"/>
        <v>24181190792.67651</v>
      </c>
      <c r="M14" s="19">
        <f t="shared" si="1"/>
        <v>22852801354.345119</v>
      </c>
      <c r="N14" s="19">
        <f t="shared" si="1"/>
        <v>21597386754.804741</v>
      </c>
      <c r="O14" s="19">
        <f t="shared" si="1"/>
        <v>20410938134.196285</v>
      </c>
      <c r="P14" s="19">
        <f t="shared" si="1"/>
        <v>19289666858.667809</v>
      </c>
      <c r="Q14" s="19">
        <f t="shared" si="1"/>
        <v>18229992422.297787</v>
      </c>
      <c r="R14" s="19">
        <f t="shared" si="1"/>
        <v>17228531013.624069</v>
      </c>
      <c r="S14" s="19">
        <f t="shared" si="1"/>
        <v>16282084710.268559</v>
      </c>
      <c r="T14" s="19">
        <f t="shared" si="1"/>
        <v>15387631267.153242</v>
      </c>
      <c r="U14" s="19">
        <f t="shared" si="1"/>
        <v>14542314465.698826</v>
      </c>
      <c r="V14" s="19">
        <f t="shared" si="1"/>
        <v>13743434993.188368</v>
      </c>
      <c r="W14" s="19">
        <f t="shared" si="1"/>
        <v>12988441823.171501</v>
      </c>
      <c r="X14" s="19">
        <f t="shared" si="1"/>
        <v>12274924069.384611</v>
      </c>
      <c r="Y14" s="19">
        <f t="shared" si="1"/>
        <v>11600603287.174469</v>
      </c>
      <c r="Z14" s="19">
        <f t="shared" si="1"/>
        <v>10963326197.841789</v>
      </c>
      <c r="AA14" s="19">
        <f t="shared" si="1"/>
        <v>10361057812.671711</v>
      </c>
      <c r="AB14" s="19">
        <f t="shared" si="1"/>
        <v>9791874934.6944008</v>
      </c>
      <c r="AC14" s="19">
        <f t="shared" si="1"/>
        <v>9253960017.4253407</v>
      </c>
      <c r="AD14" s="19">
        <f t="shared" si="1"/>
        <v>8745595360.9745979</v>
      </c>
      <c r="AE14" s="19">
        <f t="shared" si="1"/>
        <v>8265157626.9918213</v>
      </c>
      <c r="AF14" s="19">
        <f t="shared" si="1"/>
        <v>7811112654.9317484</v>
      </c>
      <c r="AG14" s="19">
        <f t="shared" si="1"/>
        <v>7382010563.087266</v>
      </c>
      <c r="AH14" s="19">
        <f t="shared" si="1"/>
        <v>6976481118.7463446</v>
      </c>
      <c r="AI14" s="19">
        <f t="shared" si="1"/>
        <v>6593229362.6885853</v>
      </c>
      <c r="AJ14" s="19">
        <f t="shared" si="1"/>
        <v>6231031474.0492668</v>
      </c>
      <c r="AK14" s="19">
        <f t="shared" si="1"/>
        <v>5888730862.3463736</v>
      </c>
      <c r="AL14" s="19">
        <f t="shared" si="1"/>
        <v>5565234474.1914034</v>
      </c>
      <c r="AM14" s="19">
        <f t="shared" si="1"/>
        <v>5259509302.8903866</v>
      </c>
      <c r="AN14" s="19">
        <f t="shared" si="1"/>
        <v>4970579089.7893305</v>
      </c>
      <c r="AO14" s="19">
        <f t="shared" si="1"/>
        <v>4697521206.830699</v>
      </c>
      <c r="AP14" s="19">
        <f t="shared" si="1"/>
        <v>4439463710.3660688</v>
      </c>
      <c r="AQ14" s="19">
        <f t="shared" si="1"/>
        <v>4195582556.8170953</v>
      </c>
      <c r="AR14" s="19">
        <f t="shared" si="1"/>
        <v>3965098971.293623</v>
      </c>
      <c r="AS14" s="19">
        <f t="shared" si="1"/>
        <v>3747276960.7663193</v>
      </c>
      <c r="AT14" s="19">
        <f t="shared" si="1"/>
        <v>3541420963.8527126</v>
      </c>
      <c r="AU14" s="19">
        <f t="shared" si="1"/>
        <v>3346873629.7118278</v>
      </c>
      <c r="AV14" s="19">
        <f t="shared" si="1"/>
        <v>3163013718.9548464</v>
      </c>
      <c r="AW14" s="19">
        <f t="shared" si="1"/>
        <v>2989254119.8688722</v>
      </c>
      <c r="AX14" s="19">
        <f t="shared" si="1"/>
        <v>2825039973.6190915</v>
      </c>
      <c r="AY14" s="19">
        <f t="shared" si="1"/>
        <v>2669846902.4426241</v>
      </c>
      <c r="AZ14" s="19">
        <f t="shared" si="1"/>
        <v>2523179335.1762223</v>
      </c>
      <c r="BA14" s="19">
        <f t="shared" si="1"/>
        <v>2384568924.7708244</v>
      </c>
      <c r="BB14" s="19">
        <f t="shared" si="1"/>
        <v>2253573052.7396526</v>
      </c>
      <c r="BC14" s="19">
        <f t="shared" si="1"/>
        <v>2129773415.7641966</v>
      </c>
      <c r="BD14" s="19">
        <f t="shared" si="1"/>
        <v>2012774689.9447477</v>
      </c>
      <c r="BE14" s="51">
        <f t="shared" si="1"/>
        <v>1902203268.4300919</v>
      </c>
    </row>
    <row r="15" spans="3:57" ht="15.75" thickBot="1" x14ac:dyDescent="0.3">
      <c r="C15" s="52" t="s">
        <v>15</v>
      </c>
      <c r="D15" s="53">
        <f ca="1">SUM($D$14:OFFSET($D$14, 0, $E$10))</f>
        <v>563247424704.51172</v>
      </c>
      <c r="E15" s="54" t="s">
        <v>16</v>
      </c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7"/>
    </row>
    <row r="16" spans="3:57" ht="15.75" thickBot="1" x14ac:dyDescent="0.3">
      <c r="C16" s="11"/>
      <c r="D16" s="12"/>
      <c r="E16" s="1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3:58" x14ac:dyDescent="0.25">
      <c r="C17" s="47" t="s">
        <v>12</v>
      </c>
      <c r="D17" s="48">
        <v>0</v>
      </c>
      <c r="E17" s="48">
        <v>1</v>
      </c>
      <c r="F17" s="48">
        <v>2</v>
      </c>
      <c r="G17" s="48">
        <v>3</v>
      </c>
      <c r="H17" s="48">
        <v>4</v>
      </c>
      <c r="I17" s="48">
        <v>5</v>
      </c>
      <c r="J17" s="48">
        <v>6</v>
      </c>
      <c r="K17" s="48">
        <v>7</v>
      </c>
      <c r="L17" s="48">
        <v>8</v>
      </c>
      <c r="M17" s="48">
        <v>9</v>
      </c>
      <c r="N17" s="48">
        <v>10</v>
      </c>
      <c r="O17" s="48">
        <v>11</v>
      </c>
      <c r="P17" s="48">
        <v>12</v>
      </c>
      <c r="Q17" s="48">
        <v>13</v>
      </c>
      <c r="R17" s="48">
        <v>14</v>
      </c>
      <c r="S17" s="48">
        <v>15</v>
      </c>
      <c r="T17" s="48">
        <v>16</v>
      </c>
      <c r="U17" s="48">
        <v>17</v>
      </c>
      <c r="V17" s="48">
        <v>18</v>
      </c>
      <c r="W17" s="48">
        <v>19</v>
      </c>
      <c r="X17" s="48">
        <v>20</v>
      </c>
      <c r="Y17" s="48">
        <v>21</v>
      </c>
      <c r="Z17" s="48">
        <v>22</v>
      </c>
      <c r="AA17" s="48">
        <v>23</v>
      </c>
      <c r="AB17" s="48">
        <v>24</v>
      </c>
      <c r="AC17" s="48">
        <v>25</v>
      </c>
      <c r="AD17" s="48">
        <v>26</v>
      </c>
      <c r="AE17" s="48">
        <v>27</v>
      </c>
      <c r="AF17" s="48">
        <v>28</v>
      </c>
      <c r="AG17" s="48">
        <v>29</v>
      </c>
      <c r="AH17" s="48">
        <v>30</v>
      </c>
      <c r="AI17" s="48">
        <v>31</v>
      </c>
      <c r="AJ17" s="48">
        <v>32</v>
      </c>
      <c r="AK17" s="48">
        <v>33</v>
      </c>
      <c r="AL17" s="48">
        <v>34</v>
      </c>
      <c r="AM17" s="48">
        <v>35</v>
      </c>
      <c r="AN17" s="48">
        <v>36</v>
      </c>
      <c r="AO17" s="48">
        <v>37</v>
      </c>
      <c r="AP17" s="48">
        <v>38</v>
      </c>
      <c r="AQ17" s="48">
        <v>39</v>
      </c>
      <c r="AR17" s="48">
        <v>40</v>
      </c>
      <c r="AS17" s="48">
        <v>41</v>
      </c>
      <c r="AT17" s="48">
        <v>42</v>
      </c>
      <c r="AU17" s="48">
        <v>43</v>
      </c>
      <c r="AV17" s="48">
        <v>44</v>
      </c>
      <c r="AW17" s="48">
        <v>45</v>
      </c>
      <c r="AX17" s="48">
        <v>46</v>
      </c>
      <c r="AY17" s="48">
        <v>47</v>
      </c>
      <c r="AZ17" s="48">
        <v>48</v>
      </c>
      <c r="BA17" s="48">
        <v>49</v>
      </c>
      <c r="BB17" s="48">
        <v>50</v>
      </c>
      <c r="BC17" s="48">
        <v>51</v>
      </c>
      <c r="BD17" s="48">
        <v>52</v>
      </c>
      <c r="BE17" s="49">
        <v>53</v>
      </c>
    </row>
    <row r="18" spans="3:58" x14ac:dyDescent="0.25">
      <c r="C18" s="50" t="s">
        <v>17</v>
      </c>
      <c r="D18" s="15">
        <f>$E$3*$E$4*(1+E8)</f>
        <v>46094024785.442932</v>
      </c>
      <c r="E18" s="15">
        <f>$E$7*$E$4 + E$13 * $E$9/1000</f>
        <v>646000000</v>
      </c>
      <c r="F18" s="15">
        <f t="shared" ref="F18:BE18" si="2">$E$7*$E$4 + F$13 * $E$9/1000</f>
        <v>646000000</v>
      </c>
      <c r="G18" s="15">
        <f t="shared" si="2"/>
        <v>646000000</v>
      </c>
      <c r="H18" s="15">
        <f t="shared" si="2"/>
        <v>646000000</v>
      </c>
      <c r="I18" s="15">
        <f t="shared" si="2"/>
        <v>646000000</v>
      </c>
      <c r="J18" s="15">
        <f t="shared" si="2"/>
        <v>646000000</v>
      </c>
      <c r="K18" s="15">
        <f t="shared" si="2"/>
        <v>646000000</v>
      </c>
      <c r="L18" s="15">
        <f t="shared" si="2"/>
        <v>646000000</v>
      </c>
      <c r="M18" s="15">
        <f t="shared" si="2"/>
        <v>646000000</v>
      </c>
      <c r="N18" s="15">
        <f t="shared" si="2"/>
        <v>646000000</v>
      </c>
      <c r="O18" s="15">
        <f t="shared" si="2"/>
        <v>646000000</v>
      </c>
      <c r="P18" s="15">
        <f t="shared" si="2"/>
        <v>646000000</v>
      </c>
      <c r="Q18" s="15">
        <f t="shared" si="2"/>
        <v>646000000</v>
      </c>
      <c r="R18" s="15">
        <f t="shared" si="2"/>
        <v>646000000</v>
      </c>
      <c r="S18" s="15">
        <f t="shared" si="2"/>
        <v>646000000</v>
      </c>
      <c r="T18" s="15">
        <f t="shared" si="2"/>
        <v>646000000</v>
      </c>
      <c r="U18" s="15">
        <f t="shared" si="2"/>
        <v>646000000</v>
      </c>
      <c r="V18" s="15">
        <f t="shared" si="2"/>
        <v>646000000</v>
      </c>
      <c r="W18" s="15">
        <f t="shared" si="2"/>
        <v>646000000</v>
      </c>
      <c r="X18" s="15">
        <f t="shared" si="2"/>
        <v>646000000</v>
      </c>
      <c r="Y18" s="15">
        <f t="shared" si="2"/>
        <v>646000000</v>
      </c>
      <c r="Z18" s="15">
        <f t="shared" si="2"/>
        <v>646000000</v>
      </c>
      <c r="AA18" s="15">
        <f t="shared" si="2"/>
        <v>646000000</v>
      </c>
      <c r="AB18" s="15">
        <f t="shared" si="2"/>
        <v>646000000</v>
      </c>
      <c r="AC18" s="15">
        <f t="shared" si="2"/>
        <v>646000000</v>
      </c>
      <c r="AD18" s="15">
        <f t="shared" si="2"/>
        <v>646000000</v>
      </c>
      <c r="AE18" s="15">
        <f t="shared" si="2"/>
        <v>646000000</v>
      </c>
      <c r="AF18" s="15">
        <f t="shared" si="2"/>
        <v>646000000</v>
      </c>
      <c r="AG18" s="15">
        <f t="shared" si="2"/>
        <v>646000000</v>
      </c>
      <c r="AH18" s="15">
        <f t="shared" si="2"/>
        <v>646000000</v>
      </c>
      <c r="AI18" s="15">
        <f t="shared" si="2"/>
        <v>646000000</v>
      </c>
      <c r="AJ18" s="15">
        <f t="shared" si="2"/>
        <v>646000000</v>
      </c>
      <c r="AK18" s="15">
        <f t="shared" si="2"/>
        <v>646000000</v>
      </c>
      <c r="AL18" s="15">
        <f t="shared" si="2"/>
        <v>646000000</v>
      </c>
      <c r="AM18" s="15">
        <f t="shared" si="2"/>
        <v>646000000</v>
      </c>
      <c r="AN18" s="15">
        <f t="shared" si="2"/>
        <v>646000000</v>
      </c>
      <c r="AO18" s="15">
        <f t="shared" si="2"/>
        <v>646000000</v>
      </c>
      <c r="AP18" s="15">
        <f t="shared" si="2"/>
        <v>646000000</v>
      </c>
      <c r="AQ18" s="15">
        <f t="shared" si="2"/>
        <v>646000000</v>
      </c>
      <c r="AR18" s="15">
        <f t="shared" si="2"/>
        <v>646000000</v>
      </c>
      <c r="AS18" s="15">
        <f t="shared" si="2"/>
        <v>646000000</v>
      </c>
      <c r="AT18" s="15">
        <f t="shared" si="2"/>
        <v>646000000</v>
      </c>
      <c r="AU18" s="15">
        <f t="shared" si="2"/>
        <v>646000000</v>
      </c>
      <c r="AV18" s="15">
        <f t="shared" si="2"/>
        <v>646000000</v>
      </c>
      <c r="AW18" s="15">
        <f t="shared" si="2"/>
        <v>646000000</v>
      </c>
      <c r="AX18" s="15">
        <f t="shared" si="2"/>
        <v>646000000</v>
      </c>
      <c r="AY18" s="15">
        <f t="shared" si="2"/>
        <v>646000000</v>
      </c>
      <c r="AZ18" s="15">
        <f t="shared" si="2"/>
        <v>646000000</v>
      </c>
      <c r="BA18" s="15">
        <f t="shared" si="2"/>
        <v>646000000</v>
      </c>
      <c r="BB18" s="15">
        <f t="shared" si="2"/>
        <v>646000000</v>
      </c>
      <c r="BC18" s="15">
        <f t="shared" si="2"/>
        <v>646000000</v>
      </c>
      <c r="BD18" s="15">
        <f t="shared" si="2"/>
        <v>646000000</v>
      </c>
      <c r="BE18" s="58">
        <f t="shared" si="2"/>
        <v>646000000</v>
      </c>
    </row>
    <row r="19" spans="3:58" x14ac:dyDescent="0.25">
      <c r="C19" s="50" t="s">
        <v>18</v>
      </c>
      <c r="D19" s="15">
        <f>D18/(1+$E$6)^D17</f>
        <v>46094024785.442932</v>
      </c>
      <c r="E19" s="15">
        <f>E18/(1+$E$6)^E17</f>
        <v>610512104.28305399</v>
      </c>
      <c r="F19" s="15">
        <f t="shared" ref="F19:BE19" si="3">F18/(1+$E$6)^F17</f>
        <v>576973729.83919895</v>
      </c>
      <c r="G19" s="15">
        <f t="shared" si="3"/>
        <v>545277780.06218517</v>
      </c>
      <c r="H19" s="15">
        <f t="shared" si="3"/>
        <v>515323041.67888069</v>
      </c>
      <c r="I19" s="15">
        <f t="shared" si="3"/>
        <v>487013861.54940772</v>
      </c>
      <c r="J19" s="15">
        <f t="shared" si="3"/>
        <v>460259841.22220552</v>
      </c>
      <c r="K19" s="15">
        <f t="shared" si="3"/>
        <v>434975548.26865792</v>
      </c>
      <c r="L19" s="15">
        <f t="shared" si="3"/>
        <v>411080243.4755007</v>
      </c>
      <c r="M19" s="15">
        <f t="shared" si="3"/>
        <v>388497623.02386701</v>
      </c>
      <c r="N19" s="15">
        <f t="shared" si="3"/>
        <v>367155574.8316806</v>
      </c>
      <c r="O19" s="15">
        <f t="shared" si="3"/>
        <v>346985948.28133684</v>
      </c>
      <c r="P19" s="15">
        <f t="shared" si="3"/>
        <v>327924336.59735274</v>
      </c>
      <c r="Q19" s="15">
        <f t="shared" si="3"/>
        <v>309909871.17906237</v>
      </c>
      <c r="R19" s="15">
        <f t="shared" si="3"/>
        <v>292885027.23160917</v>
      </c>
      <c r="S19" s="15">
        <f t="shared" si="3"/>
        <v>276795440.07456547</v>
      </c>
      <c r="T19" s="15">
        <f t="shared" si="3"/>
        <v>261589731.54160511</v>
      </c>
      <c r="U19" s="15">
        <f t="shared" si="3"/>
        <v>247219345.91688004</v>
      </c>
      <c r="V19" s="15">
        <f t="shared" si="3"/>
        <v>233638394.88420227</v>
      </c>
      <c r="W19" s="15">
        <f t="shared" si="3"/>
        <v>220803510.99391553</v>
      </c>
      <c r="X19" s="15">
        <f t="shared" si="3"/>
        <v>208673709.17953837</v>
      </c>
      <c r="Y19" s="15">
        <f t="shared" si="3"/>
        <v>197210255.88196597</v>
      </c>
      <c r="Z19" s="15">
        <f t="shared" si="3"/>
        <v>186376545.36331043</v>
      </c>
      <c r="AA19" s="15">
        <f t="shared" si="3"/>
        <v>176137982.81541908</v>
      </c>
      <c r="AB19" s="15">
        <f t="shared" si="3"/>
        <v>166461873.88980481</v>
      </c>
      <c r="AC19" s="15">
        <f t="shared" si="3"/>
        <v>157317320.29623079</v>
      </c>
      <c r="AD19" s="15">
        <f t="shared" si="3"/>
        <v>148675121.13656819</v>
      </c>
      <c r="AE19" s="15">
        <f t="shared" si="3"/>
        <v>140507679.65886095</v>
      </c>
      <c r="AF19" s="15">
        <f t="shared" si="3"/>
        <v>132788915.13383973</v>
      </c>
      <c r="AG19" s="15">
        <f t="shared" si="3"/>
        <v>125494179.57248352</v>
      </c>
      <c r="AH19" s="15">
        <f t="shared" si="3"/>
        <v>118600179.01868786</v>
      </c>
      <c r="AI19" s="15">
        <f t="shared" si="3"/>
        <v>112084899.16570595</v>
      </c>
      <c r="AJ19" s="15">
        <f t="shared" si="3"/>
        <v>105927535.05883753</v>
      </c>
      <c r="AK19" s="15">
        <f t="shared" si="3"/>
        <v>100108424.65988836</v>
      </c>
      <c r="AL19" s="15">
        <f t="shared" si="3"/>
        <v>94608986.061253861</v>
      </c>
      <c r="AM19" s="15">
        <f t="shared" si="3"/>
        <v>89411658.149136573</v>
      </c>
      <c r="AN19" s="15">
        <f t="shared" si="3"/>
        <v>84499844.526418626</v>
      </c>
      <c r="AO19" s="15">
        <f t="shared" si="3"/>
        <v>79857860.516121879</v>
      </c>
      <c r="AP19" s="15">
        <f t="shared" si="3"/>
        <v>75470883.076223165</v>
      </c>
      <c r="AQ19" s="15">
        <f t="shared" si="3"/>
        <v>71324903.465890616</v>
      </c>
      <c r="AR19" s="15">
        <f t="shared" si="3"/>
        <v>67406682.51199159</v>
      </c>
      <c r="AS19" s="15">
        <f t="shared" si="3"/>
        <v>63703708.33302743</v>
      </c>
      <c r="AT19" s="15">
        <f t="shared" si="3"/>
        <v>60204156.38549611</v>
      </c>
      <c r="AU19" s="15">
        <f t="shared" si="3"/>
        <v>56896851.705101073</v>
      </c>
      <c r="AV19" s="15">
        <f t="shared" si="3"/>
        <v>53771233.222232386</v>
      </c>
      <c r="AW19" s="15">
        <f t="shared" si="3"/>
        <v>50817320.037770823</v>
      </c>
      <c r="AX19" s="15">
        <f t="shared" si="3"/>
        <v>48025679.551524557</v>
      </c>
      <c r="AY19" s="15">
        <f t="shared" si="3"/>
        <v>45387397.341524608</v>
      </c>
      <c r="AZ19" s="15">
        <f t="shared" si="3"/>
        <v>42894048.697995782</v>
      </c>
      <c r="BA19" s="15">
        <f t="shared" si="3"/>
        <v>40537671.721104018</v>
      </c>
      <c r="BB19" s="15">
        <f t="shared" si="3"/>
        <v>38310741.896574095</v>
      </c>
      <c r="BC19" s="15">
        <f t="shared" si="3"/>
        <v>36206148.067991346</v>
      </c>
      <c r="BD19" s="15">
        <f t="shared" si="3"/>
        <v>34217169.729060709</v>
      </c>
      <c r="BE19" s="58">
        <f t="shared" si="3"/>
        <v>32337455.563311558</v>
      </c>
    </row>
    <row r="20" spans="3:58" ht="15.75" thickBot="1" x14ac:dyDescent="0.3">
      <c r="C20" s="52" t="s">
        <v>19</v>
      </c>
      <c r="D20" s="53">
        <f ca="1">SUM($D$19:OFFSET($D19, 0, $E10))</f>
        <v>55669231005.419609</v>
      </c>
      <c r="E20" s="54" t="s">
        <v>20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7"/>
    </row>
    <row r="21" spans="3:58" x14ac:dyDescent="0.25">
      <c r="C21" s="1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BF21" s="69"/>
    </row>
    <row r="22" spans="3:58" x14ac:dyDescent="0.25">
      <c r="C22" s="1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58" x14ac:dyDescent="0.25">
      <c r="C23" s="16" t="s">
        <v>21</v>
      </c>
      <c r="D23" s="18">
        <f ca="1">D20/D15*1000</f>
        <v>98.836192699193518</v>
      </c>
      <c r="E23" s="18" t="s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6" spans="3:58" ht="15.75" thickBot="1" x14ac:dyDescent="0.3"/>
    <row r="27" spans="3:58" ht="15.75" x14ac:dyDescent="0.25">
      <c r="C27" s="98" t="s">
        <v>40</v>
      </c>
      <c r="D27" s="99"/>
      <c r="E27" s="10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3:58" x14ac:dyDescent="0.25">
      <c r="C28" s="59"/>
      <c r="D28" s="4" t="s">
        <v>7</v>
      </c>
      <c r="E28" s="60" t="s">
        <v>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3:58" ht="15.75" thickBot="1" x14ac:dyDescent="0.3">
      <c r="C29" s="61" t="s">
        <v>28</v>
      </c>
      <c r="D29" s="62" t="s">
        <v>6</v>
      </c>
      <c r="E29" s="63">
        <f>Inputs!B47</f>
        <v>0.11340265885321586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3:58" ht="15.75" thickBot="1" x14ac:dyDescent="0.3">
      <c r="C30" s="11"/>
      <c r="D30" s="12"/>
      <c r="E30" s="1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3:58" x14ac:dyDescent="0.25">
      <c r="C31" s="47" t="s">
        <v>12</v>
      </c>
      <c r="D31" s="48">
        <v>0</v>
      </c>
      <c r="E31" s="48">
        <v>1</v>
      </c>
      <c r="F31" s="48">
        <v>2</v>
      </c>
      <c r="G31" s="48">
        <v>3</v>
      </c>
      <c r="H31" s="48">
        <v>4</v>
      </c>
      <c r="I31" s="48">
        <v>5</v>
      </c>
      <c r="J31" s="48">
        <v>6</v>
      </c>
      <c r="K31" s="48">
        <v>7</v>
      </c>
      <c r="L31" s="48">
        <v>8</v>
      </c>
      <c r="M31" s="48">
        <v>9</v>
      </c>
      <c r="N31" s="48">
        <v>10</v>
      </c>
      <c r="O31" s="48">
        <v>11</v>
      </c>
      <c r="P31" s="48">
        <v>12</v>
      </c>
      <c r="Q31" s="48">
        <v>13</v>
      </c>
      <c r="R31" s="48">
        <v>14</v>
      </c>
      <c r="S31" s="48">
        <v>15</v>
      </c>
      <c r="T31" s="48">
        <v>16</v>
      </c>
      <c r="U31" s="48">
        <v>17</v>
      </c>
      <c r="V31" s="48">
        <v>18</v>
      </c>
      <c r="W31" s="48">
        <v>19</v>
      </c>
      <c r="X31" s="48">
        <v>20</v>
      </c>
      <c r="Y31" s="48">
        <v>21</v>
      </c>
      <c r="Z31" s="48">
        <v>22</v>
      </c>
      <c r="AA31" s="48">
        <v>23</v>
      </c>
      <c r="AB31" s="48">
        <v>24</v>
      </c>
      <c r="AC31" s="48">
        <v>25</v>
      </c>
      <c r="AD31" s="48">
        <v>26</v>
      </c>
      <c r="AE31" s="48">
        <v>27</v>
      </c>
      <c r="AF31" s="48">
        <v>28</v>
      </c>
      <c r="AG31" s="48">
        <v>29</v>
      </c>
      <c r="AH31" s="48">
        <v>30</v>
      </c>
      <c r="AI31" s="48">
        <v>31</v>
      </c>
      <c r="AJ31" s="48">
        <v>32</v>
      </c>
      <c r="AK31" s="48">
        <v>33</v>
      </c>
      <c r="AL31" s="48">
        <v>34</v>
      </c>
      <c r="AM31" s="48">
        <v>35</v>
      </c>
      <c r="AN31" s="48">
        <v>36</v>
      </c>
      <c r="AO31" s="48">
        <v>37</v>
      </c>
      <c r="AP31" s="48">
        <v>38</v>
      </c>
      <c r="AQ31" s="48">
        <v>39</v>
      </c>
      <c r="AR31" s="48">
        <v>40</v>
      </c>
      <c r="AS31" s="48">
        <v>41</v>
      </c>
      <c r="AT31" s="48">
        <v>42</v>
      </c>
      <c r="AU31" s="48">
        <v>43</v>
      </c>
      <c r="AV31" s="48">
        <v>44</v>
      </c>
      <c r="AW31" s="48">
        <v>45</v>
      </c>
      <c r="AX31" s="48">
        <v>46</v>
      </c>
      <c r="AY31" s="48">
        <v>47</v>
      </c>
      <c r="AZ31" s="48">
        <v>48</v>
      </c>
      <c r="BA31" s="48">
        <v>49</v>
      </c>
      <c r="BB31" s="48">
        <v>50</v>
      </c>
      <c r="BC31" s="48">
        <v>51</v>
      </c>
      <c r="BD31" s="48">
        <v>52</v>
      </c>
      <c r="BE31" s="49">
        <v>53</v>
      </c>
    </row>
    <row r="32" spans="3:58" x14ac:dyDescent="0.25">
      <c r="C32" s="50" t="s">
        <v>17</v>
      </c>
      <c r="D32" s="15">
        <f>$E$3*$E$4*(1+E29)</f>
        <v>47528494992.181938</v>
      </c>
      <c r="E32" s="15">
        <f>$E$7*$E$4 + E$13 * $E$9/1000</f>
        <v>646000000</v>
      </c>
      <c r="F32" s="15">
        <f t="shared" ref="F32:BE32" si="4">$E$7*$E$4 + F$13 * $E$9/1000</f>
        <v>646000000</v>
      </c>
      <c r="G32" s="15">
        <f t="shared" si="4"/>
        <v>646000000</v>
      </c>
      <c r="H32" s="15">
        <f t="shared" si="4"/>
        <v>646000000</v>
      </c>
      <c r="I32" s="15">
        <f t="shared" si="4"/>
        <v>646000000</v>
      </c>
      <c r="J32" s="15">
        <f t="shared" si="4"/>
        <v>646000000</v>
      </c>
      <c r="K32" s="15">
        <f t="shared" si="4"/>
        <v>646000000</v>
      </c>
      <c r="L32" s="15">
        <f t="shared" si="4"/>
        <v>646000000</v>
      </c>
      <c r="M32" s="15">
        <f t="shared" si="4"/>
        <v>646000000</v>
      </c>
      <c r="N32" s="15">
        <f t="shared" si="4"/>
        <v>646000000</v>
      </c>
      <c r="O32" s="15">
        <f t="shared" si="4"/>
        <v>646000000</v>
      </c>
      <c r="P32" s="15">
        <f t="shared" si="4"/>
        <v>646000000</v>
      </c>
      <c r="Q32" s="15">
        <f t="shared" si="4"/>
        <v>646000000</v>
      </c>
      <c r="R32" s="15">
        <f t="shared" si="4"/>
        <v>646000000</v>
      </c>
      <c r="S32" s="15">
        <f t="shared" si="4"/>
        <v>646000000</v>
      </c>
      <c r="T32" s="15">
        <f t="shared" si="4"/>
        <v>646000000</v>
      </c>
      <c r="U32" s="15">
        <f t="shared" si="4"/>
        <v>646000000</v>
      </c>
      <c r="V32" s="15">
        <f t="shared" si="4"/>
        <v>646000000</v>
      </c>
      <c r="W32" s="15">
        <f t="shared" si="4"/>
        <v>646000000</v>
      </c>
      <c r="X32" s="15">
        <f t="shared" si="4"/>
        <v>646000000</v>
      </c>
      <c r="Y32" s="15">
        <f t="shared" si="4"/>
        <v>646000000</v>
      </c>
      <c r="Z32" s="15">
        <f t="shared" si="4"/>
        <v>646000000</v>
      </c>
      <c r="AA32" s="15">
        <f t="shared" si="4"/>
        <v>646000000</v>
      </c>
      <c r="AB32" s="15">
        <f t="shared" si="4"/>
        <v>646000000</v>
      </c>
      <c r="AC32" s="15">
        <f t="shared" si="4"/>
        <v>646000000</v>
      </c>
      <c r="AD32" s="15">
        <f t="shared" si="4"/>
        <v>646000000</v>
      </c>
      <c r="AE32" s="15">
        <f t="shared" si="4"/>
        <v>646000000</v>
      </c>
      <c r="AF32" s="15">
        <f t="shared" si="4"/>
        <v>646000000</v>
      </c>
      <c r="AG32" s="15">
        <f t="shared" si="4"/>
        <v>646000000</v>
      </c>
      <c r="AH32" s="15">
        <f t="shared" si="4"/>
        <v>646000000</v>
      </c>
      <c r="AI32" s="15">
        <f t="shared" si="4"/>
        <v>646000000</v>
      </c>
      <c r="AJ32" s="15">
        <f t="shared" si="4"/>
        <v>646000000</v>
      </c>
      <c r="AK32" s="15">
        <f t="shared" si="4"/>
        <v>646000000</v>
      </c>
      <c r="AL32" s="15">
        <f t="shared" si="4"/>
        <v>646000000</v>
      </c>
      <c r="AM32" s="15">
        <f t="shared" si="4"/>
        <v>646000000</v>
      </c>
      <c r="AN32" s="15">
        <f t="shared" si="4"/>
        <v>646000000</v>
      </c>
      <c r="AO32" s="15">
        <f t="shared" si="4"/>
        <v>646000000</v>
      </c>
      <c r="AP32" s="15">
        <f t="shared" si="4"/>
        <v>646000000</v>
      </c>
      <c r="AQ32" s="15">
        <f t="shared" si="4"/>
        <v>646000000</v>
      </c>
      <c r="AR32" s="15">
        <f t="shared" si="4"/>
        <v>646000000</v>
      </c>
      <c r="AS32" s="15">
        <f t="shared" si="4"/>
        <v>646000000</v>
      </c>
      <c r="AT32" s="15">
        <f t="shared" si="4"/>
        <v>646000000</v>
      </c>
      <c r="AU32" s="15">
        <f t="shared" si="4"/>
        <v>646000000</v>
      </c>
      <c r="AV32" s="15">
        <f t="shared" si="4"/>
        <v>646000000</v>
      </c>
      <c r="AW32" s="15">
        <f t="shared" si="4"/>
        <v>646000000</v>
      </c>
      <c r="AX32" s="15">
        <f t="shared" si="4"/>
        <v>646000000</v>
      </c>
      <c r="AY32" s="15">
        <f t="shared" si="4"/>
        <v>646000000</v>
      </c>
      <c r="AZ32" s="15">
        <f t="shared" si="4"/>
        <v>646000000</v>
      </c>
      <c r="BA32" s="15">
        <f t="shared" si="4"/>
        <v>646000000</v>
      </c>
      <c r="BB32" s="15">
        <f t="shared" si="4"/>
        <v>646000000</v>
      </c>
      <c r="BC32" s="15">
        <f t="shared" si="4"/>
        <v>646000000</v>
      </c>
      <c r="BD32" s="15">
        <f t="shared" si="4"/>
        <v>646000000</v>
      </c>
      <c r="BE32" s="58">
        <f t="shared" si="4"/>
        <v>646000000</v>
      </c>
    </row>
    <row r="33" spans="3:60" x14ac:dyDescent="0.25">
      <c r="C33" s="50" t="s">
        <v>18</v>
      </c>
      <c r="D33" s="15">
        <f>D32/(1+$E$6)^D31</f>
        <v>47528494992.181938</v>
      </c>
      <c r="E33" s="15">
        <f>E32/(1+$E$6)^E31</f>
        <v>610512104.28305399</v>
      </c>
      <c r="F33" s="15">
        <f t="shared" ref="F33:BE33" si="5">F32/(1+$E$6)^F31</f>
        <v>576973729.83919895</v>
      </c>
      <c r="G33" s="15">
        <f t="shared" si="5"/>
        <v>545277780.06218517</v>
      </c>
      <c r="H33" s="15">
        <f t="shared" si="5"/>
        <v>515323041.67888069</v>
      </c>
      <c r="I33" s="15">
        <f t="shared" si="5"/>
        <v>487013861.54940772</v>
      </c>
      <c r="J33" s="15">
        <f t="shared" si="5"/>
        <v>460259841.22220552</v>
      </c>
      <c r="K33" s="15">
        <f t="shared" si="5"/>
        <v>434975548.26865792</v>
      </c>
      <c r="L33" s="15">
        <f t="shared" si="5"/>
        <v>411080243.4755007</v>
      </c>
      <c r="M33" s="15">
        <f t="shared" si="5"/>
        <v>388497623.02386701</v>
      </c>
      <c r="N33" s="15">
        <f t="shared" si="5"/>
        <v>367155574.8316806</v>
      </c>
      <c r="O33" s="15">
        <f t="shared" si="5"/>
        <v>346985948.28133684</v>
      </c>
      <c r="P33" s="15">
        <f t="shared" si="5"/>
        <v>327924336.59735274</v>
      </c>
      <c r="Q33" s="15">
        <f t="shared" si="5"/>
        <v>309909871.17906237</v>
      </c>
      <c r="R33" s="15">
        <f t="shared" si="5"/>
        <v>292885027.23160917</v>
      </c>
      <c r="S33" s="15">
        <f t="shared" si="5"/>
        <v>276795440.07456547</v>
      </c>
      <c r="T33" s="15">
        <f t="shared" si="5"/>
        <v>261589731.54160511</v>
      </c>
      <c r="U33" s="15">
        <f t="shared" si="5"/>
        <v>247219345.91688004</v>
      </c>
      <c r="V33" s="15">
        <f t="shared" si="5"/>
        <v>233638394.88420227</v>
      </c>
      <c r="W33" s="15">
        <f t="shared" si="5"/>
        <v>220803510.99391553</v>
      </c>
      <c r="X33" s="15">
        <f t="shared" si="5"/>
        <v>208673709.17953837</v>
      </c>
      <c r="Y33" s="15">
        <f t="shared" si="5"/>
        <v>197210255.88196597</v>
      </c>
      <c r="Z33" s="15">
        <f t="shared" si="5"/>
        <v>186376545.36331043</v>
      </c>
      <c r="AA33" s="15">
        <f t="shared" si="5"/>
        <v>176137982.81541908</v>
      </c>
      <c r="AB33" s="15">
        <f t="shared" si="5"/>
        <v>166461873.88980481</v>
      </c>
      <c r="AC33" s="15">
        <f t="shared" si="5"/>
        <v>157317320.29623079</v>
      </c>
      <c r="AD33" s="15">
        <f t="shared" si="5"/>
        <v>148675121.13656819</v>
      </c>
      <c r="AE33" s="15">
        <f t="shared" si="5"/>
        <v>140507679.65886095</v>
      </c>
      <c r="AF33" s="15">
        <f t="shared" si="5"/>
        <v>132788915.13383973</v>
      </c>
      <c r="AG33" s="15">
        <f t="shared" si="5"/>
        <v>125494179.57248352</v>
      </c>
      <c r="AH33" s="15">
        <f t="shared" si="5"/>
        <v>118600179.01868786</v>
      </c>
      <c r="AI33" s="15">
        <f t="shared" si="5"/>
        <v>112084899.16570595</v>
      </c>
      <c r="AJ33" s="15">
        <f t="shared" si="5"/>
        <v>105927535.05883753</v>
      </c>
      <c r="AK33" s="15">
        <f t="shared" si="5"/>
        <v>100108424.65988836</v>
      </c>
      <c r="AL33" s="15">
        <f t="shared" si="5"/>
        <v>94608986.061253861</v>
      </c>
      <c r="AM33" s="15">
        <f t="shared" si="5"/>
        <v>89411658.149136573</v>
      </c>
      <c r="AN33" s="15">
        <f t="shared" si="5"/>
        <v>84499844.526418626</v>
      </c>
      <c r="AO33" s="15">
        <f t="shared" si="5"/>
        <v>79857860.516121879</v>
      </c>
      <c r="AP33" s="15">
        <f t="shared" si="5"/>
        <v>75470883.076223165</v>
      </c>
      <c r="AQ33" s="15">
        <f t="shared" si="5"/>
        <v>71324903.465890616</v>
      </c>
      <c r="AR33" s="15">
        <f t="shared" si="5"/>
        <v>67406682.51199159</v>
      </c>
      <c r="AS33" s="15">
        <f t="shared" si="5"/>
        <v>63703708.33302743</v>
      </c>
      <c r="AT33" s="15">
        <f t="shared" si="5"/>
        <v>60204156.38549611</v>
      </c>
      <c r="AU33" s="15">
        <f t="shared" si="5"/>
        <v>56896851.705101073</v>
      </c>
      <c r="AV33" s="15">
        <f t="shared" si="5"/>
        <v>53771233.222232386</v>
      </c>
      <c r="AW33" s="15">
        <f t="shared" si="5"/>
        <v>50817320.037770823</v>
      </c>
      <c r="AX33" s="15">
        <f t="shared" si="5"/>
        <v>48025679.551524557</v>
      </c>
      <c r="AY33" s="15">
        <f t="shared" si="5"/>
        <v>45387397.341524608</v>
      </c>
      <c r="AZ33" s="15">
        <f t="shared" si="5"/>
        <v>42894048.697995782</v>
      </c>
      <c r="BA33" s="15">
        <f t="shared" si="5"/>
        <v>40537671.721104018</v>
      </c>
      <c r="BB33" s="15">
        <f t="shared" si="5"/>
        <v>38310741.896574095</v>
      </c>
      <c r="BC33" s="15">
        <f t="shared" si="5"/>
        <v>36206148.067991346</v>
      </c>
      <c r="BD33" s="15">
        <f t="shared" si="5"/>
        <v>34217169.729060709</v>
      </c>
      <c r="BE33" s="58">
        <f t="shared" si="5"/>
        <v>32337455.563311558</v>
      </c>
      <c r="BH33" s="45"/>
    </row>
    <row r="34" spans="3:60" ht="15.75" thickBot="1" x14ac:dyDescent="0.3">
      <c r="C34" s="52" t="s">
        <v>19</v>
      </c>
      <c r="D34" s="53">
        <f ca="1">SUM($D33:OFFSET($D33, 0, $E$10))</f>
        <v>57103701212.158615</v>
      </c>
      <c r="E34" s="54" t="s">
        <v>20</v>
      </c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7"/>
    </row>
    <row r="35" spans="3:60" x14ac:dyDescent="0.25">
      <c r="C35" s="1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60" x14ac:dyDescent="0.25">
      <c r="C36" s="1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60" x14ac:dyDescent="0.25">
      <c r="C37" s="16" t="s">
        <v>21</v>
      </c>
      <c r="D37" s="18">
        <f ca="1">$D34/$D$15*1000</f>
        <v>101.38297790196927</v>
      </c>
      <c r="E37" s="18" t="s">
        <v>22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40" spans="3:60" ht="15.75" thickBot="1" x14ac:dyDescent="0.3"/>
    <row r="41" spans="3:60" ht="15.75" x14ac:dyDescent="0.25">
      <c r="C41" s="98" t="s">
        <v>152</v>
      </c>
      <c r="D41" s="99"/>
      <c r="E41" s="10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3:60" x14ac:dyDescent="0.25">
      <c r="C42" s="59"/>
      <c r="D42" s="4" t="s">
        <v>7</v>
      </c>
      <c r="E42" s="60" t="s">
        <v>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3:60" ht="15.75" thickBot="1" x14ac:dyDescent="0.3">
      <c r="C43" s="61" t="s">
        <v>28</v>
      </c>
      <c r="D43" s="62" t="s">
        <v>6</v>
      </c>
      <c r="E43" s="63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3:60" ht="15.75" thickBot="1" x14ac:dyDescent="0.3">
      <c r="C44" s="11"/>
      <c r="D44" s="12"/>
      <c r="E44" s="12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3:60" x14ac:dyDescent="0.25">
      <c r="C45" s="47" t="s">
        <v>12</v>
      </c>
      <c r="D45" s="48">
        <v>0</v>
      </c>
      <c r="E45" s="48">
        <v>1</v>
      </c>
      <c r="F45" s="48">
        <v>2</v>
      </c>
      <c r="G45" s="48">
        <v>3</v>
      </c>
      <c r="H45" s="48">
        <v>4</v>
      </c>
      <c r="I45" s="48">
        <v>5</v>
      </c>
      <c r="J45" s="48">
        <v>6</v>
      </c>
      <c r="K45" s="48">
        <v>7</v>
      </c>
      <c r="L45" s="48">
        <v>8</v>
      </c>
      <c r="M45" s="48">
        <v>9</v>
      </c>
      <c r="N45" s="48">
        <v>10</v>
      </c>
      <c r="O45" s="48">
        <v>11</v>
      </c>
      <c r="P45" s="48">
        <v>12</v>
      </c>
      <c r="Q45" s="48">
        <v>13</v>
      </c>
      <c r="R45" s="48">
        <v>14</v>
      </c>
      <c r="S45" s="48">
        <v>15</v>
      </c>
      <c r="T45" s="48">
        <v>16</v>
      </c>
      <c r="U45" s="48">
        <v>17</v>
      </c>
      <c r="V45" s="48">
        <v>18</v>
      </c>
      <c r="W45" s="48">
        <v>19</v>
      </c>
      <c r="X45" s="48">
        <v>20</v>
      </c>
      <c r="Y45" s="48">
        <v>21</v>
      </c>
      <c r="Z45" s="48">
        <v>22</v>
      </c>
      <c r="AA45" s="48">
        <v>23</v>
      </c>
      <c r="AB45" s="48">
        <v>24</v>
      </c>
      <c r="AC45" s="48">
        <v>25</v>
      </c>
      <c r="AD45" s="48">
        <v>26</v>
      </c>
      <c r="AE45" s="48">
        <v>27</v>
      </c>
      <c r="AF45" s="48">
        <v>28</v>
      </c>
      <c r="AG45" s="48">
        <v>29</v>
      </c>
      <c r="AH45" s="48">
        <v>30</v>
      </c>
      <c r="AI45" s="48">
        <v>31</v>
      </c>
      <c r="AJ45" s="48">
        <v>32</v>
      </c>
      <c r="AK45" s="48">
        <v>33</v>
      </c>
      <c r="AL45" s="48">
        <v>34</v>
      </c>
      <c r="AM45" s="48">
        <v>35</v>
      </c>
      <c r="AN45" s="48">
        <v>36</v>
      </c>
      <c r="AO45" s="48">
        <v>37</v>
      </c>
      <c r="AP45" s="48">
        <v>38</v>
      </c>
      <c r="AQ45" s="48">
        <v>39</v>
      </c>
      <c r="AR45" s="48">
        <v>40</v>
      </c>
      <c r="AS45" s="48">
        <v>41</v>
      </c>
      <c r="AT45" s="48">
        <v>42</v>
      </c>
      <c r="AU45" s="48">
        <v>43</v>
      </c>
      <c r="AV45" s="48">
        <v>44</v>
      </c>
      <c r="AW45" s="48">
        <v>45</v>
      </c>
      <c r="AX45" s="48">
        <v>46</v>
      </c>
      <c r="AY45" s="48">
        <v>47</v>
      </c>
      <c r="AZ45" s="48">
        <v>48</v>
      </c>
      <c r="BA45" s="48">
        <v>49</v>
      </c>
      <c r="BB45" s="48">
        <v>50</v>
      </c>
      <c r="BC45" s="48">
        <v>51</v>
      </c>
      <c r="BD45" s="48">
        <v>52</v>
      </c>
      <c r="BE45" s="49">
        <v>53</v>
      </c>
    </row>
    <row r="46" spans="3:60" x14ac:dyDescent="0.25">
      <c r="C46" s="50" t="s">
        <v>17</v>
      </c>
      <c r="D46" s="15">
        <f>$E$3*$E$4*(1+E43)</f>
        <v>42687606872.733185</v>
      </c>
      <c r="E46" s="15">
        <f>$E$7*$E$4 + E$13 * $E$9/1000</f>
        <v>646000000</v>
      </c>
      <c r="F46" s="15">
        <f t="shared" ref="F46:BE46" si="6">$E$7*$E$4 + F$13 * $E$9/1000</f>
        <v>646000000</v>
      </c>
      <c r="G46" s="15">
        <f t="shared" si="6"/>
        <v>646000000</v>
      </c>
      <c r="H46" s="15">
        <f t="shared" si="6"/>
        <v>646000000</v>
      </c>
      <c r="I46" s="15">
        <f t="shared" si="6"/>
        <v>646000000</v>
      </c>
      <c r="J46" s="15">
        <f t="shared" si="6"/>
        <v>646000000</v>
      </c>
      <c r="K46" s="15">
        <f t="shared" si="6"/>
        <v>646000000</v>
      </c>
      <c r="L46" s="15">
        <f t="shared" si="6"/>
        <v>646000000</v>
      </c>
      <c r="M46" s="15">
        <f t="shared" si="6"/>
        <v>646000000</v>
      </c>
      <c r="N46" s="15">
        <f t="shared" si="6"/>
        <v>646000000</v>
      </c>
      <c r="O46" s="15">
        <f t="shared" si="6"/>
        <v>646000000</v>
      </c>
      <c r="P46" s="15">
        <f t="shared" si="6"/>
        <v>646000000</v>
      </c>
      <c r="Q46" s="15">
        <f t="shared" si="6"/>
        <v>646000000</v>
      </c>
      <c r="R46" s="15">
        <f t="shared" si="6"/>
        <v>646000000</v>
      </c>
      <c r="S46" s="15">
        <f t="shared" si="6"/>
        <v>646000000</v>
      </c>
      <c r="T46" s="15">
        <f t="shared" si="6"/>
        <v>646000000</v>
      </c>
      <c r="U46" s="15">
        <f t="shared" si="6"/>
        <v>646000000</v>
      </c>
      <c r="V46" s="15">
        <f t="shared" si="6"/>
        <v>646000000</v>
      </c>
      <c r="W46" s="15">
        <f t="shared" si="6"/>
        <v>646000000</v>
      </c>
      <c r="X46" s="15">
        <f t="shared" si="6"/>
        <v>646000000</v>
      </c>
      <c r="Y46" s="15">
        <f t="shared" si="6"/>
        <v>646000000</v>
      </c>
      <c r="Z46" s="15">
        <f t="shared" si="6"/>
        <v>646000000</v>
      </c>
      <c r="AA46" s="15">
        <f t="shared" si="6"/>
        <v>646000000</v>
      </c>
      <c r="AB46" s="15">
        <f t="shared" si="6"/>
        <v>646000000</v>
      </c>
      <c r="AC46" s="15">
        <f t="shared" si="6"/>
        <v>646000000</v>
      </c>
      <c r="AD46" s="15">
        <f t="shared" si="6"/>
        <v>646000000</v>
      </c>
      <c r="AE46" s="15">
        <f t="shared" si="6"/>
        <v>646000000</v>
      </c>
      <c r="AF46" s="15">
        <f t="shared" si="6"/>
        <v>646000000</v>
      </c>
      <c r="AG46" s="15">
        <f t="shared" si="6"/>
        <v>646000000</v>
      </c>
      <c r="AH46" s="15">
        <f t="shared" si="6"/>
        <v>646000000</v>
      </c>
      <c r="AI46" s="15">
        <f t="shared" si="6"/>
        <v>646000000</v>
      </c>
      <c r="AJ46" s="15">
        <f t="shared" si="6"/>
        <v>646000000</v>
      </c>
      <c r="AK46" s="15">
        <f t="shared" si="6"/>
        <v>646000000</v>
      </c>
      <c r="AL46" s="15">
        <f t="shared" si="6"/>
        <v>646000000</v>
      </c>
      <c r="AM46" s="15">
        <f t="shared" si="6"/>
        <v>646000000</v>
      </c>
      <c r="AN46" s="15">
        <f t="shared" si="6"/>
        <v>646000000</v>
      </c>
      <c r="AO46" s="15">
        <f t="shared" si="6"/>
        <v>646000000</v>
      </c>
      <c r="AP46" s="15">
        <f t="shared" si="6"/>
        <v>646000000</v>
      </c>
      <c r="AQ46" s="15">
        <f t="shared" si="6"/>
        <v>646000000</v>
      </c>
      <c r="AR46" s="15">
        <f t="shared" si="6"/>
        <v>646000000</v>
      </c>
      <c r="AS46" s="15">
        <f t="shared" si="6"/>
        <v>646000000</v>
      </c>
      <c r="AT46" s="15">
        <f t="shared" si="6"/>
        <v>646000000</v>
      </c>
      <c r="AU46" s="15">
        <f t="shared" si="6"/>
        <v>646000000</v>
      </c>
      <c r="AV46" s="15">
        <f t="shared" si="6"/>
        <v>646000000</v>
      </c>
      <c r="AW46" s="15">
        <f t="shared" si="6"/>
        <v>646000000</v>
      </c>
      <c r="AX46" s="15">
        <f t="shared" si="6"/>
        <v>646000000</v>
      </c>
      <c r="AY46" s="15">
        <f t="shared" si="6"/>
        <v>646000000</v>
      </c>
      <c r="AZ46" s="15">
        <f t="shared" si="6"/>
        <v>646000000</v>
      </c>
      <c r="BA46" s="15">
        <f t="shared" si="6"/>
        <v>646000000</v>
      </c>
      <c r="BB46" s="15">
        <f t="shared" si="6"/>
        <v>646000000</v>
      </c>
      <c r="BC46" s="15">
        <f t="shared" si="6"/>
        <v>646000000</v>
      </c>
      <c r="BD46" s="15">
        <f t="shared" si="6"/>
        <v>646000000</v>
      </c>
      <c r="BE46" s="58">
        <f t="shared" si="6"/>
        <v>646000000</v>
      </c>
    </row>
    <row r="47" spans="3:60" x14ac:dyDescent="0.25">
      <c r="C47" s="50" t="s">
        <v>18</v>
      </c>
      <c r="D47" s="15">
        <f>D46/(1+$E$6)^D45</f>
        <v>42687606872.733185</v>
      </c>
      <c r="E47" s="15">
        <f>E46/(1+$E$6)^E45</f>
        <v>610512104.28305399</v>
      </c>
      <c r="F47" s="15">
        <f t="shared" ref="F47:BE47" si="7">F46/(1+$E$6)^F45</f>
        <v>576973729.83919895</v>
      </c>
      <c r="G47" s="15">
        <f t="shared" si="7"/>
        <v>545277780.06218517</v>
      </c>
      <c r="H47" s="15">
        <f t="shared" si="7"/>
        <v>515323041.67888069</v>
      </c>
      <c r="I47" s="15">
        <f t="shared" si="7"/>
        <v>487013861.54940772</v>
      </c>
      <c r="J47" s="15">
        <f t="shared" si="7"/>
        <v>460259841.22220552</v>
      </c>
      <c r="K47" s="15">
        <f t="shared" si="7"/>
        <v>434975548.26865792</v>
      </c>
      <c r="L47" s="15">
        <f t="shared" si="7"/>
        <v>411080243.4755007</v>
      </c>
      <c r="M47" s="15">
        <f t="shared" si="7"/>
        <v>388497623.02386701</v>
      </c>
      <c r="N47" s="15">
        <f t="shared" si="7"/>
        <v>367155574.8316806</v>
      </c>
      <c r="O47" s="15">
        <f t="shared" si="7"/>
        <v>346985948.28133684</v>
      </c>
      <c r="P47" s="15">
        <f t="shared" si="7"/>
        <v>327924336.59735274</v>
      </c>
      <c r="Q47" s="15">
        <f t="shared" si="7"/>
        <v>309909871.17906237</v>
      </c>
      <c r="R47" s="15">
        <f t="shared" si="7"/>
        <v>292885027.23160917</v>
      </c>
      <c r="S47" s="15">
        <f t="shared" si="7"/>
        <v>276795440.07456547</v>
      </c>
      <c r="T47" s="15">
        <f t="shared" si="7"/>
        <v>261589731.54160511</v>
      </c>
      <c r="U47" s="15">
        <f t="shared" si="7"/>
        <v>247219345.91688004</v>
      </c>
      <c r="V47" s="15">
        <f t="shared" si="7"/>
        <v>233638394.88420227</v>
      </c>
      <c r="W47" s="15">
        <f t="shared" si="7"/>
        <v>220803510.99391553</v>
      </c>
      <c r="X47" s="15">
        <f t="shared" si="7"/>
        <v>208673709.17953837</v>
      </c>
      <c r="Y47" s="15">
        <f t="shared" si="7"/>
        <v>197210255.88196597</v>
      </c>
      <c r="Z47" s="15">
        <f t="shared" si="7"/>
        <v>186376545.36331043</v>
      </c>
      <c r="AA47" s="15">
        <f t="shared" si="7"/>
        <v>176137982.81541908</v>
      </c>
      <c r="AB47" s="15">
        <f t="shared" si="7"/>
        <v>166461873.88980481</v>
      </c>
      <c r="AC47" s="15">
        <f t="shared" si="7"/>
        <v>157317320.29623079</v>
      </c>
      <c r="AD47" s="15">
        <f t="shared" si="7"/>
        <v>148675121.13656819</v>
      </c>
      <c r="AE47" s="15">
        <f t="shared" si="7"/>
        <v>140507679.65886095</v>
      </c>
      <c r="AF47" s="15">
        <f t="shared" si="7"/>
        <v>132788915.13383973</v>
      </c>
      <c r="AG47" s="15">
        <f t="shared" si="7"/>
        <v>125494179.57248352</v>
      </c>
      <c r="AH47" s="15">
        <f t="shared" si="7"/>
        <v>118600179.01868786</v>
      </c>
      <c r="AI47" s="15">
        <f t="shared" si="7"/>
        <v>112084899.16570595</v>
      </c>
      <c r="AJ47" s="15">
        <f t="shared" si="7"/>
        <v>105927535.05883753</v>
      </c>
      <c r="AK47" s="15">
        <f t="shared" si="7"/>
        <v>100108424.65988836</v>
      </c>
      <c r="AL47" s="15">
        <f t="shared" si="7"/>
        <v>94608986.061253861</v>
      </c>
      <c r="AM47" s="15">
        <f t="shared" si="7"/>
        <v>89411658.149136573</v>
      </c>
      <c r="AN47" s="15">
        <f t="shared" si="7"/>
        <v>84499844.526418626</v>
      </c>
      <c r="AO47" s="15">
        <f t="shared" si="7"/>
        <v>79857860.516121879</v>
      </c>
      <c r="AP47" s="15">
        <f t="shared" si="7"/>
        <v>75470883.076223165</v>
      </c>
      <c r="AQ47" s="15">
        <f t="shared" si="7"/>
        <v>71324903.465890616</v>
      </c>
      <c r="AR47" s="15">
        <f t="shared" si="7"/>
        <v>67406682.51199159</v>
      </c>
      <c r="AS47" s="15">
        <f t="shared" si="7"/>
        <v>63703708.33302743</v>
      </c>
      <c r="AT47" s="15">
        <f t="shared" si="7"/>
        <v>60204156.38549611</v>
      </c>
      <c r="AU47" s="15">
        <f t="shared" si="7"/>
        <v>56896851.705101073</v>
      </c>
      <c r="AV47" s="15">
        <f t="shared" si="7"/>
        <v>53771233.222232386</v>
      </c>
      <c r="AW47" s="15">
        <f t="shared" si="7"/>
        <v>50817320.037770823</v>
      </c>
      <c r="AX47" s="15">
        <f t="shared" si="7"/>
        <v>48025679.551524557</v>
      </c>
      <c r="AY47" s="15">
        <f t="shared" si="7"/>
        <v>45387397.341524608</v>
      </c>
      <c r="AZ47" s="15">
        <f t="shared" si="7"/>
        <v>42894048.697995782</v>
      </c>
      <c r="BA47" s="15">
        <f t="shared" si="7"/>
        <v>40537671.721104018</v>
      </c>
      <c r="BB47" s="15">
        <f t="shared" si="7"/>
        <v>38310741.896574095</v>
      </c>
      <c r="BC47" s="15">
        <f t="shared" si="7"/>
        <v>36206148.067991346</v>
      </c>
      <c r="BD47" s="15">
        <f t="shared" si="7"/>
        <v>34217169.729060709</v>
      </c>
      <c r="BE47" s="58">
        <f t="shared" si="7"/>
        <v>32337455.563311558</v>
      </c>
      <c r="BH47" s="45"/>
    </row>
    <row r="48" spans="3:60" ht="15.75" thickBot="1" x14ac:dyDescent="0.3">
      <c r="C48" s="52" t="s">
        <v>19</v>
      </c>
      <c r="D48" s="53">
        <f ca="1">SUM($D47:OFFSET($D47, 0, $E$10))</f>
        <v>52262813092.709862</v>
      </c>
      <c r="E48" s="54" t="s">
        <v>20</v>
      </c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7"/>
    </row>
    <row r="49" spans="3:60" x14ac:dyDescent="0.25">
      <c r="C49" s="1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3:60" x14ac:dyDescent="0.25">
      <c r="C50" s="1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3:60" x14ac:dyDescent="0.25">
      <c r="C51" s="16" t="s">
        <v>21</v>
      </c>
      <c r="D51" s="18">
        <f ca="1">$D48/$D$15*1000</f>
        <v>92.7883747007414</v>
      </c>
      <c r="E51" s="18" t="s">
        <v>22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3:60" x14ac:dyDescent="0.25">
      <c r="C52" s="5"/>
      <c r="D52" s="46"/>
      <c r="E52" s="4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4" spans="3:60" ht="15.75" thickBot="1" x14ac:dyDescent="0.3"/>
    <row r="55" spans="3:60" ht="15.75" x14ac:dyDescent="0.25">
      <c r="C55" s="102" t="s">
        <v>78</v>
      </c>
      <c r="D55" s="103"/>
      <c r="E55" s="10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3:60" x14ac:dyDescent="0.25">
      <c r="C56" s="59"/>
      <c r="D56" s="4" t="s">
        <v>7</v>
      </c>
      <c r="E56" s="60" t="s">
        <v>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3:60" ht="15.75" thickBot="1" x14ac:dyDescent="0.3">
      <c r="C57" s="61" t="s">
        <v>28</v>
      </c>
      <c r="D57" s="62" t="s">
        <v>6</v>
      </c>
      <c r="E57" s="63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3:60" ht="15.75" thickBot="1" x14ac:dyDescent="0.3">
      <c r="C58" s="11"/>
      <c r="D58" s="12"/>
      <c r="E58" s="12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3:60" x14ac:dyDescent="0.25">
      <c r="C59" s="47" t="s">
        <v>12</v>
      </c>
      <c r="D59" s="48">
        <v>0</v>
      </c>
      <c r="E59" s="48">
        <v>1</v>
      </c>
      <c r="F59" s="48">
        <v>2</v>
      </c>
      <c r="G59" s="48">
        <v>3</v>
      </c>
      <c r="H59" s="48">
        <v>4</v>
      </c>
      <c r="I59" s="48">
        <v>5</v>
      </c>
      <c r="J59" s="48">
        <v>6</v>
      </c>
      <c r="K59" s="48">
        <v>7</v>
      </c>
      <c r="L59" s="48">
        <v>8</v>
      </c>
      <c r="M59" s="48">
        <v>9</v>
      </c>
      <c r="N59" s="48">
        <v>10</v>
      </c>
      <c r="O59" s="48">
        <v>11</v>
      </c>
      <c r="P59" s="48">
        <v>12</v>
      </c>
      <c r="Q59" s="48">
        <v>13</v>
      </c>
      <c r="R59" s="48">
        <v>14</v>
      </c>
      <c r="S59" s="48">
        <v>15</v>
      </c>
      <c r="T59" s="48">
        <v>16</v>
      </c>
      <c r="U59" s="48">
        <v>17</v>
      </c>
      <c r="V59" s="48">
        <v>18</v>
      </c>
      <c r="W59" s="48">
        <v>19</v>
      </c>
      <c r="X59" s="48">
        <v>20</v>
      </c>
      <c r="Y59" s="48">
        <v>21</v>
      </c>
      <c r="Z59" s="48">
        <v>22</v>
      </c>
      <c r="AA59" s="48">
        <v>23</v>
      </c>
      <c r="AB59" s="48">
        <v>24</v>
      </c>
      <c r="AC59" s="48">
        <v>25</v>
      </c>
      <c r="AD59" s="48">
        <v>26</v>
      </c>
      <c r="AE59" s="48">
        <v>27</v>
      </c>
      <c r="AF59" s="48">
        <v>28</v>
      </c>
      <c r="AG59" s="48">
        <v>29</v>
      </c>
      <c r="AH59" s="48">
        <v>30</v>
      </c>
      <c r="AI59" s="48">
        <v>31</v>
      </c>
      <c r="AJ59" s="48">
        <v>32</v>
      </c>
      <c r="AK59" s="48">
        <v>33</v>
      </c>
      <c r="AL59" s="48">
        <v>34</v>
      </c>
      <c r="AM59" s="48">
        <v>35</v>
      </c>
      <c r="AN59" s="48">
        <v>36</v>
      </c>
      <c r="AO59" s="48">
        <v>37</v>
      </c>
      <c r="AP59" s="48">
        <v>38</v>
      </c>
      <c r="AQ59" s="48">
        <v>39</v>
      </c>
      <c r="AR59" s="48">
        <v>40</v>
      </c>
      <c r="AS59" s="48">
        <v>41</v>
      </c>
      <c r="AT59" s="48">
        <v>42</v>
      </c>
      <c r="AU59" s="48">
        <v>43</v>
      </c>
      <c r="AV59" s="48">
        <v>44</v>
      </c>
      <c r="AW59" s="48">
        <v>45</v>
      </c>
      <c r="AX59" s="48">
        <v>46</v>
      </c>
      <c r="AY59" s="48">
        <v>47</v>
      </c>
      <c r="AZ59" s="48">
        <v>48</v>
      </c>
      <c r="BA59" s="48">
        <v>49</v>
      </c>
      <c r="BB59" s="48">
        <v>50</v>
      </c>
      <c r="BC59" s="48">
        <v>51</v>
      </c>
      <c r="BD59" s="48">
        <v>52</v>
      </c>
      <c r="BE59" s="49">
        <v>53</v>
      </c>
    </row>
    <row r="60" spans="3:60" x14ac:dyDescent="0.25">
      <c r="C60" s="50" t="s">
        <v>17</v>
      </c>
      <c r="D60" s="15">
        <f>$E$3*$E$4*(1+E57)</f>
        <v>42687606872.733185</v>
      </c>
      <c r="E60" s="15">
        <f>$E$7*$E$4 + E$13 * $E$9/1000</f>
        <v>646000000</v>
      </c>
      <c r="F60" s="15">
        <f t="shared" ref="F60:BE60" si="8">$E$7*$E$4 + F$13 * $E$9/1000</f>
        <v>646000000</v>
      </c>
      <c r="G60" s="15">
        <f t="shared" si="8"/>
        <v>646000000</v>
      </c>
      <c r="H60" s="15">
        <f t="shared" si="8"/>
        <v>646000000</v>
      </c>
      <c r="I60" s="15">
        <f t="shared" si="8"/>
        <v>646000000</v>
      </c>
      <c r="J60" s="15">
        <f t="shared" si="8"/>
        <v>646000000</v>
      </c>
      <c r="K60" s="15">
        <f t="shared" si="8"/>
        <v>646000000</v>
      </c>
      <c r="L60" s="15">
        <f t="shared" si="8"/>
        <v>646000000</v>
      </c>
      <c r="M60" s="15">
        <f t="shared" si="8"/>
        <v>646000000</v>
      </c>
      <c r="N60" s="15">
        <f t="shared" si="8"/>
        <v>646000000</v>
      </c>
      <c r="O60" s="15">
        <f t="shared" si="8"/>
        <v>646000000</v>
      </c>
      <c r="P60" s="15">
        <f t="shared" si="8"/>
        <v>646000000</v>
      </c>
      <c r="Q60" s="15">
        <f t="shared" si="8"/>
        <v>646000000</v>
      </c>
      <c r="R60" s="15">
        <f t="shared" si="8"/>
        <v>646000000</v>
      </c>
      <c r="S60" s="15">
        <f t="shared" si="8"/>
        <v>646000000</v>
      </c>
      <c r="T60" s="15">
        <f t="shared" si="8"/>
        <v>646000000</v>
      </c>
      <c r="U60" s="15">
        <f t="shared" si="8"/>
        <v>646000000</v>
      </c>
      <c r="V60" s="15">
        <f t="shared" si="8"/>
        <v>646000000</v>
      </c>
      <c r="W60" s="15">
        <f t="shared" si="8"/>
        <v>646000000</v>
      </c>
      <c r="X60" s="15">
        <f t="shared" si="8"/>
        <v>646000000</v>
      </c>
      <c r="Y60" s="15">
        <f t="shared" si="8"/>
        <v>646000000</v>
      </c>
      <c r="Z60" s="15">
        <f t="shared" si="8"/>
        <v>646000000</v>
      </c>
      <c r="AA60" s="15">
        <f t="shared" si="8"/>
        <v>646000000</v>
      </c>
      <c r="AB60" s="15">
        <f t="shared" si="8"/>
        <v>646000000</v>
      </c>
      <c r="AC60" s="15">
        <f t="shared" si="8"/>
        <v>646000000</v>
      </c>
      <c r="AD60" s="15">
        <f t="shared" si="8"/>
        <v>646000000</v>
      </c>
      <c r="AE60" s="15">
        <f t="shared" si="8"/>
        <v>646000000</v>
      </c>
      <c r="AF60" s="15">
        <f t="shared" si="8"/>
        <v>646000000</v>
      </c>
      <c r="AG60" s="15">
        <f t="shared" si="8"/>
        <v>646000000</v>
      </c>
      <c r="AH60" s="15">
        <f t="shared" si="8"/>
        <v>646000000</v>
      </c>
      <c r="AI60" s="15">
        <f t="shared" si="8"/>
        <v>646000000</v>
      </c>
      <c r="AJ60" s="15">
        <f t="shared" si="8"/>
        <v>646000000</v>
      </c>
      <c r="AK60" s="15">
        <f t="shared" si="8"/>
        <v>646000000</v>
      </c>
      <c r="AL60" s="15">
        <f t="shared" si="8"/>
        <v>646000000</v>
      </c>
      <c r="AM60" s="15">
        <f t="shared" si="8"/>
        <v>646000000</v>
      </c>
      <c r="AN60" s="15">
        <f t="shared" si="8"/>
        <v>646000000</v>
      </c>
      <c r="AO60" s="15">
        <f t="shared" si="8"/>
        <v>646000000</v>
      </c>
      <c r="AP60" s="15">
        <f t="shared" si="8"/>
        <v>646000000</v>
      </c>
      <c r="AQ60" s="15">
        <f t="shared" si="8"/>
        <v>646000000</v>
      </c>
      <c r="AR60" s="15">
        <f t="shared" si="8"/>
        <v>646000000</v>
      </c>
      <c r="AS60" s="15">
        <f t="shared" si="8"/>
        <v>646000000</v>
      </c>
      <c r="AT60" s="15">
        <f t="shared" si="8"/>
        <v>646000000</v>
      </c>
      <c r="AU60" s="15">
        <f t="shared" si="8"/>
        <v>646000000</v>
      </c>
      <c r="AV60" s="15">
        <f t="shared" si="8"/>
        <v>646000000</v>
      </c>
      <c r="AW60" s="15">
        <f t="shared" si="8"/>
        <v>646000000</v>
      </c>
      <c r="AX60" s="15">
        <f t="shared" si="8"/>
        <v>646000000</v>
      </c>
      <c r="AY60" s="15">
        <f t="shared" si="8"/>
        <v>646000000</v>
      </c>
      <c r="AZ60" s="15">
        <f t="shared" si="8"/>
        <v>646000000</v>
      </c>
      <c r="BA60" s="15">
        <f t="shared" si="8"/>
        <v>646000000</v>
      </c>
      <c r="BB60" s="15">
        <f t="shared" si="8"/>
        <v>646000000</v>
      </c>
      <c r="BC60" s="15">
        <f t="shared" si="8"/>
        <v>646000000</v>
      </c>
      <c r="BD60" s="15">
        <f t="shared" si="8"/>
        <v>646000000</v>
      </c>
      <c r="BE60" s="58">
        <f t="shared" si="8"/>
        <v>646000000</v>
      </c>
    </row>
    <row r="61" spans="3:60" x14ac:dyDescent="0.25">
      <c r="C61" s="50" t="s">
        <v>18</v>
      </c>
      <c r="D61" s="15">
        <f>D60/(1+$E$6)^D59</f>
        <v>42687606872.733185</v>
      </c>
      <c r="E61" s="15">
        <f>E60/(1+$E$6)^E59</f>
        <v>610512104.28305399</v>
      </c>
      <c r="F61" s="15">
        <f t="shared" ref="F61:BE61" si="9">F60/(1+$E$6)^F59</f>
        <v>576973729.83919895</v>
      </c>
      <c r="G61" s="15">
        <f t="shared" si="9"/>
        <v>545277780.06218517</v>
      </c>
      <c r="H61" s="15">
        <f t="shared" si="9"/>
        <v>515323041.67888069</v>
      </c>
      <c r="I61" s="15">
        <f t="shared" si="9"/>
        <v>487013861.54940772</v>
      </c>
      <c r="J61" s="15">
        <f t="shared" si="9"/>
        <v>460259841.22220552</v>
      </c>
      <c r="K61" s="15">
        <f t="shared" si="9"/>
        <v>434975548.26865792</v>
      </c>
      <c r="L61" s="15">
        <f t="shared" si="9"/>
        <v>411080243.4755007</v>
      </c>
      <c r="M61" s="15">
        <f t="shared" si="9"/>
        <v>388497623.02386701</v>
      </c>
      <c r="N61" s="15">
        <f t="shared" si="9"/>
        <v>367155574.8316806</v>
      </c>
      <c r="O61" s="15">
        <f t="shared" si="9"/>
        <v>346985948.28133684</v>
      </c>
      <c r="P61" s="15">
        <f t="shared" si="9"/>
        <v>327924336.59735274</v>
      </c>
      <c r="Q61" s="15">
        <f t="shared" si="9"/>
        <v>309909871.17906237</v>
      </c>
      <c r="R61" s="15">
        <f t="shared" si="9"/>
        <v>292885027.23160917</v>
      </c>
      <c r="S61" s="15">
        <f t="shared" si="9"/>
        <v>276795440.07456547</v>
      </c>
      <c r="T61" s="15">
        <f t="shared" si="9"/>
        <v>261589731.54160511</v>
      </c>
      <c r="U61" s="15">
        <f t="shared" si="9"/>
        <v>247219345.91688004</v>
      </c>
      <c r="V61" s="15">
        <f t="shared" si="9"/>
        <v>233638394.88420227</v>
      </c>
      <c r="W61" s="15">
        <f t="shared" si="9"/>
        <v>220803510.99391553</v>
      </c>
      <c r="X61" s="15">
        <f t="shared" si="9"/>
        <v>208673709.17953837</v>
      </c>
      <c r="Y61" s="15">
        <f t="shared" si="9"/>
        <v>197210255.88196597</v>
      </c>
      <c r="Z61" s="15">
        <f t="shared" si="9"/>
        <v>186376545.36331043</v>
      </c>
      <c r="AA61" s="15">
        <f t="shared" si="9"/>
        <v>176137982.81541908</v>
      </c>
      <c r="AB61" s="15">
        <f t="shared" si="9"/>
        <v>166461873.88980481</v>
      </c>
      <c r="AC61" s="15">
        <f t="shared" si="9"/>
        <v>157317320.29623079</v>
      </c>
      <c r="AD61" s="15">
        <f t="shared" si="9"/>
        <v>148675121.13656819</v>
      </c>
      <c r="AE61" s="15">
        <f t="shared" si="9"/>
        <v>140507679.65886095</v>
      </c>
      <c r="AF61" s="15">
        <f t="shared" si="9"/>
        <v>132788915.13383973</v>
      </c>
      <c r="AG61" s="15">
        <f t="shared" si="9"/>
        <v>125494179.57248352</v>
      </c>
      <c r="AH61" s="15">
        <f t="shared" si="9"/>
        <v>118600179.01868786</v>
      </c>
      <c r="AI61" s="15">
        <f t="shared" si="9"/>
        <v>112084899.16570595</v>
      </c>
      <c r="AJ61" s="15">
        <f t="shared" si="9"/>
        <v>105927535.05883753</v>
      </c>
      <c r="AK61" s="15">
        <f t="shared" si="9"/>
        <v>100108424.65988836</v>
      </c>
      <c r="AL61" s="15">
        <f t="shared" si="9"/>
        <v>94608986.061253861</v>
      </c>
      <c r="AM61" s="15">
        <f t="shared" si="9"/>
        <v>89411658.149136573</v>
      </c>
      <c r="AN61" s="15">
        <f t="shared" si="9"/>
        <v>84499844.526418626</v>
      </c>
      <c r="AO61" s="15">
        <f t="shared" si="9"/>
        <v>79857860.516121879</v>
      </c>
      <c r="AP61" s="15">
        <f t="shared" si="9"/>
        <v>75470883.076223165</v>
      </c>
      <c r="AQ61" s="15">
        <f t="shared" si="9"/>
        <v>71324903.465890616</v>
      </c>
      <c r="AR61" s="15">
        <f t="shared" si="9"/>
        <v>67406682.51199159</v>
      </c>
      <c r="AS61" s="15">
        <f t="shared" si="9"/>
        <v>63703708.33302743</v>
      </c>
      <c r="AT61" s="15">
        <f t="shared" si="9"/>
        <v>60204156.38549611</v>
      </c>
      <c r="AU61" s="15">
        <f t="shared" si="9"/>
        <v>56896851.705101073</v>
      </c>
      <c r="AV61" s="15">
        <f t="shared" si="9"/>
        <v>53771233.222232386</v>
      </c>
      <c r="AW61" s="15">
        <f t="shared" si="9"/>
        <v>50817320.037770823</v>
      </c>
      <c r="AX61" s="15">
        <f t="shared" si="9"/>
        <v>48025679.551524557</v>
      </c>
      <c r="AY61" s="15">
        <f t="shared" si="9"/>
        <v>45387397.341524608</v>
      </c>
      <c r="AZ61" s="15">
        <f t="shared" si="9"/>
        <v>42894048.697995782</v>
      </c>
      <c r="BA61" s="15">
        <f t="shared" si="9"/>
        <v>40537671.721104018</v>
      </c>
      <c r="BB61" s="15">
        <f t="shared" si="9"/>
        <v>38310741.896574095</v>
      </c>
      <c r="BC61" s="15">
        <f t="shared" si="9"/>
        <v>36206148.067991346</v>
      </c>
      <c r="BD61" s="15">
        <f t="shared" si="9"/>
        <v>34217169.729060709</v>
      </c>
      <c r="BE61" s="58">
        <f t="shared" si="9"/>
        <v>32337455.563311558</v>
      </c>
      <c r="BH61" s="45"/>
    </row>
    <row r="62" spans="3:60" ht="15.75" thickBot="1" x14ac:dyDescent="0.3">
      <c r="C62" s="52" t="s">
        <v>19</v>
      </c>
      <c r="D62" s="53">
        <f ca="1">SUM($D61:OFFSET($D61, 0, $E$10))</f>
        <v>52262813092.709862</v>
      </c>
      <c r="E62" s="54" t="s">
        <v>20</v>
      </c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7"/>
    </row>
    <row r="63" spans="3:60" x14ac:dyDescent="0.25">
      <c r="C63" s="1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3:60" x14ac:dyDescent="0.25">
      <c r="C64" s="1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3:57" x14ac:dyDescent="0.25">
      <c r="C65" s="16" t="s">
        <v>21</v>
      </c>
      <c r="D65" s="18">
        <f ca="1">$D62/$D$15*1000</f>
        <v>92.7883747007414</v>
      </c>
      <c r="E65" s="18" t="s">
        <v>22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8" spans="3:57" ht="15.75" thickBot="1" x14ac:dyDescent="0.3"/>
    <row r="69" spans="3:57" ht="15.75" x14ac:dyDescent="0.25">
      <c r="C69" s="102" t="s">
        <v>303</v>
      </c>
      <c r="D69" s="103"/>
      <c r="E69" s="10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3:57" x14ac:dyDescent="0.25">
      <c r="C70" s="59"/>
      <c r="D70" s="4" t="s">
        <v>7</v>
      </c>
      <c r="E70" s="60" t="s">
        <v>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3:57" ht="15.75" thickBot="1" x14ac:dyDescent="0.3">
      <c r="C71" s="61" t="s">
        <v>28</v>
      </c>
      <c r="D71" s="62" t="s">
        <v>6</v>
      </c>
      <c r="E71" s="63">
        <f>Inputs!$B$48</f>
        <v>0.16770265885321586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3:57" ht="15.75" thickBot="1" x14ac:dyDescent="0.3">
      <c r="C72" s="11"/>
      <c r="D72" s="12"/>
      <c r="E72" s="12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3:57" x14ac:dyDescent="0.25">
      <c r="C73" s="47" t="s">
        <v>12</v>
      </c>
      <c r="D73" s="48">
        <v>0</v>
      </c>
      <c r="E73" s="48">
        <v>1</v>
      </c>
      <c r="F73" s="48">
        <v>2</v>
      </c>
      <c r="G73" s="48">
        <v>3</v>
      </c>
      <c r="H73" s="48">
        <v>4</v>
      </c>
      <c r="I73" s="48">
        <v>5</v>
      </c>
      <c r="J73" s="48">
        <v>6</v>
      </c>
      <c r="K73" s="48">
        <v>7</v>
      </c>
      <c r="L73" s="48">
        <v>8</v>
      </c>
      <c r="M73" s="48">
        <v>9</v>
      </c>
      <c r="N73" s="48">
        <v>10</v>
      </c>
      <c r="O73" s="48">
        <v>11</v>
      </c>
      <c r="P73" s="48">
        <v>12</v>
      </c>
      <c r="Q73" s="48">
        <v>13</v>
      </c>
      <c r="R73" s="48">
        <v>14</v>
      </c>
      <c r="S73" s="48">
        <v>15</v>
      </c>
      <c r="T73" s="48">
        <v>16</v>
      </c>
      <c r="U73" s="48">
        <v>17</v>
      </c>
      <c r="V73" s="48">
        <v>18</v>
      </c>
      <c r="W73" s="48">
        <v>19</v>
      </c>
      <c r="X73" s="48">
        <v>20</v>
      </c>
      <c r="Y73" s="48">
        <v>21</v>
      </c>
      <c r="Z73" s="48">
        <v>22</v>
      </c>
      <c r="AA73" s="48">
        <v>23</v>
      </c>
      <c r="AB73" s="48">
        <v>24</v>
      </c>
      <c r="AC73" s="48">
        <v>25</v>
      </c>
      <c r="AD73" s="48">
        <v>26</v>
      </c>
      <c r="AE73" s="48">
        <v>27</v>
      </c>
      <c r="AF73" s="48">
        <v>28</v>
      </c>
      <c r="AG73" s="48">
        <v>29</v>
      </c>
      <c r="AH73" s="48">
        <v>30</v>
      </c>
      <c r="AI73" s="48">
        <v>31</v>
      </c>
      <c r="AJ73" s="48">
        <v>32</v>
      </c>
      <c r="AK73" s="48">
        <v>33</v>
      </c>
      <c r="AL73" s="48">
        <v>34</v>
      </c>
      <c r="AM73" s="48">
        <v>35</v>
      </c>
      <c r="AN73" s="48">
        <v>36</v>
      </c>
      <c r="AO73" s="48">
        <v>37</v>
      </c>
      <c r="AP73" s="48">
        <v>38</v>
      </c>
      <c r="AQ73" s="48">
        <v>39</v>
      </c>
      <c r="AR73" s="48">
        <v>40</v>
      </c>
      <c r="AS73" s="48">
        <v>41</v>
      </c>
      <c r="AT73" s="48">
        <v>42</v>
      </c>
      <c r="AU73" s="48">
        <v>43</v>
      </c>
      <c r="AV73" s="48">
        <v>44</v>
      </c>
      <c r="AW73" s="48">
        <v>45</v>
      </c>
      <c r="AX73" s="48">
        <v>46</v>
      </c>
      <c r="AY73" s="48">
        <v>47</v>
      </c>
      <c r="AZ73" s="48">
        <v>48</v>
      </c>
      <c r="BA73" s="48">
        <v>49</v>
      </c>
      <c r="BB73" s="48">
        <v>50</v>
      </c>
      <c r="BC73" s="48">
        <v>51</v>
      </c>
      <c r="BD73" s="48">
        <v>52</v>
      </c>
      <c r="BE73" s="49">
        <v>53</v>
      </c>
    </row>
    <row r="74" spans="3:57" x14ac:dyDescent="0.25">
      <c r="C74" s="50" t="s">
        <v>17</v>
      </c>
      <c r="D74" s="15">
        <f>$E$3*$E$4*(1+E71)</f>
        <v>49846432045.371346</v>
      </c>
      <c r="E74" s="15">
        <f>$E$7*$E$4 + E$13 * $E$9/1000</f>
        <v>646000000</v>
      </c>
      <c r="F74" s="15">
        <f t="shared" ref="F74:BE74" si="10">$E$7*$E$4 + F$13 * $E$9/1000</f>
        <v>646000000</v>
      </c>
      <c r="G74" s="15">
        <f t="shared" si="10"/>
        <v>646000000</v>
      </c>
      <c r="H74" s="15">
        <f t="shared" si="10"/>
        <v>646000000</v>
      </c>
      <c r="I74" s="15">
        <f t="shared" si="10"/>
        <v>646000000</v>
      </c>
      <c r="J74" s="15">
        <f t="shared" si="10"/>
        <v>646000000</v>
      </c>
      <c r="K74" s="15">
        <f t="shared" si="10"/>
        <v>646000000</v>
      </c>
      <c r="L74" s="15">
        <f t="shared" si="10"/>
        <v>646000000</v>
      </c>
      <c r="M74" s="15">
        <f t="shared" si="10"/>
        <v>646000000</v>
      </c>
      <c r="N74" s="15">
        <f t="shared" si="10"/>
        <v>646000000</v>
      </c>
      <c r="O74" s="15">
        <f t="shared" si="10"/>
        <v>646000000</v>
      </c>
      <c r="P74" s="15">
        <f t="shared" si="10"/>
        <v>646000000</v>
      </c>
      <c r="Q74" s="15">
        <f t="shared" si="10"/>
        <v>646000000</v>
      </c>
      <c r="R74" s="15">
        <f t="shared" si="10"/>
        <v>646000000</v>
      </c>
      <c r="S74" s="15">
        <f t="shared" si="10"/>
        <v>646000000</v>
      </c>
      <c r="T74" s="15">
        <f t="shared" si="10"/>
        <v>646000000</v>
      </c>
      <c r="U74" s="15">
        <f t="shared" si="10"/>
        <v>646000000</v>
      </c>
      <c r="V74" s="15">
        <f t="shared" si="10"/>
        <v>646000000</v>
      </c>
      <c r="W74" s="15">
        <f t="shared" si="10"/>
        <v>646000000</v>
      </c>
      <c r="X74" s="15">
        <f t="shared" si="10"/>
        <v>646000000</v>
      </c>
      <c r="Y74" s="15">
        <f t="shared" si="10"/>
        <v>646000000</v>
      </c>
      <c r="Z74" s="15">
        <f t="shared" si="10"/>
        <v>646000000</v>
      </c>
      <c r="AA74" s="15">
        <f t="shared" si="10"/>
        <v>646000000</v>
      </c>
      <c r="AB74" s="15">
        <f t="shared" si="10"/>
        <v>646000000</v>
      </c>
      <c r="AC74" s="15">
        <f t="shared" si="10"/>
        <v>646000000</v>
      </c>
      <c r="AD74" s="15">
        <f t="shared" si="10"/>
        <v>646000000</v>
      </c>
      <c r="AE74" s="15">
        <f t="shared" si="10"/>
        <v>646000000</v>
      </c>
      <c r="AF74" s="15">
        <f t="shared" si="10"/>
        <v>646000000</v>
      </c>
      <c r="AG74" s="15">
        <f t="shared" si="10"/>
        <v>646000000</v>
      </c>
      <c r="AH74" s="15">
        <f t="shared" si="10"/>
        <v>646000000</v>
      </c>
      <c r="AI74" s="15">
        <f t="shared" si="10"/>
        <v>646000000</v>
      </c>
      <c r="AJ74" s="15">
        <f t="shared" si="10"/>
        <v>646000000</v>
      </c>
      <c r="AK74" s="15">
        <f t="shared" si="10"/>
        <v>646000000</v>
      </c>
      <c r="AL74" s="15">
        <f t="shared" si="10"/>
        <v>646000000</v>
      </c>
      <c r="AM74" s="15">
        <f t="shared" si="10"/>
        <v>646000000</v>
      </c>
      <c r="AN74" s="15">
        <f t="shared" si="10"/>
        <v>646000000</v>
      </c>
      <c r="AO74" s="15">
        <f t="shared" si="10"/>
        <v>646000000</v>
      </c>
      <c r="AP74" s="15">
        <f t="shared" si="10"/>
        <v>646000000</v>
      </c>
      <c r="AQ74" s="15">
        <f t="shared" si="10"/>
        <v>646000000</v>
      </c>
      <c r="AR74" s="15">
        <f t="shared" si="10"/>
        <v>646000000</v>
      </c>
      <c r="AS74" s="15">
        <f t="shared" si="10"/>
        <v>646000000</v>
      </c>
      <c r="AT74" s="15">
        <f t="shared" si="10"/>
        <v>646000000</v>
      </c>
      <c r="AU74" s="15">
        <f t="shared" si="10"/>
        <v>646000000</v>
      </c>
      <c r="AV74" s="15">
        <f t="shared" si="10"/>
        <v>646000000</v>
      </c>
      <c r="AW74" s="15">
        <f t="shared" si="10"/>
        <v>646000000</v>
      </c>
      <c r="AX74" s="15">
        <f t="shared" si="10"/>
        <v>646000000</v>
      </c>
      <c r="AY74" s="15">
        <f t="shared" si="10"/>
        <v>646000000</v>
      </c>
      <c r="AZ74" s="15">
        <f t="shared" si="10"/>
        <v>646000000</v>
      </c>
      <c r="BA74" s="15">
        <f t="shared" si="10"/>
        <v>646000000</v>
      </c>
      <c r="BB74" s="15">
        <f t="shared" si="10"/>
        <v>646000000</v>
      </c>
      <c r="BC74" s="15">
        <f t="shared" si="10"/>
        <v>646000000</v>
      </c>
      <c r="BD74" s="15">
        <f t="shared" si="10"/>
        <v>646000000</v>
      </c>
      <c r="BE74" s="58">
        <f t="shared" si="10"/>
        <v>646000000</v>
      </c>
    </row>
    <row r="75" spans="3:57" x14ac:dyDescent="0.25">
      <c r="C75" s="50" t="s">
        <v>18</v>
      </c>
      <c r="D75" s="15">
        <f>D74/(1+$E$6)^D73</f>
        <v>49846432045.371346</v>
      </c>
      <c r="E75" s="15">
        <f>E74/(1+$E$6)^E73</f>
        <v>610512104.28305399</v>
      </c>
      <c r="F75" s="15">
        <f t="shared" ref="F75:BE75" si="11">F74/(1+$E$6)^F73</f>
        <v>576973729.83919895</v>
      </c>
      <c r="G75" s="15">
        <f t="shared" si="11"/>
        <v>545277780.06218517</v>
      </c>
      <c r="H75" s="15">
        <f t="shared" si="11"/>
        <v>515323041.67888069</v>
      </c>
      <c r="I75" s="15">
        <f t="shared" si="11"/>
        <v>487013861.54940772</v>
      </c>
      <c r="J75" s="15">
        <f t="shared" si="11"/>
        <v>460259841.22220552</v>
      </c>
      <c r="K75" s="15">
        <f t="shared" si="11"/>
        <v>434975548.26865792</v>
      </c>
      <c r="L75" s="15">
        <f t="shared" si="11"/>
        <v>411080243.4755007</v>
      </c>
      <c r="M75" s="15">
        <f t="shared" si="11"/>
        <v>388497623.02386701</v>
      </c>
      <c r="N75" s="15">
        <f t="shared" si="11"/>
        <v>367155574.8316806</v>
      </c>
      <c r="O75" s="15">
        <f t="shared" si="11"/>
        <v>346985948.28133684</v>
      </c>
      <c r="P75" s="15">
        <f t="shared" si="11"/>
        <v>327924336.59735274</v>
      </c>
      <c r="Q75" s="15">
        <f t="shared" si="11"/>
        <v>309909871.17906237</v>
      </c>
      <c r="R75" s="15">
        <f t="shared" si="11"/>
        <v>292885027.23160917</v>
      </c>
      <c r="S75" s="15">
        <f t="shared" si="11"/>
        <v>276795440.07456547</v>
      </c>
      <c r="T75" s="15">
        <f t="shared" si="11"/>
        <v>261589731.54160511</v>
      </c>
      <c r="U75" s="15">
        <f t="shared" si="11"/>
        <v>247219345.91688004</v>
      </c>
      <c r="V75" s="15">
        <f t="shared" si="11"/>
        <v>233638394.88420227</v>
      </c>
      <c r="W75" s="15">
        <f t="shared" si="11"/>
        <v>220803510.99391553</v>
      </c>
      <c r="X75" s="15">
        <f t="shared" si="11"/>
        <v>208673709.17953837</v>
      </c>
      <c r="Y75" s="15">
        <f t="shared" si="11"/>
        <v>197210255.88196597</v>
      </c>
      <c r="Z75" s="15">
        <f t="shared" si="11"/>
        <v>186376545.36331043</v>
      </c>
      <c r="AA75" s="15">
        <f t="shared" si="11"/>
        <v>176137982.81541908</v>
      </c>
      <c r="AB75" s="15">
        <f t="shared" si="11"/>
        <v>166461873.88980481</v>
      </c>
      <c r="AC75" s="15">
        <f t="shared" si="11"/>
        <v>157317320.29623079</v>
      </c>
      <c r="AD75" s="15">
        <f t="shared" si="11"/>
        <v>148675121.13656819</v>
      </c>
      <c r="AE75" s="15">
        <f t="shared" si="11"/>
        <v>140507679.65886095</v>
      </c>
      <c r="AF75" s="15">
        <f t="shared" si="11"/>
        <v>132788915.13383973</v>
      </c>
      <c r="AG75" s="15">
        <f t="shared" si="11"/>
        <v>125494179.57248352</v>
      </c>
      <c r="AH75" s="15">
        <f t="shared" si="11"/>
        <v>118600179.01868786</v>
      </c>
      <c r="AI75" s="15">
        <f t="shared" si="11"/>
        <v>112084899.16570595</v>
      </c>
      <c r="AJ75" s="15">
        <f t="shared" si="11"/>
        <v>105927535.05883753</v>
      </c>
      <c r="AK75" s="15">
        <f t="shared" si="11"/>
        <v>100108424.65988836</v>
      </c>
      <c r="AL75" s="15">
        <f t="shared" si="11"/>
        <v>94608986.061253861</v>
      </c>
      <c r="AM75" s="15">
        <f t="shared" si="11"/>
        <v>89411658.149136573</v>
      </c>
      <c r="AN75" s="15">
        <f t="shared" si="11"/>
        <v>84499844.526418626</v>
      </c>
      <c r="AO75" s="15">
        <f t="shared" si="11"/>
        <v>79857860.516121879</v>
      </c>
      <c r="AP75" s="15">
        <f t="shared" si="11"/>
        <v>75470883.076223165</v>
      </c>
      <c r="AQ75" s="15">
        <f t="shared" si="11"/>
        <v>71324903.465890616</v>
      </c>
      <c r="AR75" s="15">
        <f t="shared" si="11"/>
        <v>67406682.51199159</v>
      </c>
      <c r="AS75" s="15">
        <f t="shared" si="11"/>
        <v>63703708.33302743</v>
      </c>
      <c r="AT75" s="15">
        <f t="shared" si="11"/>
        <v>60204156.38549611</v>
      </c>
      <c r="AU75" s="15">
        <f t="shared" si="11"/>
        <v>56896851.705101073</v>
      </c>
      <c r="AV75" s="15">
        <f t="shared" si="11"/>
        <v>53771233.222232386</v>
      </c>
      <c r="AW75" s="15">
        <f t="shared" si="11"/>
        <v>50817320.037770823</v>
      </c>
      <c r="AX75" s="15">
        <f t="shared" si="11"/>
        <v>48025679.551524557</v>
      </c>
      <c r="AY75" s="15">
        <f t="shared" si="11"/>
        <v>45387397.341524608</v>
      </c>
      <c r="AZ75" s="15">
        <f t="shared" si="11"/>
        <v>42894048.697995782</v>
      </c>
      <c r="BA75" s="15">
        <f t="shared" si="11"/>
        <v>40537671.721104018</v>
      </c>
      <c r="BB75" s="15">
        <f t="shared" si="11"/>
        <v>38310741.896574095</v>
      </c>
      <c r="BC75" s="15">
        <f t="shared" si="11"/>
        <v>36206148.067991346</v>
      </c>
      <c r="BD75" s="15">
        <f t="shared" si="11"/>
        <v>34217169.729060709</v>
      </c>
      <c r="BE75" s="58">
        <f t="shared" si="11"/>
        <v>32337455.563311558</v>
      </c>
    </row>
    <row r="76" spans="3:57" ht="15.75" thickBot="1" x14ac:dyDescent="0.3">
      <c r="C76" s="52" t="s">
        <v>19</v>
      </c>
      <c r="D76" s="53">
        <f ca="1">SUM($D75:OFFSET($D75, 0, $E$10))</f>
        <v>59421638265.348022</v>
      </c>
      <c r="E76" s="54" t="s">
        <v>20</v>
      </c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7"/>
    </row>
    <row r="77" spans="3:57" x14ac:dyDescent="0.25">
      <c r="C77" s="1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3:57" x14ac:dyDescent="0.25">
      <c r="C78" s="1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3:57" x14ac:dyDescent="0.25">
      <c r="C79" s="16" t="s">
        <v>21</v>
      </c>
      <c r="D79" s="18">
        <f ca="1">$D76/$D$15*1000</f>
        <v>105.49828664821953</v>
      </c>
      <c r="E79" s="18" t="s">
        <v>22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</sheetData>
  <mergeCells count="5">
    <mergeCell ref="C1:E1"/>
    <mergeCell ref="C27:E27"/>
    <mergeCell ref="C41:E41"/>
    <mergeCell ref="C55:E55"/>
    <mergeCell ref="C69:E6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A371-8DAF-4F99-AEDF-3A075EC1268C}">
  <sheetPr>
    <tabColor rgb="FF00B050"/>
  </sheetPr>
  <dimension ref="C1:BQ66"/>
  <sheetViews>
    <sheetView workbookViewId="0">
      <selection activeCell="C32" sqref="C32"/>
    </sheetView>
  </sheetViews>
  <sheetFormatPr defaultRowHeight="15" x14ac:dyDescent="0.25"/>
  <cols>
    <col min="3" max="3" width="31.140625" bestFit="1" customWidth="1"/>
    <col min="4" max="4" width="15" customWidth="1"/>
    <col min="5" max="5" width="15.140625" bestFit="1" customWidth="1"/>
    <col min="6" max="6" width="15" bestFit="1" customWidth="1"/>
    <col min="8" max="8" width="2.85546875" customWidth="1"/>
    <col min="9" max="9" width="3.28515625" customWidth="1"/>
    <col min="10" max="47" width="8.7109375" hidden="1" customWidth="1"/>
    <col min="48" max="48" width="1.85546875" customWidth="1"/>
    <col min="53" max="53" width="19.28515625" bestFit="1" customWidth="1"/>
    <col min="54" max="54" width="15" bestFit="1" customWidth="1"/>
  </cols>
  <sheetData>
    <row r="1" spans="3:54" ht="15.75" x14ac:dyDescent="0.25">
      <c r="C1" s="97" t="s">
        <v>38</v>
      </c>
      <c r="D1" s="97"/>
      <c r="E1" s="97"/>
      <c r="F1" s="1"/>
      <c r="G1" s="1"/>
    </row>
    <row r="2" spans="3:54" x14ac:dyDescent="0.25">
      <c r="C2" s="3"/>
      <c r="D2" s="4" t="s">
        <v>7</v>
      </c>
      <c r="E2" s="4" t="s">
        <v>8</v>
      </c>
      <c r="F2" s="5"/>
      <c r="G2" s="5"/>
      <c r="BA2" t="s">
        <v>173</v>
      </c>
      <c r="BB2" t="s">
        <v>37</v>
      </c>
    </row>
    <row r="3" spans="3:54" x14ac:dyDescent="0.25">
      <c r="C3" s="6" t="s">
        <v>31</v>
      </c>
      <c r="D3" s="7" t="s">
        <v>34</v>
      </c>
      <c r="E3" s="20">
        <f>Inputs!B33*(1+Inputs!$B$30)</f>
        <v>1203.2645690488609</v>
      </c>
      <c r="F3" s="1"/>
      <c r="G3" s="1"/>
      <c r="BA3" t="s">
        <v>174</v>
      </c>
      <c r="BB3" s="71">
        <f ca="1">$D$27</f>
        <v>14.558037123312342</v>
      </c>
    </row>
    <row r="4" spans="3:54" ht="15.75" x14ac:dyDescent="0.3">
      <c r="C4" s="6" t="s">
        <v>23</v>
      </c>
      <c r="D4" s="7" t="s">
        <v>26</v>
      </c>
      <c r="E4" s="23">
        <v>38000</v>
      </c>
      <c r="F4" s="1"/>
      <c r="G4" s="1"/>
      <c r="BA4" t="s">
        <v>39</v>
      </c>
      <c r="BB4" s="71">
        <f ca="1">$D$40</f>
        <v>4.2947522135153555</v>
      </c>
    </row>
    <row r="5" spans="3:54" x14ac:dyDescent="0.25">
      <c r="C5" s="6" t="s">
        <v>24</v>
      </c>
      <c r="D5" s="7" t="s">
        <v>25</v>
      </c>
      <c r="E5" s="7">
        <f>Inputs!B7</f>
        <v>1000</v>
      </c>
      <c r="F5" s="1"/>
      <c r="G5" s="9"/>
      <c r="BA5" t="s">
        <v>42</v>
      </c>
      <c r="BB5" s="71">
        <f ca="1">$D$53</f>
        <v>2.1034831989151463</v>
      </c>
    </row>
    <row r="6" spans="3:54" x14ac:dyDescent="0.25">
      <c r="C6" s="6" t="s">
        <v>170</v>
      </c>
      <c r="D6" s="7" t="s">
        <v>6</v>
      </c>
      <c r="E6" s="22">
        <f>Inputs!$B$5</f>
        <v>5.8128078817734075E-2</v>
      </c>
      <c r="F6" s="1"/>
      <c r="G6" s="1"/>
      <c r="BA6" t="s">
        <v>46</v>
      </c>
      <c r="BB6" s="69">
        <f ca="1">$D$66</f>
        <v>2.4293978086221575</v>
      </c>
    </row>
    <row r="7" spans="3:54" x14ac:dyDescent="0.25">
      <c r="C7" s="6" t="s">
        <v>27</v>
      </c>
      <c r="D7" s="7" t="s">
        <v>6</v>
      </c>
      <c r="E7" s="10">
        <v>0.02</v>
      </c>
      <c r="F7" s="1"/>
      <c r="G7" s="1"/>
    </row>
    <row r="8" spans="3:54" x14ac:dyDescent="0.25">
      <c r="C8" s="6" t="s">
        <v>33</v>
      </c>
      <c r="D8" s="7" t="s">
        <v>171</v>
      </c>
      <c r="E8" s="70">
        <v>3</v>
      </c>
      <c r="F8" s="1"/>
      <c r="G8" s="1"/>
    </row>
    <row r="9" spans="3:54" x14ac:dyDescent="0.25">
      <c r="C9" s="6" t="s">
        <v>33</v>
      </c>
      <c r="D9" s="7" t="s">
        <v>35</v>
      </c>
      <c r="E9" s="8">
        <f>E4*24*E8</f>
        <v>2736000</v>
      </c>
      <c r="F9" s="74">
        <f>E9/(E4*E5)</f>
        <v>7.1999999999999995E-2</v>
      </c>
      <c r="G9" s="75" t="s">
        <v>187</v>
      </c>
    </row>
    <row r="10" spans="3:54" x14ac:dyDescent="0.25">
      <c r="C10" s="6" t="s">
        <v>32</v>
      </c>
      <c r="D10" s="7" t="s">
        <v>6</v>
      </c>
      <c r="E10" s="22">
        <v>0.63</v>
      </c>
      <c r="F10" s="1"/>
      <c r="G10" s="1"/>
    </row>
    <row r="11" spans="3:54" x14ac:dyDescent="0.25">
      <c r="C11" s="6" t="s">
        <v>33</v>
      </c>
      <c r="D11" s="7" t="s">
        <v>36</v>
      </c>
      <c r="E11" s="8">
        <f>E9/E10</f>
        <v>4342857.1428571427</v>
      </c>
      <c r="F11" s="1"/>
      <c r="G11" s="78"/>
    </row>
    <row r="12" spans="3:54" x14ac:dyDescent="0.25">
      <c r="C12" s="6" t="s">
        <v>29</v>
      </c>
      <c r="D12" s="7" t="s">
        <v>30</v>
      </c>
      <c r="E12" s="8">
        <v>20</v>
      </c>
      <c r="F12" s="1"/>
      <c r="G12" s="1"/>
    </row>
    <row r="13" spans="3:54" x14ac:dyDescent="0.25">
      <c r="C13" s="6"/>
      <c r="D13" s="7"/>
      <c r="E13" s="8"/>
      <c r="F13" s="1"/>
      <c r="G13" s="1"/>
    </row>
    <row r="14" spans="3:54" x14ac:dyDescent="0.25">
      <c r="C14" s="1"/>
      <c r="D14" s="2"/>
      <c r="E14" s="21"/>
      <c r="F14" s="1"/>
      <c r="G14" s="1"/>
    </row>
    <row r="15" spans="3:54" x14ac:dyDescent="0.25">
      <c r="C15" s="11"/>
      <c r="D15" s="11"/>
      <c r="E15" s="12"/>
      <c r="F15" s="11"/>
      <c r="G15" s="11"/>
    </row>
    <row r="16" spans="3:54" x14ac:dyDescent="0.25">
      <c r="C16" s="3" t="s">
        <v>12</v>
      </c>
      <c r="D16" s="7">
        <v>0</v>
      </c>
      <c r="E16" s="7">
        <v>1</v>
      </c>
      <c r="F16" s="7">
        <v>2</v>
      </c>
      <c r="G16" s="7">
        <v>3</v>
      </c>
      <c r="H16" s="7">
        <v>4</v>
      </c>
      <c r="I16" s="7">
        <v>5</v>
      </c>
      <c r="J16" s="7">
        <v>6</v>
      </c>
      <c r="K16" s="7">
        <v>7</v>
      </c>
      <c r="L16" s="7">
        <v>8</v>
      </c>
      <c r="M16" s="7">
        <v>9</v>
      </c>
      <c r="N16" s="7">
        <v>10</v>
      </c>
      <c r="O16" s="7">
        <v>11</v>
      </c>
      <c r="P16" s="7">
        <v>12</v>
      </c>
      <c r="Q16" s="7">
        <v>13</v>
      </c>
      <c r="R16" s="7">
        <v>14</v>
      </c>
      <c r="S16" s="7">
        <v>15</v>
      </c>
      <c r="T16" s="7">
        <v>16</v>
      </c>
      <c r="U16" s="7">
        <v>17</v>
      </c>
      <c r="V16" s="7">
        <v>18</v>
      </c>
      <c r="W16" s="7">
        <v>19</v>
      </c>
      <c r="X16" s="7">
        <v>20</v>
      </c>
      <c r="Y16" s="7">
        <v>21</v>
      </c>
      <c r="Z16" s="7">
        <v>22</v>
      </c>
      <c r="AA16" s="7">
        <v>23</v>
      </c>
      <c r="AB16" s="7">
        <v>24</v>
      </c>
      <c r="AC16" s="7">
        <v>25</v>
      </c>
      <c r="AD16" s="7">
        <v>26</v>
      </c>
      <c r="AE16" s="7">
        <v>27</v>
      </c>
      <c r="AF16" s="7">
        <v>28</v>
      </c>
      <c r="AG16" s="7">
        <v>29</v>
      </c>
      <c r="AH16" s="7">
        <v>30</v>
      </c>
      <c r="AI16" s="7">
        <v>31</v>
      </c>
      <c r="AJ16" s="7">
        <v>32</v>
      </c>
      <c r="AK16" s="7">
        <v>33</v>
      </c>
      <c r="AL16" s="7">
        <v>34</v>
      </c>
      <c r="AM16" s="7">
        <v>35</v>
      </c>
      <c r="AN16" s="7">
        <v>36</v>
      </c>
      <c r="AO16" s="7">
        <v>37</v>
      </c>
      <c r="AP16" s="7">
        <v>38</v>
      </c>
      <c r="AQ16" s="7">
        <v>39</v>
      </c>
      <c r="AR16" s="7">
        <v>40</v>
      </c>
      <c r="AS16" s="7">
        <v>41</v>
      </c>
      <c r="AT16" s="7">
        <v>42</v>
      </c>
      <c r="AU16" s="7">
        <v>43</v>
      </c>
      <c r="AV16" s="7">
        <v>44</v>
      </c>
    </row>
    <row r="17" spans="3:69" x14ac:dyDescent="0.25">
      <c r="C17" s="13" t="s">
        <v>13</v>
      </c>
      <c r="D17" s="14"/>
      <c r="E17" s="19">
        <f>$E$4*$E$5</f>
        <v>38000000</v>
      </c>
      <c r="F17" s="19">
        <f t="shared" ref="F17:AV17" si="0">$E$4*$E$5</f>
        <v>38000000</v>
      </c>
      <c r="G17" s="19">
        <f t="shared" si="0"/>
        <v>38000000</v>
      </c>
      <c r="H17" s="19">
        <f t="shared" si="0"/>
        <v>38000000</v>
      </c>
      <c r="I17" s="19">
        <f t="shared" si="0"/>
        <v>38000000</v>
      </c>
      <c r="J17" s="19">
        <f t="shared" si="0"/>
        <v>38000000</v>
      </c>
      <c r="K17" s="19">
        <f t="shared" si="0"/>
        <v>38000000</v>
      </c>
      <c r="L17" s="19">
        <f t="shared" si="0"/>
        <v>38000000</v>
      </c>
      <c r="M17" s="19">
        <f t="shared" si="0"/>
        <v>38000000</v>
      </c>
      <c r="N17" s="19">
        <f t="shared" si="0"/>
        <v>38000000</v>
      </c>
      <c r="O17" s="19">
        <f t="shared" si="0"/>
        <v>38000000</v>
      </c>
      <c r="P17" s="19">
        <f t="shared" si="0"/>
        <v>38000000</v>
      </c>
      <c r="Q17" s="19">
        <f t="shared" si="0"/>
        <v>38000000</v>
      </c>
      <c r="R17" s="19">
        <f t="shared" si="0"/>
        <v>38000000</v>
      </c>
      <c r="S17" s="19">
        <f t="shared" si="0"/>
        <v>38000000</v>
      </c>
      <c r="T17" s="19">
        <f t="shared" si="0"/>
        <v>38000000</v>
      </c>
      <c r="U17" s="19">
        <f t="shared" si="0"/>
        <v>38000000</v>
      </c>
      <c r="V17" s="19">
        <f t="shared" si="0"/>
        <v>38000000</v>
      </c>
      <c r="W17" s="19">
        <f t="shared" si="0"/>
        <v>38000000</v>
      </c>
      <c r="X17" s="19">
        <f t="shared" si="0"/>
        <v>38000000</v>
      </c>
      <c r="Y17" s="19">
        <f t="shared" si="0"/>
        <v>38000000</v>
      </c>
      <c r="Z17" s="19">
        <f t="shared" si="0"/>
        <v>38000000</v>
      </c>
      <c r="AA17" s="19">
        <f t="shared" si="0"/>
        <v>38000000</v>
      </c>
      <c r="AB17" s="19">
        <f t="shared" si="0"/>
        <v>38000000</v>
      </c>
      <c r="AC17" s="19">
        <f t="shared" si="0"/>
        <v>38000000</v>
      </c>
      <c r="AD17" s="19">
        <f t="shared" si="0"/>
        <v>38000000</v>
      </c>
      <c r="AE17" s="19">
        <f t="shared" si="0"/>
        <v>38000000</v>
      </c>
      <c r="AF17" s="19">
        <f t="shared" si="0"/>
        <v>38000000</v>
      </c>
      <c r="AG17" s="19">
        <f t="shared" si="0"/>
        <v>38000000</v>
      </c>
      <c r="AH17" s="19">
        <f t="shared" si="0"/>
        <v>38000000</v>
      </c>
      <c r="AI17" s="19">
        <f t="shared" si="0"/>
        <v>38000000</v>
      </c>
      <c r="AJ17" s="19">
        <f t="shared" si="0"/>
        <v>38000000</v>
      </c>
      <c r="AK17" s="19">
        <f t="shared" si="0"/>
        <v>38000000</v>
      </c>
      <c r="AL17" s="19">
        <f t="shared" si="0"/>
        <v>38000000</v>
      </c>
      <c r="AM17" s="19">
        <f t="shared" si="0"/>
        <v>38000000</v>
      </c>
      <c r="AN17" s="19">
        <f t="shared" si="0"/>
        <v>38000000</v>
      </c>
      <c r="AO17" s="19">
        <f t="shared" si="0"/>
        <v>38000000</v>
      </c>
      <c r="AP17" s="19">
        <f t="shared" si="0"/>
        <v>38000000</v>
      </c>
      <c r="AQ17" s="19">
        <f t="shared" si="0"/>
        <v>38000000</v>
      </c>
      <c r="AR17" s="19">
        <f t="shared" si="0"/>
        <v>38000000</v>
      </c>
      <c r="AS17" s="19">
        <f t="shared" si="0"/>
        <v>38000000</v>
      </c>
      <c r="AT17" s="19">
        <f t="shared" si="0"/>
        <v>38000000</v>
      </c>
      <c r="AU17" s="19">
        <f t="shared" si="0"/>
        <v>38000000</v>
      </c>
      <c r="AV17" s="19">
        <f t="shared" si="0"/>
        <v>38000000</v>
      </c>
    </row>
    <row r="18" spans="3:69" x14ac:dyDescent="0.25">
      <c r="C18" s="13" t="s">
        <v>14</v>
      </c>
      <c r="D18" s="15"/>
      <c r="E18" s="19">
        <f>E17/(1+$E$6)^E16</f>
        <v>35912476.722532585</v>
      </c>
      <c r="F18" s="19">
        <f t="shared" ref="F18:AV18" si="1">F17/(1+$E$6)^F16</f>
        <v>33939631.167011701</v>
      </c>
      <c r="G18" s="19">
        <f t="shared" si="1"/>
        <v>32075163.533069715</v>
      </c>
      <c r="H18" s="19">
        <f t="shared" si="1"/>
        <v>30313120.098757688</v>
      </c>
      <c r="I18" s="19">
        <f t="shared" si="1"/>
        <v>28647874.208788689</v>
      </c>
      <c r="J18" s="19">
        <f t="shared" si="1"/>
        <v>27074108.307188559</v>
      </c>
      <c r="K18" s="19">
        <f t="shared" si="1"/>
        <v>25586796.956979878</v>
      </c>
      <c r="L18" s="19">
        <f t="shared" si="1"/>
        <v>24181190.792676512</v>
      </c>
      <c r="M18" s="19">
        <f t="shared" si="1"/>
        <v>22852801.354345117</v>
      </c>
      <c r="N18" s="19">
        <f t="shared" si="1"/>
        <v>21597386.754804738</v>
      </c>
      <c r="O18" s="19">
        <f t="shared" si="1"/>
        <v>20410938.134196285</v>
      </c>
      <c r="P18" s="19">
        <f t="shared" si="1"/>
        <v>19289666.85866781</v>
      </c>
      <c r="Q18" s="19">
        <f t="shared" si="1"/>
        <v>18229992.422297787</v>
      </c>
      <c r="R18" s="19">
        <f t="shared" si="1"/>
        <v>17228531.013624068</v>
      </c>
      <c r="S18" s="19">
        <f t="shared" si="1"/>
        <v>16282084.710268559</v>
      </c>
      <c r="T18" s="19">
        <f t="shared" si="1"/>
        <v>15387631.267153243</v>
      </c>
      <c r="U18" s="19">
        <f t="shared" si="1"/>
        <v>14542314.465698827</v>
      </c>
      <c r="V18" s="19">
        <f t="shared" si="1"/>
        <v>13743434.993188368</v>
      </c>
      <c r="W18" s="19">
        <f t="shared" si="1"/>
        <v>12988441.823171502</v>
      </c>
      <c r="X18" s="19">
        <f t="shared" si="1"/>
        <v>12274924.06938461</v>
      </c>
      <c r="Y18" s="19">
        <f t="shared" si="1"/>
        <v>11600603.287174469</v>
      </c>
      <c r="Z18" s="19">
        <f t="shared" si="1"/>
        <v>10963326.19784179</v>
      </c>
      <c r="AA18" s="19">
        <f t="shared" si="1"/>
        <v>10361057.81267171</v>
      </c>
      <c r="AB18" s="19">
        <f t="shared" si="1"/>
        <v>9791874.9346944001</v>
      </c>
      <c r="AC18" s="19">
        <f t="shared" si="1"/>
        <v>9253960.0174253397</v>
      </c>
      <c r="AD18" s="19">
        <f t="shared" si="1"/>
        <v>8745595.3609745987</v>
      </c>
      <c r="AE18" s="19">
        <f t="shared" si="1"/>
        <v>8265157.6269918205</v>
      </c>
      <c r="AF18" s="19">
        <f t="shared" si="1"/>
        <v>7811112.6549317492</v>
      </c>
      <c r="AG18" s="19">
        <f t="shared" si="1"/>
        <v>7382010.5630872659</v>
      </c>
      <c r="AH18" s="19">
        <f t="shared" si="1"/>
        <v>6976481.1187463449</v>
      </c>
      <c r="AI18" s="19">
        <f t="shared" si="1"/>
        <v>6593229.3626885852</v>
      </c>
      <c r="AJ18" s="19">
        <f t="shared" si="1"/>
        <v>6231031.4740492664</v>
      </c>
      <c r="AK18" s="19">
        <f t="shared" si="1"/>
        <v>5888730.8623463735</v>
      </c>
      <c r="AL18" s="19">
        <f t="shared" si="1"/>
        <v>5565234.4741914039</v>
      </c>
      <c r="AM18" s="19">
        <f t="shared" si="1"/>
        <v>5259509.3028903864</v>
      </c>
      <c r="AN18" s="19">
        <f t="shared" si="1"/>
        <v>4970579.089789331</v>
      </c>
      <c r="AO18" s="19">
        <f t="shared" si="1"/>
        <v>4697521.2068306981</v>
      </c>
      <c r="AP18" s="19">
        <f t="shared" si="1"/>
        <v>4439463.7103660693</v>
      </c>
      <c r="AQ18" s="19">
        <f t="shared" si="1"/>
        <v>4195582.5568170948</v>
      </c>
      <c r="AR18" s="19">
        <f t="shared" si="1"/>
        <v>3965098.9712936231</v>
      </c>
      <c r="AS18" s="19">
        <f t="shared" si="1"/>
        <v>3747276.9607663197</v>
      </c>
      <c r="AT18" s="19">
        <f t="shared" si="1"/>
        <v>3541420.9638527124</v>
      </c>
      <c r="AU18" s="19">
        <f t="shared" si="1"/>
        <v>3346873.6297118277</v>
      </c>
      <c r="AV18" s="19">
        <f t="shared" si="1"/>
        <v>3163013.7189548463</v>
      </c>
    </row>
    <row r="19" spans="3:69" x14ac:dyDescent="0.25">
      <c r="C19" s="16" t="s">
        <v>15</v>
      </c>
      <c r="D19" s="17">
        <f ca="1">SUM($D$18:OFFSET($D$18, 0, $E$12))</f>
        <v>442558509.65380627</v>
      </c>
      <c r="E19" s="12" t="s">
        <v>172</v>
      </c>
      <c r="F19" s="11"/>
      <c r="G19" s="11"/>
      <c r="BP19" t="s">
        <v>24</v>
      </c>
      <c r="BQ19" t="s">
        <v>37</v>
      </c>
    </row>
    <row r="20" spans="3:69" x14ac:dyDescent="0.25">
      <c r="C20" s="11"/>
      <c r="D20" s="12"/>
      <c r="E20" s="12"/>
      <c r="F20" s="11"/>
      <c r="G20" s="11"/>
    </row>
    <row r="21" spans="3:69" x14ac:dyDescent="0.25">
      <c r="C21" s="3" t="s">
        <v>12</v>
      </c>
      <c r="D21" s="7">
        <v>0</v>
      </c>
      <c r="E21" s="7">
        <v>1</v>
      </c>
      <c r="F21" s="7">
        <v>2</v>
      </c>
      <c r="G21" s="7">
        <v>3</v>
      </c>
      <c r="H21" s="7">
        <v>4</v>
      </c>
      <c r="I21" s="7">
        <v>5</v>
      </c>
      <c r="J21" s="7">
        <v>6</v>
      </c>
      <c r="K21" s="7">
        <v>7</v>
      </c>
      <c r="L21" s="7">
        <v>8</v>
      </c>
      <c r="M21" s="7">
        <v>9</v>
      </c>
      <c r="N21" s="7">
        <v>10</v>
      </c>
      <c r="O21" s="7">
        <v>11</v>
      </c>
      <c r="P21" s="7">
        <v>12</v>
      </c>
      <c r="Q21" s="7">
        <v>13</v>
      </c>
      <c r="R21" s="7">
        <v>14</v>
      </c>
      <c r="S21" s="7">
        <v>15</v>
      </c>
      <c r="T21" s="7">
        <v>16</v>
      </c>
      <c r="U21" s="7">
        <v>17</v>
      </c>
      <c r="V21" s="7">
        <v>18</v>
      </c>
      <c r="W21" s="7">
        <v>19</v>
      </c>
      <c r="X21" s="7">
        <v>20</v>
      </c>
      <c r="Y21" s="7">
        <v>21</v>
      </c>
      <c r="Z21" s="7">
        <v>22</v>
      </c>
      <c r="AA21" s="7">
        <v>23</v>
      </c>
      <c r="AB21" s="7">
        <v>24</v>
      </c>
      <c r="AC21" s="7">
        <v>25</v>
      </c>
      <c r="AD21" s="7">
        <v>26</v>
      </c>
      <c r="AE21" s="7">
        <v>27</v>
      </c>
      <c r="AF21" s="7">
        <v>28</v>
      </c>
      <c r="AG21" s="7">
        <v>29</v>
      </c>
      <c r="AH21" s="7">
        <v>30</v>
      </c>
      <c r="AI21" s="7">
        <v>31</v>
      </c>
      <c r="AJ21" s="7">
        <v>32</v>
      </c>
      <c r="AK21" s="7">
        <v>33</v>
      </c>
      <c r="AL21" s="7">
        <v>34</v>
      </c>
      <c r="AM21" s="7">
        <v>35</v>
      </c>
      <c r="AN21" s="7">
        <v>36</v>
      </c>
      <c r="AO21" s="7">
        <v>37</v>
      </c>
      <c r="AP21" s="7">
        <v>38</v>
      </c>
      <c r="AQ21" s="7">
        <v>39</v>
      </c>
      <c r="AR21" s="7">
        <v>40</v>
      </c>
      <c r="AS21" s="7">
        <v>41</v>
      </c>
      <c r="AT21" s="7">
        <v>42</v>
      </c>
      <c r="AU21" s="7">
        <v>43</v>
      </c>
      <c r="AV21" s="7">
        <v>44</v>
      </c>
      <c r="BP21">
        <v>100</v>
      </c>
      <c r="BQ21">
        <v>36.299999999999997</v>
      </c>
    </row>
    <row r="22" spans="3:69" x14ac:dyDescent="0.25">
      <c r="C22" s="13" t="s">
        <v>17</v>
      </c>
      <c r="D22" s="15">
        <f>E11*E3</f>
        <v>5225606128.4407673</v>
      </c>
      <c r="E22" s="15">
        <f t="shared" ref="E22:AV22" si="2">$D$22*$E$7</f>
        <v>104512122.56881535</v>
      </c>
      <c r="F22" s="15">
        <f t="shared" si="2"/>
        <v>104512122.56881535</v>
      </c>
      <c r="G22" s="15">
        <f t="shared" si="2"/>
        <v>104512122.56881535</v>
      </c>
      <c r="H22" s="15">
        <f t="shared" si="2"/>
        <v>104512122.56881535</v>
      </c>
      <c r="I22" s="15">
        <f t="shared" si="2"/>
        <v>104512122.56881535</v>
      </c>
      <c r="J22" s="15">
        <f t="shared" si="2"/>
        <v>104512122.56881535</v>
      </c>
      <c r="K22" s="15">
        <f t="shared" si="2"/>
        <v>104512122.56881535</v>
      </c>
      <c r="L22" s="15">
        <f t="shared" si="2"/>
        <v>104512122.56881535</v>
      </c>
      <c r="M22" s="15">
        <f t="shared" si="2"/>
        <v>104512122.56881535</v>
      </c>
      <c r="N22" s="15">
        <f t="shared" si="2"/>
        <v>104512122.56881535</v>
      </c>
      <c r="O22" s="15">
        <f t="shared" si="2"/>
        <v>104512122.56881535</v>
      </c>
      <c r="P22" s="15">
        <f t="shared" si="2"/>
        <v>104512122.56881535</v>
      </c>
      <c r="Q22" s="15">
        <f t="shared" si="2"/>
        <v>104512122.56881535</v>
      </c>
      <c r="R22" s="15">
        <f t="shared" si="2"/>
        <v>104512122.56881535</v>
      </c>
      <c r="S22" s="15">
        <f t="shared" si="2"/>
        <v>104512122.56881535</v>
      </c>
      <c r="T22" s="15">
        <f t="shared" si="2"/>
        <v>104512122.56881535</v>
      </c>
      <c r="U22" s="15">
        <f t="shared" si="2"/>
        <v>104512122.56881535</v>
      </c>
      <c r="V22" s="15">
        <f t="shared" si="2"/>
        <v>104512122.56881535</v>
      </c>
      <c r="W22" s="15">
        <f t="shared" si="2"/>
        <v>104512122.56881535</v>
      </c>
      <c r="X22" s="15">
        <f t="shared" si="2"/>
        <v>104512122.56881535</v>
      </c>
      <c r="Y22" s="15">
        <f t="shared" si="2"/>
        <v>104512122.56881535</v>
      </c>
      <c r="Z22" s="15">
        <f t="shared" si="2"/>
        <v>104512122.56881535</v>
      </c>
      <c r="AA22" s="15">
        <f t="shared" si="2"/>
        <v>104512122.56881535</v>
      </c>
      <c r="AB22" s="15">
        <f t="shared" si="2"/>
        <v>104512122.56881535</v>
      </c>
      <c r="AC22" s="15">
        <f t="shared" si="2"/>
        <v>104512122.56881535</v>
      </c>
      <c r="AD22" s="15">
        <f t="shared" si="2"/>
        <v>104512122.56881535</v>
      </c>
      <c r="AE22" s="15">
        <f t="shared" si="2"/>
        <v>104512122.56881535</v>
      </c>
      <c r="AF22" s="15">
        <f t="shared" si="2"/>
        <v>104512122.56881535</v>
      </c>
      <c r="AG22" s="15">
        <f t="shared" si="2"/>
        <v>104512122.56881535</v>
      </c>
      <c r="AH22" s="15">
        <f t="shared" si="2"/>
        <v>104512122.56881535</v>
      </c>
      <c r="AI22" s="15">
        <f t="shared" si="2"/>
        <v>104512122.56881535</v>
      </c>
      <c r="AJ22" s="15">
        <f t="shared" si="2"/>
        <v>104512122.56881535</v>
      </c>
      <c r="AK22" s="15">
        <f t="shared" si="2"/>
        <v>104512122.56881535</v>
      </c>
      <c r="AL22" s="15">
        <f t="shared" si="2"/>
        <v>104512122.56881535</v>
      </c>
      <c r="AM22" s="15">
        <f t="shared" si="2"/>
        <v>104512122.56881535</v>
      </c>
      <c r="AN22" s="15">
        <f t="shared" si="2"/>
        <v>104512122.56881535</v>
      </c>
      <c r="AO22" s="15">
        <f t="shared" si="2"/>
        <v>104512122.56881535</v>
      </c>
      <c r="AP22" s="15">
        <f t="shared" si="2"/>
        <v>104512122.56881535</v>
      </c>
      <c r="AQ22" s="15">
        <f t="shared" si="2"/>
        <v>104512122.56881535</v>
      </c>
      <c r="AR22" s="15">
        <f t="shared" si="2"/>
        <v>104512122.56881535</v>
      </c>
      <c r="AS22" s="15">
        <f t="shared" si="2"/>
        <v>104512122.56881535</v>
      </c>
      <c r="AT22" s="15">
        <f t="shared" si="2"/>
        <v>104512122.56881535</v>
      </c>
      <c r="AU22" s="15">
        <f t="shared" si="2"/>
        <v>104512122.56881535</v>
      </c>
      <c r="AV22" s="15">
        <f t="shared" si="2"/>
        <v>104512122.56881535</v>
      </c>
      <c r="BP22">
        <v>200</v>
      </c>
      <c r="BQ22">
        <v>18.149999999999999</v>
      </c>
    </row>
    <row r="23" spans="3:69" x14ac:dyDescent="0.25">
      <c r="C23" s="13" t="s">
        <v>18</v>
      </c>
      <c r="D23" s="15">
        <f>D22/(1+$E$6)^D21</f>
        <v>5225606128.4407673</v>
      </c>
      <c r="E23" s="15">
        <f>E22/(1+$E$6)^E21</f>
        <v>98770767.604606673</v>
      </c>
      <c r="F23" s="15">
        <f t="shared" ref="F23:AV23" si="3">F22/(1+$E$6)^F21</f>
        <v>93344812.959660858</v>
      </c>
      <c r="G23" s="15">
        <f t="shared" si="3"/>
        <v>88216932.173236281</v>
      </c>
      <c r="H23" s="15">
        <f t="shared" si="3"/>
        <v>83370750.610646933</v>
      </c>
      <c r="I23" s="15">
        <f t="shared" si="3"/>
        <v>78790793.174866512</v>
      </c>
      <c r="J23" s="15">
        <f t="shared" si="3"/>
        <v>74462434.890586123</v>
      </c>
      <c r="K23" s="15">
        <f t="shared" si="3"/>
        <v>70371854.20292823</v>
      </c>
      <c r="L23" s="15">
        <f t="shared" si="3"/>
        <v>66505988.841687284</v>
      </c>
      <c r="M23" s="15">
        <f t="shared" si="3"/>
        <v>62852494.110160694</v>
      </c>
      <c r="N23" s="15">
        <f t="shared" si="3"/>
        <v>59399703.465375319</v>
      </c>
      <c r="O23" s="15">
        <f t="shared" si="3"/>
        <v>56136591.263832353</v>
      </c>
      <c r="P23" s="15">
        <f t="shared" si="3"/>
        <v>53052737.553808033</v>
      </c>
      <c r="Q23" s="15">
        <f t="shared" si="3"/>
        <v>50138294.801783189</v>
      </c>
      <c r="R23" s="15">
        <f t="shared" si="3"/>
        <v>47383956.446750402</v>
      </c>
      <c r="S23" s="15">
        <f t="shared" si="3"/>
        <v>44780927.18198479</v>
      </c>
      <c r="T23" s="15">
        <f t="shared" si="3"/>
        <v>42320894.8693804</v>
      </c>
      <c r="U23" s="15">
        <f t="shared" si="3"/>
        <v>39996003.996667691</v>
      </c>
      <c r="V23" s="15">
        <f t="shared" si="3"/>
        <v>37798830.592753917</v>
      </c>
      <c r="W23" s="15">
        <f t="shared" si="3"/>
        <v>35722358.521084934</v>
      </c>
      <c r="X23" s="15">
        <f t="shared" si="3"/>
        <v>33759957.075327002</v>
      </c>
      <c r="Y23" s="15">
        <f t="shared" si="3"/>
        <v>31905359.805825796</v>
      </c>
      <c r="Z23" s="15">
        <f t="shared" si="3"/>
        <v>30152644.509230144</v>
      </c>
      <c r="AA23" s="15">
        <f t="shared" si="3"/>
        <v>28496214.31738231</v>
      </c>
      <c r="AB23" s="15">
        <f t="shared" si="3"/>
        <v>26930779.825086631</v>
      </c>
      <c r="AC23" s="15">
        <f t="shared" si="3"/>
        <v>25451342.199686151</v>
      </c>
      <c r="AD23" s="15">
        <f t="shared" si="3"/>
        <v>24053177.218511585</v>
      </c>
      <c r="AE23" s="15">
        <f t="shared" si="3"/>
        <v>22731820.183230218</v>
      </c>
      <c r="AF23" s="15">
        <f t="shared" si="3"/>
        <v>21483051.662922412</v>
      </c>
      <c r="AG23" s="15">
        <f t="shared" si="3"/>
        <v>20302884.020359632</v>
      </c>
      <c r="AH23" s="15">
        <f t="shared" si="3"/>
        <v>19187548.678459052</v>
      </c>
      <c r="AI23" s="15">
        <f t="shared" si="3"/>
        <v>18133484.086253203</v>
      </c>
      <c r="AJ23" s="15">
        <f t="shared" si="3"/>
        <v>17137324.345946923</v>
      </c>
      <c r="AK23" s="15">
        <f t="shared" si="3"/>
        <v>16195888.464744998</v>
      </c>
      <c r="AL23" s="15">
        <f t="shared" si="3"/>
        <v>15306170.197128648</v>
      </c>
      <c r="AM23" s="15">
        <f t="shared" si="3"/>
        <v>14465328.445144858</v>
      </c>
      <c r="AN23" s="15">
        <f t="shared" si="3"/>
        <v>13670678.186054032</v>
      </c>
      <c r="AO23" s="15">
        <f t="shared" si="3"/>
        <v>12919681.898365773</v>
      </c>
      <c r="AP23" s="15">
        <f t="shared" si="3"/>
        <v>12209941.458883852</v>
      </c>
      <c r="AQ23" s="15">
        <f t="shared" si="3"/>
        <v>11539190.484885577</v>
      </c>
      <c r="AR23" s="15">
        <f t="shared" si="3"/>
        <v>10905287.096982179</v>
      </c>
      <c r="AS23" s="15">
        <f t="shared" si="3"/>
        <v>10306207.079550195</v>
      </c>
      <c r="AT23" s="15">
        <f t="shared" si="3"/>
        <v>9740037.4168933388</v>
      </c>
      <c r="AU23" s="15">
        <f t="shared" si="3"/>
        <v>9204970.1844941713</v>
      </c>
      <c r="AV23" s="15">
        <f t="shared" si="3"/>
        <v>8699296.7758487724</v>
      </c>
      <c r="BP23">
        <v>300</v>
      </c>
      <c r="BQ23">
        <v>12.1</v>
      </c>
    </row>
    <row r="24" spans="3:69" x14ac:dyDescent="0.25">
      <c r="C24" s="16" t="s">
        <v>19</v>
      </c>
      <c r="D24" s="17">
        <f ca="1">SUM($D$23:OFFSET($D$23, 0, $E$12))</f>
        <v>6442783212.777895</v>
      </c>
      <c r="E24" s="12" t="s">
        <v>20</v>
      </c>
      <c r="F24" s="11"/>
      <c r="G24" s="11"/>
      <c r="BP24">
        <v>400</v>
      </c>
      <c r="BQ24">
        <v>9.07</v>
      </c>
    </row>
    <row r="25" spans="3:69" x14ac:dyDescent="0.25">
      <c r="C25" s="1"/>
      <c r="D25" s="2"/>
      <c r="E25" s="2"/>
      <c r="F25" s="11"/>
      <c r="G25" s="1"/>
      <c r="BP25">
        <v>500</v>
      </c>
      <c r="BQ25">
        <v>7.26</v>
      </c>
    </row>
    <row r="26" spans="3:69" x14ac:dyDescent="0.25">
      <c r="C26" s="1"/>
      <c r="D26" s="2"/>
      <c r="E26" s="2"/>
      <c r="F26" s="1"/>
      <c r="G26" s="1"/>
      <c r="BP26">
        <v>600</v>
      </c>
      <c r="BQ26">
        <v>6.05</v>
      </c>
    </row>
    <row r="27" spans="3:69" x14ac:dyDescent="0.25">
      <c r="C27" s="16" t="s">
        <v>37</v>
      </c>
      <c r="D27" s="18">
        <f ca="1">D24/$D$19</f>
        <v>14.558037123312342</v>
      </c>
      <c r="E27" s="2" t="s">
        <v>22</v>
      </c>
      <c r="F27" s="1"/>
      <c r="G27" s="1"/>
      <c r="BP27">
        <v>900</v>
      </c>
      <c r="BQ27">
        <v>4.03</v>
      </c>
    </row>
    <row r="28" spans="3:69" x14ac:dyDescent="0.25">
      <c r="BP28">
        <v>1000</v>
      </c>
      <c r="BQ28">
        <v>3.63</v>
      </c>
    </row>
    <row r="29" spans="3:69" x14ac:dyDescent="0.25">
      <c r="BP29">
        <v>1500</v>
      </c>
      <c r="BQ29">
        <v>2.42</v>
      </c>
    </row>
    <row r="30" spans="3:69" ht="15.75" x14ac:dyDescent="0.25">
      <c r="C30" s="97" t="s">
        <v>39</v>
      </c>
      <c r="D30" s="97"/>
      <c r="E30" s="97"/>
      <c r="F30" s="1"/>
      <c r="G30" s="1"/>
      <c r="BP30">
        <v>2000</v>
      </c>
      <c r="BQ30">
        <v>1.8149999999999999</v>
      </c>
    </row>
    <row r="31" spans="3:69" x14ac:dyDescent="0.25">
      <c r="C31" s="3"/>
      <c r="D31" s="4" t="s">
        <v>7</v>
      </c>
      <c r="E31" s="4" t="s">
        <v>8</v>
      </c>
      <c r="F31" s="5"/>
      <c r="G31" s="5"/>
      <c r="BP31">
        <v>2500</v>
      </c>
      <c r="BQ31">
        <v>1.452</v>
      </c>
    </row>
    <row r="32" spans="3:69" x14ac:dyDescent="0.25">
      <c r="C32" s="6" t="s">
        <v>39</v>
      </c>
      <c r="D32" s="7" t="s">
        <v>34</v>
      </c>
      <c r="E32" s="20">
        <f>Inputs!$B$34*(1+Inputs!$B$30)</f>
        <v>354.97389707104958</v>
      </c>
      <c r="F32" s="1"/>
      <c r="G32" s="1"/>
      <c r="BP32">
        <v>3000</v>
      </c>
      <c r="BQ32">
        <v>1.21</v>
      </c>
    </row>
    <row r="33" spans="3:69" x14ac:dyDescent="0.25">
      <c r="C33" s="11"/>
      <c r="D33" s="12"/>
      <c r="E33" s="12"/>
      <c r="F33" s="11"/>
      <c r="G33" s="11"/>
      <c r="BP33">
        <v>3500</v>
      </c>
      <c r="BQ33">
        <v>1.03</v>
      </c>
    </row>
    <row r="34" spans="3:69" x14ac:dyDescent="0.25">
      <c r="C34" s="3" t="s">
        <v>12</v>
      </c>
      <c r="D34" s="7">
        <v>0</v>
      </c>
      <c r="E34" s="7">
        <v>1</v>
      </c>
      <c r="F34" s="7">
        <v>2</v>
      </c>
      <c r="G34" s="7">
        <v>3</v>
      </c>
      <c r="H34" s="7">
        <v>4</v>
      </c>
      <c r="I34" s="7">
        <v>5</v>
      </c>
      <c r="J34" s="7">
        <v>6</v>
      </c>
      <c r="K34" s="7">
        <v>7</v>
      </c>
      <c r="L34" s="7">
        <v>8</v>
      </c>
      <c r="M34" s="7">
        <v>9</v>
      </c>
      <c r="N34" s="7">
        <v>10</v>
      </c>
      <c r="O34" s="7">
        <v>11</v>
      </c>
      <c r="P34" s="7">
        <v>12</v>
      </c>
      <c r="Q34" s="7">
        <v>13</v>
      </c>
      <c r="R34" s="7">
        <v>14</v>
      </c>
      <c r="S34" s="7">
        <v>15</v>
      </c>
      <c r="T34" s="7">
        <v>16</v>
      </c>
      <c r="U34" s="7">
        <v>17</v>
      </c>
      <c r="V34" s="7">
        <v>18</v>
      </c>
      <c r="W34" s="7">
        <v>19</v>
      </c>
      <c r="X34" s="7">
        <v>20</v>
      </c>
      <c r="Y34" s="7">
        <v>21</v>
      </c>
      <c r="Z34" s="7">
        <v>22</v>
      </c>
      <c r="AA34" s="7">
        <v>23</v>
      </c>
      <c r="AB34" s="7">
        <v>24</v>
      </c>
      <c r="AC34" s="7">
        <v>25</v>
      </c>
      <c r="AD34" s="7">
        <v>26</v>
      </c>
      <c r="AE34" s="7">
        <v>27</v>
      </c>
      <c r="AF34" s="7">
        <v>28</v>
      </c>
      <c r="AG34" s="7">
        <v>29</v>
      </c>
      <c r="AH34" s="7">
        <v>30</v>
      </c>
      <c r="AI34" s="7">
        <v>31</v>
      </c>
      <c r="AJ34" s="7">
        <v>32</v>
      </c>
      <c r="AK34" s="7">
        <v>33</v>
      </c>
      <c r="AL34" s="7">
        <v>34</v>
      </c>
      <c r="AM34" s="7">
        <v>35</v>
      </c>
      <c r="AN34" s="7">
        <v>36</v>
      </c>
      <c r="AO34" s="7">
        <v>37</v>
      </c>
      <c r="AP34" s="7">
        <v>38</v>
      </c>
      <c r="AQ34" s="7">
        <v>39</v>
      </c>
      <c r="AR34" s="7">
        <v>40</v>
      </c>
      <c r="AS34" s="7">
        <v>41</v>
      </c>
      <c r="AT34" s="7">
        <v>42</v>
      </c>
      <c r="AU34" s="7">
        <v>43</v>
      </c>
      <c r="AV34" s="7">
        <v>44</v>
      </c>
      <c r="BP34">
        <v>4000</v>
      </c>
      <c r="BQ34">
        <v>0.9</v>
      </c>
    </row>
    <row r="35" spans="3:69" x14ac:dyDescent="0.25">
      <c r="C35" s="13" t="s">
        <v>17</v>
      </c>
      <c r="D35" s="15">
        <f>$E$11*E32</f>
        <v>1541600924.4228439</v>
      </c>
      <c r="E35" s="15">
        <f t="shared" ref="E35:AV35" si="4">$D$35*$E$7</f>
        <v>30832018.488456879</v>
      </c>
      <c r="F35" s="15">
        <f t="shared" si="4"/>
        <v>30832018.488456879</v>
      </c>
      <c r="G35" s="15">
        <f t="shared" si="4"/>
        <v>30832018.488456879</v>
      </c>
      <c r="H35" s="15">
        <f t="shared" si="4"/>
        <v>30832018.488456879</v>
      </c>
      <c r="I35" s="15">
        <f t="shared" si="4"/>
        <v>30832018.488456879</v>
      </c>
      <c r="J35" s="15">
        <f t="shared" si="4"/>
        <v>30832018.488456879</v>
      </c>
      <c r="K35" s="15">
        <f t="shared" si="4"/>
        <v>30832018.488456879</v>
      </c>
      <c r="L35" s="15">
        <f t="shared" si="4"/>
        <v>30832018.488456879</v>
      </c>
      <c r="M35" s="15">
        <f t="shared" si="4"/>
        <v>30832018.488456879</v>
      </c>
      <c r="N35" s="15">
        <f t="shared" si="4"/>
        <v>30832018.488456879</v>
      </c>
      <c r="O35" s="15">
        <f t="shared" si="4"/>
        <v>30832018.488456879</v>
      </c>
      <c r="P35" s="15">
        <f t="shared" si="4"/>
        <v>30832018.488456879</v>
      </c>
      <c r="Q35" s="15">
        <f t="shared" si="4"/>
        <v>30832018.488456879</v>
      </c>
      <c r="R35" s="15">
        <f t="shared" si="4"/>
        <v>30832018.488456879</v>
      </c>
      <c r="S35" s="15">
        <f t="shared" si="4"/>
        <v>30832018.488456879</v>
      </c>
      <c r="T35" s="15">
        <f t="shared" si="4"/>
        <v>30832018.488456879</v>
      </c>
      <c r="U35" s="15">
        <f t="shared" si="4"/>
        <v>30832018.488456879</v>
      </c>
      <c r="V35" s="15">
        <f t="shared" si="4"/>
        <v>30832018.488456879</v>
      </c>
      <c r="W35" s="15">
        <f t="shared" si="4"/>
        <v>30832018.488456879</v>
      </c>
      <c r="X35" s="15">
        <f t="shared" si="4"/>
        <v>30832018.488456879</v>
      </c>
      <c r="Y35" s="15">
        <f t="shared" si="4"/>
        <v>30832018.488456879</v>
      </c>
      <c r="Z35" s="15">
        <f t="shared" si="4"/>
        <v>30832018.488456879</v>
      </c>
      <c r="AA35" s="15">
        <f t="shared" si="4"/>
        <v>30832018.488456879</v>
      </c>
      <c r="AB35" s="15">
        <f t="shared" si="4"/>
        <v>30832018.488456879</v>
      </c>
      <c r="AC35" s="15">
        <f t="shared" si="4"/>
        <v>30832018.488456879</v>
      </c>
      <c r="AD35" s="15">
        <f t="shared" si="4"/>
        <v>30832018.488456879</v>
      </c>
      <c r="AE35" s="15">
        <f t="shared" si="4"/>
        <v>30832018.488456879</v>
      </c>
      <c r="AF35" s="15">
        <f t="shared" si="4"/>
        <v>30832018.488456879</v>
      </c>
      <c r="AG35" s="15">
        <f t="shared" si="4"/>
        <v>30832018.488456879</v>
      </c>
      <c r="AH35" s="15">
        <f t="shared" si="4"/>
        <v>30832018.488456879</v>
      </c>
      <c r="AI35" s="15">
        <f t="shared" si="4"/>
        <v>30832018.488456879</v>
      </c>
      <c r="AJ35" s="15">
        <f t="shared" si="4"/>
        <v>30832018.488456879</v>
      </c>
      <c r="AK35" s="15">
        <f t="shared" si="4"/>
        <v>30832018.488456879</v>
      </c>
      <c r="AL35" s="15">
        <f t="shared" si="4"/>
        <v>30832018.488456879</v>
      </c>
      <c r="AM35" s="15">
        <f t="shared" si="4"/>
        <v>30832018.488456879</v>
      </c>
      <c r="AN35" s="15">
        <f t="shared" si="4"/>
        <v>30832018.488456879</v>
      </c>
      <c r="AO35" s="15">
        <f t="shared" si="4"/>
        <v>30832018.488456879</v>
      </c>
      <c r="AP35" s="15">
        <f t="shared" si="4"/>
        <v>30832018.488456879</v>
      </c>
      <c r="AQ35" s="15">
        <f t="shared" si="4"/>
        <v>30832018.488456879</v>
      </c>
      <c r="AR35" s="15">
        <f t="shared" si="4"/>
        <v>30832018.488456879</v>
      </c>
      <c r="AS35" s="15">
        <f t="shared" si="4"/>
        <v>30832018.488456879</v>
      </c>
      <c r="AT35" s="15">
        <f t="shared" si="4"/>
        <v>30832018.488456879</v>
      </c>
      <c r="AU35" s="15">
        <f t="shared" si="4"/>
        <v>30832018.488456879</v>
      </c>
      <c r="AV35" s="15">
        <f t="shared" si="4"/>
        <v>30832018.488456879</v>
      </c>
      <c r="BP35">
        <v>5000</v>
      </c>
      <c r="BQ35">
        <v>0.72599999999999998</v>
      </c>
    </row>
    <row r="36" spans="3:69" x14ac:dyDescent="0.25">
      <c r="C36" s="13" t="s">
        <v>18</v>
      </c>
      <c r="D36" s="15">
        <f>D35/(1+$E$6)^D34</f>
        <v>1541600924.4228439</v>
      </c>
      <c r="E36" s="15">
        <f>E35/(1+$E$6)^E34</f>
        <v>29138267.007247422</v>
      </c>
      <c r="F36" s="15">
        <f t="shared" ref="F36:AV36" si="5">F35/(1+$E$6)^F34</f>
        <v>27537561.46401874</v>
      </c>
      <c r="G36" s="15">
        <f t="shared" si="5"/>
        <v>26024790.39662851</v>
      </c>
      <c r="H36" s="15">
        <f t="shared" si="5"/>
        <v>24595123.140202917</v>
      </c>
      <c r="I36" s="15">
        <f t="shared" si="5"/>
        <v>23243994.401588418</v>
      </c>
      <c r="J36" s="15">
        <f t="shared" si="5"/>
        <v>21967089.681203201</v>
      </c>
      <c r="K36" s="15">
        <f t="shared" si="5"/>
        <v>20760331.495736729</v>
      </c>
      <c r="L36" s="15">
        <f t="shared" si="5"/>
        <v>19619866.357702773</v>
      </c>
      <c r="M36" s="15">
        <f t="shared" si="5"/>
        <v>18542052.470268451</v>
      </c>
      <c r="N36" s="15">
        <f t="shared" si="5"/>
        <v>17523448.098065618</v>
      </c>
      <c r="O36" s="15">
        <f t="shared" si="5"/>
        <v>16560800.576849721</v>
      </c>
      <c r="P36" s="15">
        <f t="shared" si="5"/>
        <v>15651035.926911047</v>
      </c>
      <c r="Q36" s="15">
        <f t="shared" si="5"/>
        <v>14791249.037071425</v>
      </c>
      <c r="R36" s="15">
        <f t="shared" si="5"/>
        <v>13978694.387921317</v>
      </c>
      <c r="S36" s="15">
        <f t="shared" si="5"/>
        <v>13210777.284674244</v>
      </c>
      <c r="T36" s="15">
        <f t="shared" si="5"/>
        <v>12485045.571642788</v>
      </c>
      <c r="U36" s="15">
        <f t="shared" si="5"/>
        <v>11799181.801878424</v>
      </c>
      <c r="V36" s="15">
        <f t="shared" si="5"/>
        <v>11150995.836970763</v>
      </c>
      <c r="W36" s="15">
        <f t="shared" si="5"/>
        <v>10538417.853375535</v>
      </c>
      <c r="X36" s="15">
        <f t="shared" si="5"/>
        <v>9959491.7329387013</v>
      </c>
      <c r="Y36" s="15">
        <f t="shared" si="5"/>
        <v>9412368.8165109698</v>
      </c>
      <c r="Z36" s="15">
        <f t="shared" si="5"/>
        <v>8895302.0007063616</v>
      </c>
      <c r="AA36" s="15">
        <f t="shared" si="5"/>
        <v>8406640.1589543354</v>
      </c>
      <c r="AB36" s="15">
        <f t="shared" si="5"/>
        <v>7944822.8690304011</v>
      </c>
      <c r="AC36" s="15">
        <f t="shared" si="5"/>
        <v>7508375.4302289169</v>
      </c>
      <c r="AD36" s="15">
        <f t="shared" si="5"/>
        <v>7095904.1542666191</v>
      </c>
      <c r="AE36" s="15">
        <f t="shared" si="5"/>
        <v>6706091.9148795316</v>
      </c>
      <c r="AF36" s="15">
        <f t="shared" si="5"/>
        <v>6337693.9419019781</v>
      </c>
      <c r="AG36" s="15">
        <f t="shared" si="5"/>
        <v>5989533.8463971196</v>
      </c>
      <c r="AH36" s="15">
        <f t="shared" si="5"/>
        <v>5660499.8641462531</v>
      </c>
      <c r="AI36" s="15">
        <f t="shared" si="5"/>
        <v>5349541.3055013483</v>
      </c>
      <c r="AJ36" s="15">
        <f t="shared" si="5"/>
        <v>5055665.2002643077</v>
      </c>
      <c r="AK36" s="15">
        <f t="shared" si="5"/>
        <v>4777933.1268792106</v>
      </c>
      <c r="AL36" s="15">
        <f t="shared" si="5"/>
        <v>4515458.2158122882</v>
      </c>
      <c r="AM36" s="15">
        <f t="shared" si="5"/>
        <v>4267402.3175507197</v>
      </c>
      <c r="AN36" s="15">
        <f t="shared" si="5"/>
        <v>4032973.3261768897</v>
      </c>
      <c r="AO36" s="15">
        <f t="shared" si="5"/>
        <v>3811422.6499716411</v>
      </c>
      <c r="AP36" s="15">
        <f t="shared" si="5"/>
        <v>3602042.820969474</v>
      </c>
      <c r="AQ36" s="15">
        <f t="shared" si="5"/>
        <v>3404165.2358324174</v>
      </c>
      <c r="AR36" s="15">
        <f t="shared" si="5"/>
        <v>3217158.0208285879</v>
      </c>
      <c r="AS36" s="15">
        <f t="shared" si="5"/>
        <v>3040424.0140977805</v>
      </c>
      <c r="AT36" s="15">
        <f t="shared" si="5"/>
        <v>2873398.8587609371</v>
      </c>
      <c r="AU36" s="15">
        <f t="shared" si="5"/>
        <v>2715549.2007843121</v>
      </c>
      <c r="AV36" s="15">
        <f t="shared" si="5"/>
        <v>2566370.9858436463</v>
      </c>
      <c r="BP36">
        <v>6000</v>
      </c>
      <c r="BQ36">
        <v>0.60499999999999998</v>
      </c>
    </row>
    <row r="37" spans="3:69" x14ac:dyDescent="0.25">
      <c r="C37" s="16" t="s">
        <v>19</v>
      </c>
      <c r="D37" s="17">
        <f ca="1">SUM($D$36:OFFSET($D$36, 0, $E$12))</f>
        <v>1900679138.9457412</v>
      </c>
      <c r="E37" s="12" t="s">
        <v>20</v>
      </c>
      <c r="F37" s="11"/>
      <c r="G37" s="11"/>
      <c r="BP37">
        <v>7000</v>
      </c>
      <c r="BQ37">
        <v>0.51859999999999995</v>
      </c>
    </row>
    <row r="38" spans="3:69" x14ac:dyDescent="0.25">
      <c r="C38" s="1"/>
      <c r="D38" s="2"/>
      <c r="E38" s="2"/>
      <c r="F38" s="1"/>
      <c r="G38" s="1"/>
    </row>
    <row r="39" spans="3:69" x14ac:dyDescent="0.25">
      <c r="C39" s="1"/>
      <c r="D39" s="2"/>
      <c r="E39" s="2"/>
      <c r="F39" s="1"/>
      <c r="G39" s="1"/>
    </row>
    <row r="40" spans="3:69" x14ac:dyDescent="0.25">
      <c r="C40" s="16" t="s">
        <v>37</v>
      </c>
      <c r="D40" s="18">
        <f ca="1">D37/$D$19</f>
        <v>4.2947522135153555</v>
      </c>
      <c r="E40" s="2" t="s">
        <v>22</v>
      </c>
      <c r="F40" s="1"/>
      <c r="G40" s="1"/>
    </row>
    <row r="43" spans="3:69" ht="15.75" x14ac:dyDescent="0.25">
      <c r="C43" s="97" t="s">
        <v>42</v>
      </c>
      <c r="D43" s="97"/>
      <c r="E43" s="97"/>
    </row>
    <row r="44" spans="3:69" x14ac:dyDescent="0.25">
      <c r="C44" s="3"/>
      <c r="D44" s="4" t="s">
        <v>7</v>
      </c>
      <c r="E44" s="4" t="s">
        <v>8</v>
      </c>
      <c r="F44" s="5"/>
      <c r="G44" s="5"/>
    </row>
    <row r="45" spans="3:69" x14ac:dyDescent="0.25">
      <c r="C45" s="6" t="s">
        <v>42</v>
      </c>
      <c r="D45" s="7" t="s">
        <v>34</v>
      </c>
      <c r="E45" s="20">
        <f>Inputs!$B$35*(1+Inputs!$B$30)</f>
        <v>173.85907065665404</v>
      </c>
      <c r="F45" s="1"/>
      <c r="G45" s="1"/>
    </row>
    <row r="46" spans="3:69" x14ac:dyDescent="0.25">
      <c r="C46" s="11"/>
      <c r="D46" s="12"/>
      <c r="E46" s="12"/>
      <c r="F46" s="11"/>
      <c r="G46" s="11"/>
    </row>
    <row r="47" spans="3:69" x14ac:dyDescent="0.25">
      <c r="C47" s="3" t="s">
        <v>12</v>
      </c>
      <c r="D47" s="7">
        <v>0</v>
      </c>
      <c r="E47" s="7">
        <v>1</v>
      </c>
      <c r="F47" s="7">
        <v>2</v>
      </c>
      <c r="G47" s="7">
        <v>3</v>
      </c>
      <c r="H47" s="7">
        <v>4</v>
      </c>
      <c r="I47" s="7">
        <v>5</v>
      </c>
      <c r="J47" s="7">
        <v>6</v>
      </c>
      <c r="K47" s="7">
        <v>7</v>
      </c>
      <c r="L47" s="7">
        <v>8</v>
      </c>
      <c r="M47" s="7">
        <v>9</v>
      </c>
      <c r="N47" s="7">
        <v>10</v>
      </c>
      <c r="O47" s="7">
        <v>11</v>
      </c>
      <c r="P47" s="7">
        <v>12</v>
      </c>
      <c r="Q47" s="7">
        <v>13</v>
      </c>
      <c r="R47" s="7">
        <v>14</v>
      </c>
      <c r="S47" s="7">
        <v>15</v>
      </c>
      <c r="T47" s="7">
        <v>16</v>
      </c>
      <c r="U47" s="7">
        <v>17</v>
      </c>
      <c r="V47" s="7">
        <v>18</v>
      </c>
      <c r="W47" s="7">
        <v>19</v>
      </c>
      <c r="X47" s="7">
        <v>20</v>
      </c>
      <c r="Y47" s="7">
        <v>21</v>
      </c>
      <c r="Z47" s="7">
        <v>22</v>
      </c>
      <c r="AA47" s="7">
        <v>23</v>
      </c>
      <c r="AB47" s="7">
        <v>24</v>
      </c>
      <c r="AC47" s="7">
        <v>25</v>
      </c>
      <c r="AD47" s="7">
        <v>26</v>
      </c>
      <c r="AE47" s="7">
        <v>27</v>
      </c>
      <c r="AF47" s="7">
        <v>28</v>
      </c>
      <c r="AG47" s="7">
        <v>29</v>
      </c>
      <c r="AH47" s="7">
        <v>30</v>
      </c>
      <c r="AI47" s="7">
        <v>31</v>
      </c>
      <c r="AJ47" s="7">
        <v>32</v>
      </c>
      <c r="AK47" s="7">
        <v>33</v>
      </c>
      <c r="AL47" s="7">
        <v>34</v>
      </c>
      <c r="AM47" s="7">
        <v>35</v>
      </c>
      <c r="AN47" s="7">
        <v>36</v>
      </c>
      <c r="AO47" s="7">
        <v>37</v>
      </c>
      <c r="AP47" s="7">
        <v>38</v>
      </c>
      <c r="AQ47" s="7">
        <v>39</v>
      </c>
      <c r="AR47" s="7">
        <v>40</v>
      </c>
      <c r="AS47" s="7">
        <v>41</v>
      </c>
      <c r="AT47" s="7">
        <v>42</v>
      </c>
      <c r="AU47" s="7">
        <v>43</v>
      </c>
      <c r="AV47" s="7">
        <v>44</v>
      </c>
    </row>
    <row r="48" spans="3:69" x14ac:dyDescent="0.25">
      <c r="C48" s="13" t="s">
        <v>17</v>
      </c>
      <c r="D48" s="15">
        <f>$E$11*E45</f>
        <v>755045106.85175467</v>
      </c>
      <c r="E48" s="15">
        <f>$D$48*$E$7</f>
        <v>15100902.137035094</v>
      </c>
      <c r="F48" s="15">
        <f t="shared" ref="F48:AV48" si="6">$D$48*$E$7</f>
        <v>15100902.137035094</v>
      </c>
      <c r="G48" s="15">
        <f t="shared" si="6"/>
        <v>15100902.137035094</v>
      </c>
      <c r="H48" s="15">
        <f t="shared" si="6"/>
        <v>15100902.137035094</v>
      </c>
      <c r="I48" s="15">
        <f t="shared" si="6"/>
        <v>15100902.137035094</v>
      </c>
      <c r="J48" s="15">
        <f t="shared" si="6"/>
        <v>15100902.137035094</v>
      </c>
      <c r="K48" s="15">
        <f t="shared" si="6"/>
        <v>15100902.137035094</v>
      </c>
      <c r="L48" s="15">
        <f t="shared" si="6"/>
        <v>15100902.137035094</v>
      </c>
      <c r="M48" s="15">
        <f t="shared" si="6"/>
        <v>15100902.137035094</v>
      </c>
      <c r="N48" s="15">
        <f t="shared" si="6"/>
        <v>15100902.137035094</v>
      </c>
      <c r="O48" s="15">
        <f t="shared" si="6"/>
        <v>15100902.137035094</v>
      </c>
      <c r="P48" s="15">
        <f t="shared" si="6"/>
        <v>15100902.137035094</v>
      </c>
      <c r="Q48" s="15">
        <f t="shared" si="6"/>
        <v>15100902.137035094</v>
      </c>
      <c r="R48" s="15">
        <f t="shared" si="6"/>
        <v>15100902.137035094</v>
      </c>
      <c r="S48" s="15">
        <f t="shared" si="6"/>
        <v>15100902.137035094</v>
      </c>
      <c r="T48" s="15">
        <f t="shared" si="6"/>
        <v>15100902.137035094</v>
      </c>
      <c r="U48" s="15">
        <f t="shared" si="6"/>
        <v>15100902.137035094</v>
      </c>
      <c r="V48" s="15">
        <f t="shared" si="6"/>
        <v>15100902.137035094</v>
      </c>
      <c r="W48" s="15">
        <f t="shared" si="6"/>
        <v>15100902.137035094</v>
      </c>
      <c r="X48" s="15">
        <f t="shared" si="6"/>
        <v>15100902.137035094</v>
      </c>
      <c r="Y48" s="15">
        <f t="shared" si="6"/>
        <v>15100902.137035094</v>
      </c>
      <c r="Z48" s="15">
        <f t="shared" si="6"/>
        <v>15100902.137035094</v>
      </c>
      <c r="AA48" s="15">
        <f t="shared" si="6"/>
        <v>15100902.137035094</v>
      </c>
      <c r="AB48" s="15">
        <f t="shared" si="6"/>
        <v>15100902.137035094</v>
      </c>
      <c r="AC48" s="15">
        <f t="shared" si="6"/>
        <v>15100902.137035094</v>
      </c>
      <c r="AD48" s="15">
        <f t="shared" si="6"/>
        <v>15100902.137035094</v>
      </c>
      <c r="AE48" s="15">
        <f t="shared" si="6"/>
        <v>15100902.137035094</v>
      </c>
      <c r="AF48" s="15">
        <f t="shared" si="6"/>
        <v>15100902.137035094</v>
      </c>
      <c r="AG48" s="15">
        <f t="shared" si="6"/>
        <v>15100902.137035094</v>
      </c>
      <c r="AH48" s="15">
        <f t="shared" si="6"/>
        <v>15100902.137035094</v>
      </c>
      <c r="AI48" s="15">
        <f t="shared" si="6"/>
        <v>15100902.137035094</v>
      </c>
      <c r="AJ48" s="15">
        <f t="shared" si="6"/>
        <v>15100902.137035094</v>
      </c>
      <c r="AK48" s="15">
        <f t="shared" si="6"/>
        <v>15100902.137035094</v>
      </c>
      <c r="AL48" s="15">
        <f t="shared" si="6"/>
        <v>15100902.137035094</v>
      </c>
      <c r="AM48" s="15">
        <f t="shared" si="6"/>
        <v>15100902.137035094</v>
      </c>
      <c r="AN48" s="15">
        <f t="shared" si="6"/>
        <v>15100902.137035094</v>
      </c>
      <c r="AO48" s="15">
        <f t="shared" si="6"/>
        <v>15100902.137035094</v>
      </c>
      <c r="AP48" s="15">
        <f t="shared" si="6"/>
        <v>15100902.137035094</v>
      </c>
      <c r="AQ48" s="15">
        <f t="shared" si="6"/>
        <v>15100902.137035094</v>
      </c>
      <c r="AR48" s="15">
        <f t="shared" si="6"/>
        <v>15100902.137035094</v>
      </c>
      <c r="AS48" s="15">
        <f t="shared" si="6"/>
        <v>15100902.137035094</v>
      </c>
      <c r="AT48" s="15">
        <f t="shared" si="6"/>
        <v>15100902.137035094</v>
      </c>
      <c r="AU48" s="15">
        <f t="shared" si="6"/>
        <v>15100902.137035094</v>
      </c>
      <c r="AV48" s="15">
        <f t="shared" si="6"/>
        <v>15100902.137035094</v>
      </c>
      <c r="AW48" s="15"/>
    </row>
    <row r="49" spans="3:49" x14ac:dyDescent="0.25">
      <c r="C49" s="13" t="s">
        <v>18</v>
      </c>
      <c r="D49" s="15">
        <f>D48/(1+$E$6)^D47</f>
        <v>755045106.85175467</v>
      </c>
      <c r="E49" s="15">
        <f>E48/(1+$E$6)^E47</f>
        <v>14271336.749618826</v>
      </c>
      <c r="F49" s="15">
        <f t="shared" ref="F49:AV49" si="7">F48/(1+$E$6)^F47</f>
        <v>13487343.390002891</v>
      </c>
      <c r="G49" s="15">
        <f t="shared" si="7"/>
        <v>12746418.566902174</v>
      </c>
      <c r="H49" s="15">
        <f t="shared" si="7"/>
        <v>12046196.317882407</v>
      </c>
      <c r="I49" s="15">
        <f t="shared" si="7"/>
        <v>11384440.654237097</v>
      </c>
      <c r="J49" s="15">
        <f t="shared" si="7"/>
        <v>10759038.420903772</v>
      </c>
      <c r="K49" s="15">
        <f t="shared" si="7"/>
        <v>10167992.548619486</v>
      </c>
      <c r="L49" s="15">
        <f t="shared" si="7"/>
        <v>9609415.676767949</v>
      </c>
      <c r="M49" s="15">
        <f t="shared" si="7"/>
        <v>9081524.1265544388</v>
      </c>
      <c r="N49" s="15">
        <f t="shared" si="7"/>
        <v>8582632.2052632719</v>
      </c>
      <c r="O49" s="15">
        <f t="shared" si="7"/>
        <v>8111146.8234098889</v>
      </c>
      <c r="P49" s="15">
        <f t="shared" si="7"/>
        <v>7665562.4075987302</v>
      </c>
      <c r="Q49" s="15">
        <f t="shared" si="7"/>
        <v>7244456.092842374</v>
      </c>
      <c r="R49" s="15">
        <f t="shared" si="7"/>
        <v>6846483.1789897662</v>
      </c>
      <c r="S49" s="15">
        <f t="shared" si="7"/>
        <v>6470372.8367547607</v>
      </c>
      <c r="T49" s="15">
        <f t="shared" si="7"/>
        <v>6114924.0496332217</v>
      </c>
      <c r="U49" s="15">
        <f t="shared" si="7"/>
        <v>5779001.7787502045</v>
      </c>
      <c r="V49" s="15">
        <f t="shared" si="7"/>
        <v>5461533.3383905562</v>
      </c>
      <c r="W49" s="15">
        <f t="shared" si="7"/>
        <v>5161504.9706391189</v>
      </c>
      <c r="X49" s="15">
        <f t="shared" si="7"/>
        <v>4877958.6081924625</v>
      </c>
      <c r="Y49" s="15">
        <f t="shared" si="7"/>
        <v>4609988.8150049802</v>
      </c>
      <c r="Z49" s="15">
        <f t="shared" si="7"/>
        <v>4356739.8950000508</v>
      </c>
      <c r="AA49" s="15">
        <f t="shared" si="7"/>
        <v>4117403.1596136419</v>
      </c>
      <c r="AB49" s="15">
        <f t="shared" si="7"/>
        <v>3891214.3454449223</v>
      </c>
      <c r="AC49" s="15">
        <f t="shared" si="7"/>
        <v>3677451.17376778</v>
      </c>
      <c r="AD49" s="15">
        <f t="shared" si="7"/>
        <v>3475431.0441101454</v>
      </c>
      <c r="AE49" s="15">
        <f t="shared" si="7"/>
        <v>3284508.8545361236</v>
      </c>
      <c r="AF49" s="15">
        <f t="shared" si="7"/>
        <v>3104074.9416705449</v>
      </c>
      <c r="AG49" s="15">
        <f t="shared" si="7"/>
        <v>2933553.1338878982</v>
      </c>
      <c r="AH49" s="15">
        <f t="shared" si="7"/>
        <v>2772398.9114489909</v>
      </c>
      <c r="AI49" s="15">
        <f t="shared" si="7"/>
        <v>2620097.6677101734</v>
      </c>
      <c r="AJ49" s="15">
        <f t="shared" si="7"/>
        <v>2476163.0658527236</v>
      </c>
      <c r="AK49" s="15">
        <f t="shared" si="7"/>
        <v>2340135.4858850227</v>
      </c>
      <c r="AL49" s="15">
        <f t="shared" si="7"/>
        <v>2211580.5569583774</v>
      </c>
      <c r="AM49" s="15">
        <f t="shared" si="7"/>
        <v>2090087.7703098261</v>
      </c>
      <c r="AN49" s="15">
        <f t="shared" si="7"/>
        <v>1975269.1684026753</v>
      </c>
      <c r="AO49" s="15">
        <f t="shared" si="7"/>
        <v>1866758.106078878</v>
      </c>
      <c r="AP49" s="15">
        <f t="shared" si="7"/>
        <v>1764208.0797672821</v>
      </c>
      <c r="AQ49" s="15">
        <f t="shared" si="7"/>
        <v>1667291.6210091168</v>
      </c>
      <c r="AR49" s="15">
        <f t="shared" si="7"/>
        <v>1575699.2507674613</v>
      </c>
      <c r="AS49" s="15">
        <f t="shared" si="7"/>
        <v>1489138.4911815391</v>
      </c>
      <c r="AT49" s="15">
        <f t="shared" si="7"/>
        <v>1407332.9316101135</v>
      </c>
      <c r="AU49" s="15">
        <f t="shared" si="7"/>
        <v>1330021.3459816249</v>
      </c>
      <c r="AV49" s="15">
        <f t="shared" si="7"/>
        <v>1256956.858632541</v>
      </c>
    </row>
    <row r="50" spans="3:49" x14ac:dyDescent="0.25">
      <c r="C50" s="16" t="s">
        <v>19</v>
      </c>
      <c r="D50" s="17">
        <f ca="1">SUM($D$49:OFFSET($D$49, 0, $E$12))</f>
        <v>930914389.59370816</v>
      </c>
      <c r="E50" s="12" t="s">
        <v>20</v>
      </c>
      <c r="F50" s="11"/>
      <c r="G50" s="11"/>
    </row>
    <row r="51" spans="3:49" x14ac:dyDescent="0.25">
      <c r="C51" s="1"/>
      <c r="D51" s="2"/>
      <c r="E51" s="2"/>
      <c r="F51" s="1"/>
      <c r="G51" s="1"/>
    </row>
    <row r="52" spans="3:49" x14ac:dyDescent="0.25">
      <c r="C52" s="1"/>
      <c r="D52" s="2"/>
      <c r="E52" s="2"/>
      <c r="F52" s="1"/>
      <c r="G52" s="1"/>
    </row>
    <row r="53" spans="3:49" x14ac:dyDescent="0.25">
      <c r="C53" s="16" t="s">
        <v>37</v>
      </c>
      <c r="D53" s="18">
        <f ca="1">D50/$D$19</f>
        <v>2.1034831989151463</v>
      </c>
      <c r="E53" s="2" t="s">
        <v>22</v>
      </c>
      <c r="F53" s="1"/>
      <c r="G53" s="1"/>
    </row>
    <row r="56" spans="3:49" ht="15.75" x14ac:dyDescent="0.25">
      <c r="C56" s="97" t="s">
        <v>46</v>
      </c>
      <c r="D56" s="97"/>
      <c r="E56" s="97"/>
    </row>
    <row r="57" spans="3:49" x14ac:dyDescent="0.25">
      <c r="C57" s="3"/>
      <c r="D57" s="4" t="s">
        <v>7</v>
      </c>
      <c r="E57" s="4" t="s">
        <v>8</v>
      </c>
      <c r="F57" s="5"/>
      <c r="G57" s="5"/>
    </row>
    <row r="58" spans="3:49" x14ac:dyDescent="0.25">
      <c r="C58" s="6" t="s">
        <v>46</v>
      </c>
      <c r="D58" s="7" t="s">
        <v>34</v>
      </c>
      <c r="E58" s="20">
        <f>Inputs!$B$36*(1+Inputs!$B$30)</f>
        <v>200.79687134187492</v>
      </c>
      <c r="F58" s="1"/>
      <c r="G58" s="1"/>
    </row>
    <row r="59" spans="3:49" x14ac:dyDescent="0.25">
      <c r="C59" s="11"/>
      <c r="D59" s="12"/>
      <c r="E59" s="12"/>
      <c r="F59" s="11"/>
      <c r="G59" s="11"/>
    </row>
    <row r="60" spans="3:49" x14ac:dyDescent="0.25">
      <c r="C60" s="3" t="s">
        <v>12</v>
      </c>
      <c r="D60" s="7">
        <v>0</v>
      </c>
      <c r="E60" s="7">
        <v>1</v>
      </c>
      <c r="F60" s="7">
        <v>2</v>
      </c>
      <c r="G60" s="7">
        <v>3</v>
      </c>
      <c r="H60" s="7">
        <v>4</v>
      </c>
      <c r="I60" s="7">
        <v>5</v>
      </c>
      <c r="J60" s="7">
        <v>6</v>
      </c>
      <c r="K60" s="7">
        <v>7</v>
      </c>
      <c r="L60" s="7">
        <v>8</v>
      </c>
      <c r="M60" s="7">
        <v>9</v>
      </c>
      <c r="N60" s="7">
        <v>10</v>
      </c>
      <c r="O60" s="7">
        <v>11</v>
      </c>
      <c r="P60" s="7">
        <v>12</v>
      </c>
      <c r="Q60" s="7">
        <v>13</v>
      </c>
      <c r="R60" s="7">
        <v>14</v>
      </c>
      <c r="S60" s="7">
        <v>15</v>
      </c>
      <c r="T60" s="7">
        <v>16</v>
      </c>
      <c r="U60" s="7">
        <v>17</v>
      </c>
      <c r="V60" s="7">
        <v>18</v>
      </c>
      <c r="W60" s="7">
        <v>19</v>
      </c>
      <c r="X60" s="7">
        <v>20</v>
      </c>
      <c r="Y60" s="7">
        <v>21</v>
      </c>
      <c r="Z60" s="7">
        <v>22</v>
      </c>
      <c r="AA60" s="7">
        <v>23</v>
      </c>
      <c r="AB60" s="7">
        <v>24</v>
      </c>
      <c r="AC60" s="7">
        <v>25</v>
      </c>
      <c r="AD60" s="7">
        <v>26</v>
      </c>
      <c r="AE60" s="7">
        <v>27</v>
      </c>
      <c r="AF60" s="7">
        <v>28</v>
      </c>
      <c r="AG60" s="7">
        <v>29</v>
      </c>
      <c r="AH60" s="7">
        <v>30</v>
      </c>
      <c r="AI60" s="7">
        <v>31</v>
      </c>
      <c r="AJ60" s="7">
        <v>32</v>
      </c>
      <c r="AK60" s="7">
        <v>33</v>
      </c>
      <c r="AL60" s="7">
        <v>34</v>
      </c>
      <c r="AM60" s="7">
        <v>35</v>
      </c>
      <c r="AN60" s="7">
        <v>36</v>
      </c>
      <c r="AO60" s="7">
        <v>37</v>
      </c>
      <c r="AP60" s="7">
        <v>38</v>
      </c>
      <c r="AQ60" s="7">
        <v>39</v>
      </c>
      <c r="AR60" s="7">
        <v>40</v>
      </c>
      <c r="AS60" s="7">
        <v>41</v>
      </c>
      <c r="AT60" s="7">
        <v>42</v>
      </c>
      <c r="AU60" s="7">
        <v>43</v>
      </c>
      <c r="AV60" s="7">
        <v>44</v>
      </c>
    </row>
    <row r="61" spans="3:49" x14ac:dyDescent="0.25">
      <c r="C61" s="13" t="s">
        <v>17</v>
      </c>
      <c r="D61" s="15">
        <f>$E$11*E58</f>
        <v>872032126.97042823</v>
      </c>
      <c r="E61" s="15">
        <f>$D$61*$E$7</f>
        <v>17440642.539408565</v>
      </c>
      <c r="F61" s="15">
        <f t="shared" ref="F61:AV61" si="8">$D$61*$E$7</f>
        <v>17440642.539408565</v>
      </c>
      <c r="G61" s="15">
        <f t="shared" si="8"/>
        <v>17440642.539408565</v>
      </c>
      <c r="H61" s="15">
        <f t="shared" si="8"/>
        <v>17440642.539408565</v>
      </c>
      <c r="I61" s="15">
        <f t="shared" si="8"/>
        <v>17440642.539408565</v>
      </c>
      <c r="J61" s="15">
        <f t="shared" si="8"/>
        <v>17440642.539408565</v>
      </c>
      <c r="K61" s="15">
        <f t="shared" si="8"/>
        <v>17440642.539408565</v>
      </c>
      <c r="L61" s="15">
        <f t="shared" si="8"/>
        <v>17440642.539408565</v>
      </c>
      <c r="M61" s="15">
        <f t="shared" si="8"/>
        <v>17440642.539408565</v>
      </c>
      <c r="N61" s="15">
        <f t="shared" si="8"/>
        <v>17440642.539408565</v>
      </c>
      <c r="O61" s="15">
        <f t="shared" si="8"/>
        <v>17440642.539408565</v>
      </c>
      <c r="P61" s="15">
        <f t="shared" si="8"/>
        <v>17440642.539408565</v>
      </c>
      <c r="Q61" s="15">
        <f t="shared" si="8"/>
        <v>17440642.539408565</v>
      </c>
      <c r="R61" s="15">
        <f t="shared" si="8"/>
        <v>17440642.539408565</v>
      </c>
      <c r="S61" s="15">
        <f t="shared" si="8"/>
        <v>17440642.539408565</v>
      </c>
      <c r="T61" s="15">
        <f t="shared" si="8"/>
        <v>17440642.539408565</v>
      </c>
      <c r="U61" s="15">
        <f t="shared" si="8"/>
        <v>17440642.539408565</v>
      </c>
      <c r="V61" s="15">
        <f t="shared" si="8"/>
        <v>17440642.539408565</v>
      </c>
      <c r="W61" s="15">
        <f t="shared" si="8"/>
        <v>17440642.539408565</v>
      </c>
      <c r="X61" s="15">
        <f t="shared" si="8"/>
        <v>17440642.539408565</v>
      </c>
      <c r="Y61" s="15">
        <f t="shared" si="8"/>
        <v>17440642.539408565</v>
      </c>
      <c r="Z61" s="15">
        <f t="shared" si="8"/>
        <v>17440642.539408565</v>
      </c>
      <c r="AA61" s="15">
        <f t="shared" si="8"/>
        <v>17440642.539408565</v>
      </c>
      <c r="AB61" s="15">
        <f t="shared" si="8"/>
        <v>17440642.539408565</v>
      </c>
      <c r="AC61" s="15">
        <f t="shared" si="8"/>
        <v>17440642.539408565</v>
      </c>
      <c r="AD61" s="15">
        <f t="shared" si="8"/>
        <v>17440642.539408565</v>
      </c>
      <c r="AE61" s="15">
        <f t="shared" si="8"/>
        <v>17440642.539408565</v>
      </c>
      <c r="AF61" s="15">
        <f t="shared" si="8"/>
        <v>17440642.539408565</v>
      </c>
      <c r="AG61" s="15">
        <f t="shared" si="8"/>
        <v>17440642.539408565</v>
      </c>
      <c r="AH61" s="15">
        <f t="shared" si="8"/>
        <v>17440642.539408565</v>
      </c>
      <c r="AI61" s="15">
        <f t="shared" si="8"/>
        <v>17440642.539408565</v>
      </c>
      <c r="AJ61" s="15">
        <f t="shared" si="8"/>
        <v>17440642.539408565</v>
      </c>
      <c r="AK61" s="15">
        <f t="shared" si="8"/>
        <v>17440642.539408565</v>
      </c>
      <c r="AL61" s="15">
        <f t="shared" si="8"/>
        <v>17440642.539408565</v>
      </c>
      <c r="AM61" s="15">
        <f t="shared" si="8"/>
        <v>17440642.539408565</v>
      </c>
      <c r="AN61" s="15">
        <f t="shared" si="8"/>
        <v>17440642.539408565</v>
      </c>
      <c r="AO61" s="15">
        <f t="shared" si="8"/>
        <v>17440642.539408565</v>
      </c>
      <c r="AP61" s="15">
        <f t="shared" si="8"/>
        <v>17440642.539408565</v>
      </c>
      <c r="AQ61" s="15">
        <f t="shared" si="8"/>
        <v>17440642.539408565</v>
      </c>
      <c r="AR61" s="15">
        <f t="shared" si="8"/>
        <v>17440642.539408565</v>
      </c>
      <c r="AS61" s="15">
        <f t="shared" si="8"/>
        <v>17440642.539408565</v>
      </c>
      <c r="AT61" s="15">
        <f t="shared" si="8"/>
        <v>17440642.539408565</v>
      </c>
      <c r="AU61" s="15">
        <f t="shared" si="8"/>
        <v>17440642.539408565</v>
      </c>
      <c r="AV61" s="15">
        <f t="shared" si="8"/>
        <v>17440642.539408565</v>
      </c>
      <c r="AW61" s="15"/>
    </row>
    <row r="62" spans="3:49" x14ac:dyDescent="0.25">
      <c r="C62" s="13" t="s">
        <v>18</v>
      </c>
      <c r="D62" s="15">
        <f>D61/(1+$E$6)^D60</f>
        <v>872032126.97042823</v>
      </c>
      <c r="E62" s="15">
        <f>E61/(1+$E$6)^E60</f>
        <v>16482543.926908465</v>
      </c>
      <c r="F62" s="15">
        <f t="shared" ref="F62:AV62" si="9">F61/(1+$E$6)^F60</f>
        <v>15577078.292190026</v>
      </c>
      <c r="G62" s="15">
        <f t="shared" si="9"/>
        <v>14721354.251930052</v>
      </c>
      <c r="H62" s="15">
        <f t="shared" si="9"/>
        <v>13912639.260436688</v>
      </c>
      <c r="I62" s="15">
        <f t="shared" si="9"/>
        <v>13148350.88393225</v>
      </c>
      <c r="J62" s="15">
        <f t="shared" si="9"/>
        <v>12426048.554181779</v>
      </c>
      <c r="K62" s="15">
        <f t="shared" si="9"/>
        <v>11743425.775134549</v>
      </c>
      <c r="L62" s="15">
        <f t="shared" si="9"/>
        <v>11098302.757692333</v>
      </c>
      <c r="M62" s="15">
        <f t="shared" si="9"/>
        <v>10488619.459085397</v>
      </c>
      <c r="N62" s="15">
        <f t="shared" si="9"/>
        <v>9912429.0046291221</v>
      </c>
      <c r="O62" s="15">
        <f t="shared" si="9"/>
        <v>9367891.4708552677</v>
      </c>
      <c r="P62" s="15">
        <f t="shared" si="9"/>
        <v>8853268.0101658255</v>
      </c>
      <c r="Q62" s="15">
        <f t="shared" si="9"/>
        <v>8366915.2982479623</v>
      </c>
      <c r="R62" s="15">
        <f t="shared" si="9"/>
        <v>7907280.2865192555</v>
      </c>
      <c r="S62" s="15">
        <f t="shared" si="9"/>
        <v>7472895.2428464107</v>
      </c>
      <c r="T62" s="15">
        <f t="shared" si="9"/>
        <v>7062373.0647012144</v>
      </c>
      <c r="U62" s="15">
        <f t="shared" si="9"/>
        <v>6674402.8497874597</v>
      </c>
      <c r="V62" s="15">
        <f t="shared" si="9"/>
        <v>6307745.7099946663</v>
      </c>
      <c r="W62" s="15">
        <f t="shared" si="9"/>
        <v>5961230.8153115325</v>
      </c>
      <c r="X62" s="15">
        <f t="shared" si="9"/>
        <v>5633751.6550662983</v>
      </c>
      <c r="Y62" s="15">
        <f t="shared" si="9"/>
        <v>5324262.5045552067</v>
      </c>
      <c r="Z62" s="15">
        <f t="shared" si="9"/>
        <v>5031775.0857761018</v>
      </c>
      <c r="AA62" s="15">
        <f t="shared" si="9"/>
        <v>4755355.411604045</v>
      </c>
      <c r="AB62" s="15">
        <f t="shared" si="9"/>
        <v>4494120.8033315688</v>
      </c>
      <c r="AC62" s="15">
        <f t="shared" si="9"/>
        <v>4247237.0720498525</v>
      </c>
      <c r="AD62" s="15">
        <f t="shared" si="9"/>
        <v>4013915.8548702048</v>
      </c>
      <c r="AE62" s="15">
        <f t="shared" si="9"/>
        <v>3793412.0974797551</v>
      </c>
      <c r="AF62" s="15">
        <f t="shared" si="9"/>
        <v>3585021.6749925059</v>
      </c>
      <c r="AG62" s="15">
        <f t="shared" si="9"/>
        <v>3388079.1434985036</v>
      </c>
      <c r="AH62" s="15">
        <f t="shared" si="9"/>
        <v>3201955.6151312669</v>
      </c>
      <c r="AI62" s="15">
        <f t="shared" si="9"/>
        <v>3026056.7498680041</v>
      </c>
      <c r="AJ62" s="15">
        <f t="shared" si="9"/>
        <v>2859820.8576499289</v>
      </c>
      <c r="AK62" s="15">
        <f t="shared" si="9"/>
        <v>2702717.1047622696</v>
      </c>
      <c r="AL62" s="15">
        <f t="shared" si="9"/>
        <v>2554243.8187464643</v>
      </c>
      <c r="AM62" s="15">
        <f t="shared" si="9"/>
        <v>2413926.8864317145</v>
      </c>
      <c r="AN62" s="15">
        <f t="shared" si="9"/>
        <v>2281318.2399703818</v>
      </c>
      <c r="AO62" s="15">
        <f t="shared" si="9"/>
        <v>2155994.4260427719</v>
      </c>
      <c r="AP62" s="15">
        <f t="shared" si="9"/>
        <v>2037555.253662396</v>
      </c>
      <c r="AQ62" s="15">
        <f t="shared" si="9"/>
        <v>1925622.51626381</v>
      </c>
      <c r="AR62" s="15">
        <f t="shared" si="9"/>
        <v>1819838.7839923343</v>
      </c>
      <c r="AS62" s="15">
        <f t="shared" si="9"/>
        <v>1719866.262339124</v>
      </c>
      <c r="AT62" s="15">
        <f t="shared" si="9"/>
        <v>1625385.7134769184</v>
      </c>
      <c r="AU62" s="15">
        <f t="shared" si="9"/>
        <v>1536095.4368520225</v>
      </c>
      <c r="AV62" s="15">
        <f t="shared" si="9"/>
        <v>1451710.3057772836</v>
      </c>
    </row>
    <row r="63" spans="3:49" x14ac:dyDescent="0.25">
      <c r="C63" s="16" t="s">
        <v>19</v>
      </c>
      <c r="D63" s="17">
        <f ca="1">SUM($D$62:OFFSET($D$62, 0, $E$12))</f>
        <v>1075150673.5400448</v>
      </c>
      <c r="E63" s="12" t="s">
        <v>20</v>
      </c>
      <c r="F63" s="11"/>
      <c r="G63" s="11"/>
    </row>
    <row r="64" spans="3:49" x14ac:dyDescent="0.25">
      <c r="C64" s="1"/>
      <c r="D64" s="2"/>
      <c r="E64" s="2"/>
      <c r="F64" s="1"/>
      <c r="G64" s="1"/>
    </row>
    <row r="65" spans="3:7" x14ac:dyDescent="0.25">
      <c r="C65" s="1"/>
      <c r="D65" s="2"/>
      <c r="E65" s="2"/>
      <c r="F65" s="1"/>
      <c r="G65" s="1"/>
    </row>
    <row r="66" spans="3:7" x14ac:dyDescent="0.25">
      <c r="C66" s="16" t="s">
        <v>37</v>
      </c>
      <c r="D66" s="18">
        <f ca="1">D63/$D$19</f>
        <v>2.4293978086221575</v>
      </c>
      <c r="E66" s="2" t="s">
        <v>22</v>
      </c>
      <c r="F66" s="1"/>
      <c r="G66" s="1"/>
    </row>
  </sheetData>
  <mergeCells count="4">
    <mergeCell ref="C1:E1"/>
    <mergeCell ref="C30:E30"/>
    <mergeCell ref="C43:E43"/>
    <mergeCell ref="C56:E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Single Fuel_New</vt:lpstr>
      <vt:lpstr>Firing Comparison</vt:lpstr>
      <vt:lpstr>Keadby</vt:lpstr>
      <vt:lpstr>UK</vt:lpstr>
      <vt:lpstr>DE</vt:lpstr>
      <vt:lpstr>Inflation_Adjustment</vt:lpstr>
      <vt:lpstr>Inputs</vt:lpstr>
      <vt:lpstr>Methods</vt:lpstr>
      <vt:lpstr>New_built_LCOE</vt:lpstr>
      <vt:lpstr>LCOS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Abuzayed</dc:creator>
  <cp:lastModifiedBy>Anas Abuzayed</cp:lastModifiedBy>
  <dcterms:created xsi:type="dcterms:W3CDTF">2025-05-21T23:58:10Z</dcterms:created>
  <dcterms:modified xsi:type="dcterms:W3CDTF">2025-07-23T00:02:07Z</dcterms:modified>
</cp:coreProperties>
</file>