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firstSheet="4" activeTab="7"/>
  </bookViews>
  <sheets>
    <sheet name="Calculs TD8890" sheetId="1" r:id="rId1"/>
    <sheet name="Provisions mathématiques " sheetId="7" r:id="rId2"/>
    <sheet name="Marge de solvabilité" sheetId="9" r:id="rId3"/>
    <sheet name="Projection CF avec TD8890 " sheetId="19" r:id="rId4"/>
    <sheet name="Inflows &amp; Outflows TD8890" sheetId="20" r:id="rId5"/>
    <sheet name="Résultats Projetés TD8890" sheetId="22" r:id="rId6"/>
    <sheet name="Coût de capital TD8890" sheetId="23" r:id="rId7"/>
    <sheet name="Calculs CF_01" sheetId="24" r:id="rId8"/>
  </sheets>
  <calcPr calcId="152511"/>
</workbook>
</file>

<file path=xl/calcChain.xml><?xml version="1.0" encoding="utf-8"?>
<calcChain xmlns="http://schemas.openxmlformats.org/spreadsheetml/2006/main">
  <c r="B2" i="20" l="1"/>
  <c r="A2" i="20"/>
  <c r="C2" i="20" s="1"/>
  <c r="V6" i="24"/>
  <c r="Q41" i="24"/>
  <c r="R41" i="24" s="1"/>
  <c r="Q3" i="24"/>
  <c r="Q4" i="24"/>
  <c r="Q5" i="24"/>
  <c r="Q6" i="24"/>
  <c r="Q7" i="24"/>
  <c r="Q8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23" i="24"/>
  <c r="Q24" i="24"/>
  <c r="Q25" i="24"/>
  <c r="Q26" i="24"/>
  <c r="Q27" i="24"/>
  <c r="Q28" i="24"/>
  <c r="Q29" i="24"/>
  <c r="Q30" i="24"/>
  <c r="Q31" i="24"/>
  <c r="Q32" i="24"/>
  <c r="Q33" i="24"/>
  <c r="Q34" i="24"/>
  <c r="S34" i="24" s="1"/>
  <c r="Q35" i="24"/>
  <c r="Q36" i="24"/>
  <c r="Q37" i="24"/>
  <c r="Q38" i="24"/>
  <c r="Q39" i="24"/>
  <c r="Q40" i="24"/>
  <c r="Q42" i="24"/>
  <c r="Q43" i="24"/>
  <c r="Q2" i="24"/>
  <c r="D3" i="19"/>
  <c r="D2" i="19"/>
  <c r="F2" i="19" s="1"/>
  <c r="I2" i="20" s="1"/>
  <c r="F3" i="19"/>
  <c r="F74" i="19"/>
  <c r="E2" i="19" l="1"/>
  <c r="G3" i="19"/>
  <c r="T2" i="24"/>
  <c r="R2" i="24"/>
  <c r="S2" i="24"/>
  <c r="R4" i="24"/>
  <c r="E3" i="1"/>
  <c r="A3" i="20" l="1"/>
  <c r="C3" i="20" s="1"/>
  <c r="B3" i="20"/>
  <c r="I3" i="20"/>
  <c r="G4" i="19"/>
  <c r="B3" i="23"/>
  <c r="D3" i="23" s="1"/>
  <c r="B2" i="23"/>
  <c r="D2" i="23" s="1"/>
  <c r="B4" i="20" l="1"/>
  <c r="A4" i="20"/>
  <c r="C4" i="20" s="1"/>
  <c r="E2" i="23"/>
  <c r="F2" i="23" s="1"/>
  <c r="B2" i="9"/>
  <c r="A27" i="22"/>
  <c r="B27" i="22" s="1"/>
  <c r="D26" i="20"/>
  <c r="G26" i="20" s="1"/>
  <c r="E70" i="19" l="1"/>
  <c r="E72" i="19"/>
  <c r="D73" i="19"/>
  <c r="F73" i="19" s="1"/>
  <c r="D69" i="19"/>
  <c r="F69" i="19" s="1"/>
  <c r="D70" i="19"/>
  <c r="F70" i="19" s="1"/>
  <c r="D71" i="19"/>
  <c r="F71" i="19" s="1"/>
  <c r="D72" i="19"/>
  <c r="F72" i="19" s="1"/>
  <c r="E71" i="19" l="1"/>
  <c r="E73" i="19"/>
  <c r="B27" i="9"/>
  <c r="E1" i="1" l="1"/>
  <c r="G3" i="1" l="1"/>
  <c r="C3" i="23" l="1"/>
  <c r="E3" i="23"/>
  <c r="D6" i="1"/>
  <c r="C6" i="1"/>
  <c r="F3" i="23" l="1"/>
  <c r="T11" i="24"/>
  <c r="R11" i="24"/>
  <c r="S11" i="24"/>
  <c r="T3" i="24"/>
  <c r="S4" i="24"/>
  <c r="R5" i="24"/>
  <c r="R6" i="24"/>
  <c r="T7" i="24"/>
  <c r="S8" i="24"/>
  <c r="T9" i="24"/>
  <c r="T10" i="24"/>
  <c r="T12" i="24"/>
  <c r="R13" i="24"/>
  <c r="T14" i="24"/>
  <c r="R15" i="24"/>
  <c r="T16" i="24"/>
  <c r="R17" i="24"/>
  <c r="T18" i="24"/>
  <c r="S19" i="24"/>
  <c r="T20" i="24"/>
  <c r="S21" i="24"/>
  <c r="R22" i="24"/>
  <c r="T23" i="24"/>
  <c r="T24" i="24"/>
  <c r="S25" i="24"/>
  <c r="T26" i="24"/>
  <c r="T27" i="24"/>
  <c r="R28" i="24"/>
  <c r="S29" i="24"/>
  <c r="S30" i="24"/>
  <c r="T31" i="24"/>
  <c r="T32" i="24"/>
  <c r="S33" i="24"/>
  <c r="T34" i="24"/>
  <c r="T35" i="24"/>
  <c r="R36" i="24"/>
  <c r="S37" i="24"/>
  <c r="S38" i="24"/>
  <c r="T39" i="24"/>
  <c r="T40" i="24"/>
  <c r="S41" i="24"/>
  <c r="T42" i="24"/>
  <c r="T43" i="24"/>
  <c r="D68" i="19"/>
  <c r="F68" i="19" s="1"/>
  <c r="D67" i="19"/>
  <c r="D66" i="19"/>
  <c r="F66" i="19" s="1"/>
  <c r="D65" i="19"/>
  <c r="F65" i="19" s="1"/>
  <c r="D64" i="19"/>
  <c r="F64" i="19" s="1"/>
  <c r="D63" i="19"/>
  <c r="F63" i="19" s="1"/>
  <c r="D62" i="19"/>
  <c r="F62" i="19" s="1"/>
  <c r="D61" i="19"/>
  <c r="F61" i="19" s="1"/>
  <c r="D60" i="19"/>
  <c r="F60" i="19" s="1"/>
  <c r="D59" i="19"/>
  <c r="D58" i="19"/>
  <c r="F58" i="19" s="1"/>
  <c r="D57" i="19"/>
  <c r="F57" i="19" s="1"/>
  <c r="D56" i="19"/>
  <c r="F56" i="19" s="1"/>
  <c r="D55" i="19"/>
  <c r="D54" i="19"/>
  <c r="F54" i="19" s="1"/>
  <c r="D53" i="19"/>
  <c r="F53" i="19" s="1"/>
  <c r="D52" i="19"/>
  <c r="F52" i="19" s="1"/>
  <c r="D51" i="19"/>
  <c r="D50" i="19"/>
  <c r="F50" i="19" s="1"/>
  <c r="D49" i="19"/>
  <c r="F49" i="19" s="1"/>
  <c r="D48" i="19"/>
  <c r="F48" i="19" s="1"/>
  <c r="D47" i="19"/>
  <c r="D46" i="19"/>
  <c r="F46" i="19" s="1"/>
  <c r="D45" i="19"/>
  <c r="F45" i="19" s="1"/>
  <c r="D44" i="19"/>
  <c r="D43" i="19"/>
  <c r="D42" i="19"/>
  <c r="F42" i="19" s="1"/>
  <c r="D41" i="19"/>
  <c r="F41" i="19" s="1"/>
  <c r="D40" i="19"/>
  <c r="F40" i="19" s="1"/>
  <c r="D39" i="19"/>
  <c r="D38" i="19"/>
  <c r="F38" i="19" s="1"/>
  <c r="D37" i="19"/>
  <c r="F37" i="19" s="1"/>
  <c r="D36" i="19"/>
  <c r="D35" i="19"/>
  <c r="D34" i="19"/>
  <c r="F34" i="19" s="1"/>
  <c r="D33" i="19"/>
  <c r="F33" i="19" s="1"/>
  <c r="D32" i="19"/>
  <c r="F32" i="19" s="1"/>
  <c r="D31" i="19"/>
  <c r="D30" i="19"/>
  <c r="F30" i="19" s="1"/>
  <c r="D29" i="19"/>
  <c r="F29" i="19" s="1"/>
  <c r="D28" i="19"/>
  <c r="D27" i="19"/>
  <c r="D26" i="19"/>
  <c r="F26" i="19" s="1"/>
  <c r="D25" i="19"/>
  <c r="F25" i="19" s="1"/>
  <c r="D24" i="19"/>
  <c r="F24" i="19" s="1"/>
  <c r="D23" i="19"/>
  <c r="D22" i="19"/>
  <c r="F22" i="19" s="1"/>
  <c r="D21" i="19"/>
  <c r="F21" i="19" s="1"/>
  <c r="D20" i="19"/>
  <c r="D19" i="19"/>
  <c r="D18" i="19"/>
  <c r="F18" i="19" s="1"/>
  <c r="D17" i="19"/>
  <c r="F17" i="19" s="1"/>
  <c r="D16" i="19"/>
  <c r="F16" i="19" s="1"/>
  <c r="D15" i="19"/>
  <c r="D14" i="19"/>
  <c r="F14" i="19" s="1"/>
  <c r="D13" i="19"/>
  <c r="F13" i="19" s="1"/>
  <c r="D12" i="19"/>
  <c r="D11" i="19"/>
  <c r="D10" i="19"/>
  <c r="F10" i="19" s="1"/>
  <c r="D9" i="19"/>
  <c r="F9" i="19" s="1"/>
  <c r="D8" i="19"/>
  <c r="F8" i="19" s="1"/>
  <c r="D7" i="19"/>
  <c r="D6" i="19"/>
  <c r="F6" i="19" s="1"/>
  <c r="D5" i="19"/>
  <c r="F5" i="19" s="1"/>
  <c r="D4" i="19"/>
  <c r="E3" i="19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E7" i="19" l="1"/>
  <c r="F7" i="19"/>
  <c r="E11" i="19"/>
  <c r="F11" i="19"/>
  <c r="E15" i="19"/>
  <c r="F15" i="19"/>
  <c r="E19" i="19"/>
  <c r="F19" i="19"/>
  <c r="E23" i="19"/>
  <c r="F23" i="19"/>
  <c r="E27" i="19"/>
  <c r="F27" i="19"/>
  <c r="E31" i="19"/>
  <c r="F31" i="19"/>
  <c r="E35" i="19"/>
  <c r="F35" i="19"/>
  <c r="E39" i="19"/>
  <c r="F39" i="19"/>
  <c r="E43" i="19"/>
  <c r="F43" i="19"/>
  <c r="E47" i="19"/>
  <c r="F47" i="19"/>
  <c r="E51" i="19"/>
  <c r="F51" i="19"/>
  <c r="E55" i="19"/>
  <c r="F55" i="19"/>
  <c r="E59" i="19"/>
  <c r="F59" i="19"/>
  <c r="E67" i="19"/>
  <c r="F67" i="19"/>
  <c r="E4" i="19"/>
  <c r="F4" i="19"/>
  <c r="I4" i="20" s="1"/>
  <c r="E12" i="19"/>
  <c r="F12" i="19"/>
  <c r="E20" i="19"/>
  <c r="F20" i="19"/>
  <c r="E28" i="19"/>
  <c r="F28" i="19"/>
  <c r="E36" i="19"/>
  <c r="F36" i="19"/>
  <c r="E44" i="19"/>
  <c r="F44" i="19"/>
  <c r="S32" i="24"/>
  <c r="S40" i="24"/>
  <c r="R32" i="24"/>
  <c r="S9" i="24"/>
  <c r="R30" i="24"/>
  <c r="R9" i="24"/>
  <c r="S16" i="24"/>
  <c r="R38" i="24"/>
  <c r="R16" i="24"/>
  <c r="T28" i="24"/>
  <c r="S24" i="24"/>
  <c r="R40" i="24"/>
  <c r="R24" i="24"/>
  <c r="T36" i="24"/>
  <c r="S42" i="24"/>
  <c r="S26" i="24"/>
  <c r="T38" i="24"/>
  <c r="T30" i="24"/>
  <c r="R3" i="24"/>
  <c r="S36" i="24"/>
  <c r="S28" i="24"/>
  <c r="S20" i="24"/>
  <c r="S12" i="24"/>
  <c r="R42" i="24"/>
  <c r="R34" i="24"/>
  <c r="R26" i="24"/>
  <c r="R12" i="24"/>
  <c r="S18" i="24"/>
  <c r="S22" i="24"/>
  <c r="S14" i="24"/>
  <c r="S7" i="24"/>
  <c r="R14" i="24"/>
  <c r="R8" i="24"/>
  <c r="R19" i="24"/>
  <c r="T19" i="24"/>
  <c r="T15" i="24"/>
  <c r="S43" i="24"/>
  <c r="S39" i="24"/>
  <c r="S35" i="24"/>
  <c r="S31" i="24"/>
  <c r="S27" i="24"/>
  <c r="S23" i="24"/>
  <c r="S15" i="24"/>
  <c r="S3" i="24"/>
  <c r="R37" i="24"/>
  <c r="R33" i="24"/>
  <c r="R29" i="24"/>
  <c r="R25" i="24"/>
  <c r="R20" i="24"/>
  <c r="T41" i="24"/>
  <c r="T37" i="24"/>
  <c r="T33" i="24"/>
  <c r="T29" i="24"/>
  <c r="T25" i="24"/>
  <c r="R21" i="24"/>
  <c r="T21" i="24"/>
  <c r="T17" i="24"/>
  <c r="T13" i="24"/>
  <c r="T8" i="24"/>
  <c r="S17" i="24"/>
  <c r="S13" i="24"/>
  <c r="R43" i="24"/>
  <c r="R39" i="24"/>
  <c r="R35" i="24"/>
  <c r="R31" i="24"/>
  <c r="R27" i="24"/>
  <c r="R23" i="24"/>
  <c r="R18" i="24"/>
  <c r="T22" i="24"/>
  <c r="E16" i="19"/>
  <c r="S6" i="24"/>
  <c r="T6" i="24"/>
  <c r="S10" i="24"/>
  <c r="R10" i="24"/>
  <c r="R7" i="24"/>
  <c r="S5" i="24"/>
  <c r="T5" i="24"/>
  <c r="T4" i="24"/>
  <c r="E32" i="19"/>
  <c r="E40" i="19"/>
  <c r="E8" i="19"/>
  <c r="E24" i="19"/>
  <c r="E48" i="19"/>
  <c r="E52" i="19"/>
  <c r="E56" i="19"/>
  <c r="E60" i="19"/>
  <c r="E64" i="19"/>
  <c r="E68" i="19"/>
  <c r="E63" i="19"/>
  <c r="E41" i="19"/>
  <c r="E5" i="19"/>
  <c r="E9" i="19"/>
  <c r="E13" i="19"/>
  <c r="E17" i="19"/>
  <c r="E21" i="19"/>
  <c r="E25" i="19"/>
  <c r="E29" i="19"/>
  <c r="E33" i="19"/>
  <c r="E37" i="19"/>
  <c r="E45" i="19"/>
  <c r="E57" i="19"/>
  <c r="E65" i="19"/>
  <c r="E49" i="19"/>
  <c r="E6" i="19"/>
  <c r="E10" i="19"/>
  <c r="E14" i="19"/>
  <c r="E18" i="19"/>
  <c r="E22" i="19"/>
  <c r="E26" i="19"/>
  <c r="E30" i="19"/>
  <c r="E34" i="19"/>
  <c r="E38" i="19"/>
  <c r="E53" i="19"/>
  <c r="E61" i="19"/>
  <c r="E69" i="19"/>
  <c r="E42" i="19"/>
  <c r="E46" i="19"/>
  <c r="E50" i="19"/>
  <c r="E54" i="19"/>
  <c r="E58" i="19"/>
  <c r="E62" i="19"/>
  <c r="E66" i="1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4" i="7"/>
  <c r="R45" i="24" l="1"/>
  <c r="T45" i="24"/>
  <c r="S48" i="24" s="1"/>
  <c r="S45" i="24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6" i="1"/>
  <c r="C17" i="1"/>
  <c r="C18" i="1"/>
  <c r="C19" i="1"/>
  <c r="C20" i="1"/>
  <c r="C7" i="1"/>
  <c r="C8" i="1"/>
  <c r="C9" i="1"/>
  <c r="C10" i="1"/>
  <c r="C11" i="1"/>
  <c r="C12" i="1"/>
  <c r="C13" i="1"/>
  <c r="C14" i="1"/>
  <c r="C15" i="1"/>
  <c r="A7" i="1"/>
  <c r="R47" i="24" l="1"/>
  <c r="R48" i="24"/>
  <c r="A8" i="1"/>
  <c r="E8" i="1" s="1"/>
  <c r="E7" i="1"/>
  <c r="E6" i="1"/>
  <c r="D7" i="1"/>
  <c r="B4" i="23" l="1"/>
  <c r="D8" i="1"/>
  <c r="A9" i="1"/>
  <c r="G5" i="19"/>
  <c r="I5" i="20" l="1"/>
  <c r="B5" i="23"/>
  <c r="G6" i="19"/>
  <c r="B5" i="20"/>
  <c r="E4" i="23"/>
  <c r="D4" i="23"/>
  <c r="A5" i="20"/>
  <c r="C5" i="20" s="1"/>
  <c r="C4" i="23"/>
  <c r="A10" i="1"/>
  <c r="D9" i="1"/>
  <c r="E9" i="1"/>
  <c r="B6" i="20" l="1"/>
  <c r="B6" i="23"/>
  <c r="E5" i="23"/>
  <c r="C5" i="23"/>
  <c r="D5" i="23"/>
  <c r="A6" i="20"/>
  <c r="C6" i="20" s="1"/>
  <c r="I6" i="20"/>
  <c r="F4" i="23"/>
  <c r="A11" i="1"/>
  <c r="D10" i="1"/>
  <c r="E10" i="1"/>
  <c r="G7" i="19"/>
  <c r="B7" i="20" s="1"/>
  <c r="D6" i="23" l="1"/>
  <c r="C6" i="23"/>
  <c r="G8" i="19"/>
  <c r="F5" i="23"/>
  <c r="B8" i="23"/>
  <c r="D8" i="23" s="1"/>
  <c r="A8" i="20"/>
  <c r="C8" i="20" s="1"/>
  <c r="B7" i="23"/>
  <c r="I7" i="20"/>
  <c r="A7" i="20"/>
  <c r="C7" i="20" s="1"/>
  <c r="E6" i="23"/>
  <c r="A12" i="1"/>
  <c r="E11" i="1"/>
  <c r="D11" i="1"/>
  <c r="G9" i="19"/>
  <c r="B9" i="20" s="1"/>
  <c r="I8" i="20" l="1"/>
  <c r="B8" i="20"/>
  <c r="D7" i="23"/>
  <c r="C7" i="23"/>
  <c r="E7" i="23"/>
  <c r="A9" i="20"/>
  <c r="C9" i="20" s="1"/>
  <c r="I9" i="20"/>
  <c r="B9" i="23"/>
  <c r="D9" i="23" s="1"/>
  <c r="E8" i="23"/>
  <c r="C8" i="23"/>
  <c r="F6" i="23"/>
  <c r="A13" i="1"/>
  <c r="D12" i="1"/>
  <c r="E12" i="1"/>
  <c r="G10" i="19"/>
  <c r="B10" i="20" s="1"/>
  <c r="F8" i="23" l="1"/>
  <c r="I10" i="20"/>
  <c r="B10" i="23"/>
  <c r="D10" i="23" s="1"/>
  <c r="A10" i="20"/>
  <c r="C10" i="20" s="1"/>
  <c r="C9" i="23"/>
  <c r="E9" i="23"/>
  <c r="F7" i="23"/>
  <c r="A14" i="1"/>
  <c r="D13" i="1"/>
  <c r="E13" i="1"/>
  <c r="G11" i="19"/>
  <c r="B11" i="20" s="1"/>
  <c r="F9" i="23" l="1"/>
  <c r="A11" i="20"/>
  <c r="C11" i="20" s="1"/>
  <c r="I11" i="20"/>
  <c r="B11" i="23"/>
  <c r="D11" i="23" s="1"/>
  <c r="E10" i="23"/>
  <c r="C10" i="23"/>
  <c r="A15" i="1"/>
  <c r="E14" i="1"/>
  <c r="D14" i="1"/>
  <c r="G12" i="19"/>
  <c r="B12" i="20" s="1"/>
  <c r="I12" i="20" l="1"/>
  <c r="B12" i="23"/>
  <c r="D12" i="23" s="1"/>
  <c r="A12" i="20"/>
  <c r="C12" i="20" s="1"/>
  <c r="F11" i="23"/>
  <c r="C11" i="23"/>
  <c r="E11" i="23"/>
  <c r="F10" i="23"/>
  <c r="A16" i="1"/>
  <c r="D15" i="1"/>
  <c r="E15" i="1"/>
  <c r="G13" i="19"/>
  <c r="B13" i="20" s="1"/>
  <c r="A13" i="20" l="1"/>
  <c r="C13" i="20" s="1"/>
  <c r="B13" i="23"/>
  <c r="D13" i="23" s="1"/>
  <c r="I13" i="20"/>
  <c r="E12" i="23"/>
  <c r="C12" i="23"/>
  <c r="A17" i="1"/>
  <c r="D16" i="1"/>
  <c r="E16" i="1"/>
  <c r="G14" i="19"/>
  <c r="B14" i="20" s="1"/>
  <c r="B14" i="23" l="1"/>
  <c r="D14" i="23" s="1"/>
  <c r="I14" i="20"/>
  <c r="A14" i="20"/>
  <c r="C14" i="20" s="1"/>
  <c r="E13" i="23"/>
  <c r="C13" i="23"/>
  <c r="F12" i="23"/>
  <c r="A18" i="1"/>
  <c r="E17" i="1"/>
  <c r="D17" i="1"/>
  <c r="G15" i="19"/>
  <c r="B15" i="20" s="1"/>
  <c r="E14" i="23" l="1"/>
  <c r="C14" i="23"/>
  <c r="B15" i="23"/>
  <c r="D15" i="23" s="1"/>
  <c r="I15" i="20"/>
  <c r="A15" i="20"/>
  <c r="C15" i="20" s="1"/>
  <c r="F13" i="23"/>
  <c r="A19" i="1"/>
  <c r="E18" i="1"/>
  <c r="D18" i="1"/>
  <c r="G16" i="19"/>
  <c r="B16" i="20" s="1"/>
  <c r="I16" i="20" l="1"/>
  <c r="A16" i="20"/>
  <c r="C16" i="20" s="1"/>
  <c r="B16" i="23"/>
  <c r="D16" i="23" s="1"/>
  <c r="E15" i="23"/>
  <c r="C15" i="23"/>
  <c r="F14" i="23"/>
  <c r="A20" i="1"/>
  <c r="D19" i="1"/>
  <c r="E19" i="1"/>
  <c r="G17" i="19"/>
  <c r="B17" i="20" s="1"/>
  <c r="E16" i="23" l="1"/>
  <c r="F16" i="23"/>
  <c r="C16" i="23"/>
  <c r="B17" i="23"/>
  <c r="D17" i="23" s="1"/>
  <c r="A17" i="20"/>
  <c r="C17" i="20" s="1"/>
  <c r="I17" i="20"/>
  <c r="F15" i="23"/>
  <c r="E20" i="1"/>
  <c r="A21" i="1"/>
  <c r="D20" i="1"/>
  <c r="G18" i="19"/>
  <c r="B18" i="20" s="1"/>
  <c r="A18" i="20" l="1"/>
  <c r="C18" i="20" s="1"/>
  <c r="B18" i="23"/>
  <c r="D18" i="23" s="1"/>
  <c r="I18" i="20"/>
  <c r="C17" i="23"/>
  <c r="E17" i="23"/>
  <c r="A22" i="1"/>
  <c r="D21" i="1"/>
  <c r="E21" i="1"/>
  <c r="G19" i="19"/>
  <c r="B19" i="20" s="1"/>
  <c r="B19" i="23" l="1"/>
  <c r="D19" i="23" s="1"/>
  <c r="I19" i="20"/>
  <c r="A19" i="20"/>
  <c r="C19" i="20" s="1"/>
  <c r="E18" i="23"/>
  <c r="C18" i="23"/>
  <c r="F17" i="23"/>
  <c r="A23" i="1"/>
  <c r="E22" i="1"/>
  <c r="D22" i="1"/>
  <c r="G20" i="19"/>
  <c r="B20" i="20" s="1"/>
  <c r="C19" i="23" l="1"/>
  <c r="E19" i="23"/>
  <c r="I20" i="20"/>
  <c r="A20" i="20"/>
  <c r="C20" i="20" s="1"/>
  <c r="B20" i="23"/>
  <c r="D20" i="23" s="1"/>
  <c r="F18" i="23"/>
  <c r="A24" i="1"/>
  <c r="E23" i="1"/>
  <c r="D23" i="1"/>
  <c r="G21" i="19"/>
  <c r="B21" i="20" s="1"/>
  <c r="F19" i="23" l="1"/>
  <c r="A21" i="20"/>
  <c r="C21" i="20" s="1"/>
  <c r="B21" i="23"/>
  <c r="D21" i="23" s="1"/>
  <c r="I21" i="20"/>
  <c r="E20" i="23"/>
  <c r="C20" i="23"/>
  <c r="A25" i="1"/>
  <c r="E24" i="1"/>
  <c r="D24" i="1"/>
  <c r="G22" i="19"/>
  <c r="B22" i="20" s="1"/>
  <c r="B22" i="23" l="1"/>
  <c r="D22" i="23" s="1"/>
  <c r="I22" i="20"/>
  <c r="A22" i="20"/>
  <c r="C22" i="20" s="1"/>
  <c r="E21" i="23"/>
  <c r="C21" i="23"/>
  <c r="F20" i="23"/>
  <c r="A26" i="1"/>
  <c r="E25" i="1"/>
  <c r="D25" i="1"/>
  <c r="G23" i="19"/>
  <c r="B23" i="20" s="1"/>
  <c r="G24" i="19" l="1"/>
  <c r="B24" i="20" s="1"/>
  <c r="A23" i="20"/>
  <c r="C23" i="20" s="1"/>
  <c r="B23" i="23"/>
  <c r="D23" i="23" s="1"/>
  <c r="I23" i="20"/>
  <c r="E22" i="23"/>
  <c r="C22" i="23"/>
  <c r="F21" i="23"/>
  <c r="A27" i="1"/>
  <c r="D26" i="1"/>
  <c r="E26" i="1"/>
  <c r="C27" i="22"/>
  <c r="D27" i="22" s="1"/>
  <c r="E27" i="22" s="1"/>
  <c r="E23" i="23" l="1"/>
  <c r="C23" i="23"/>
  <c r="G25" i="19"/>
  <c r="B25" i="20" s="1"/>
  <c r="B24" i="23"/>
  <c r="D24" i="23" s="1"/>
  <c r="A24" i="20"/>
  <c r="C24" i="20" s="1"/>
  <c r="I24" i="20"/>
  <c r="F22" i="23"/>
  <c r="A28" i="1"/>
  <c r="E27" i="1"/>
  <c r="D27" i="1"/>
  <c r="F23" i="23" l="1"/>
  <c r="E24" i="23"/>
  <c r="C24" i="23"/>
  <c r="G26" i="19"/>
  <c r="B26" i="20" s="1"/>
  <c r="I25" i="20"/>
  <c r="A25" i="20"/>
  <c r="C25" i="20" s="1"/>
  <c r="B25" i="23"/>
  <c r="D25" i="23" s="1"/>
  <c r="A29" i="1"/>
  <c r="D28" i="1"/>
  <c r="E28" i="1"/>
  <c r="C25" i="23" l="1"/>
  <c r="E25" i="23"/>
  <c r="G27" i="19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F26" i="20"/>
  <c r="H26" i="20"/>
  <c r="B26" i="23"/>
  <c r="D26" i="23" s="1"/>
  <c r="A26" i="20"/>
  <c r="C26" i="20" s="1"/>
  <c r="F24" i="23"/>
  <c r="A30" i="1"/>
  <c r="E29" i="1"/>
  <c r="D29" i="1"/>
  <c r="E26" i="23" l="1"/>
  <c r="C26" i="23"/>
  <c r="F26" i="23" s="1"/>
  <c r="A26" i="22"/>
  <c r="B26" i="22" s="1"/>
  <c r="C26" i="22" s="1"/>
  <c r="D26" i="22" s="1"/>
  <c r="E26" i="22" s="1"/>
  <c r="F25" i="23"/>
  <c r="A31" i="1"/>
  <c r="E30" i="1"/>
  <c r="D30" i="1"/>
  <c r="A32" i="1" l="1"/>
  <c r="D31" i="1"/>
  <c r="E31" i="1"/>
  <c r="A33" i="1" l="1"/>
  <c r="E32" i="1"/>
  <c r="D32" i="1"/>
  <c r="A34" i="1" l="1"/>
  <c r="E33" i="1"/>
  <c r="D33" i="1"/>
  <c r="A35" i="1" l="1"/>
  <c r="D34" i="1"/>
  <c r="E34" i="1"/>
  <c r="A36" i="1" l="1"/>
  <c r="E35" i="1"/>
  <c r="D35" i="1"/>
  <c r="A37" i="1" l="1"/>
  <c r="E36" i="1"/>
  <c r="D36" i="1"/>
  <c r="A38" i="1" l="1"/>
  <c r="D37" i="1"/>
  <c r="E37" i="1"/>
  <c r="A39" i="1" l="1"/>
  <c r="D38" i="1"/>
  <c r="E38" i="1"/>
  <c r="A40" i="1" l="1"/>
  <c r="E39" i="1"/>
  <c r="D39" i="1"/>
  <c r="A41" i="1" l="1"/>
  <c r="D40" i="1"/>
  <c r="E40" i="1"/>
  <c r="A42" i="1" l="1"/>
  <c r="D41" i="1"/>
  <c r="E41" i="1"/>
  <c r="A43" i="1" l="1"/>
  <c r="E42" i="1"/>
  <c r="D42" i="1"/>
  <c r="A44" i="1" l="1"/>
  <c r="E43" i="1"/>
  <c r="D43" i="1"/>
  <c r="A45" i="1" l="1"/>
  <c r="E44" i="1"/>
  <c r="D44" i="1"/>
  <c r="A46" i="1" l="1"/>
  <c r="D45" i="1"/>
  <c r="E45" i="1"/>
  <c r="A47" i="1" l="1"/>
  <c r="D46" i="1"/>
  <c r="E46" i="1"/>
  <c r="A48" i="1" l="1"/>
  <c r="D47" i="1"/>
  <c r="E47" i="1"/>
  <c r="A49" i="1" l="1"/>
  <c r="E48" i="1"/>
  <c r="D48" i="1"/>
  <c r="A50" i="1" l="1"/>
  <c r="E49" i="1"/>
  <c r="D49" i="1"/>
  <c r="A51" i="1" l="1"/>
  <c r="D50" i="1"/>
  <c r="E50" i="1"/>
  <c r="A52" i="1" l="1"/>
  <c r="E51" i="1"/>
  <c r="D51" i="1"/>
  <c r="A53" i="1" l="1"/>
  <c r="E52" i="1"/>
  <c r="D52" i="1"/>
  <c r="A54" i="1" l="1"/>
  <c r="E53" i="1"/>
  <c r="D53" i="1"/>
  <c r="A55" i="1" l="1"/>
  <c r="E54" i="1"/>
  <c r="D54" i="1"/>
  <c r="A56" i="1" l="1"/>
  <c r="D55" i="1"/>
  <c r="E55" i="1"/>
  <c r="A57" i="1" l="1"/>
  <c r="D56" i="1"/>
  <c r="E56" i="1"/>
  <c r="A58" i="1" l="1"/>
  <c r="D57" i="1"/>
  <c r="E57" i="1"/>
  <c r="A59" i="1" l="1"/>
  <c r="D58" i="1"/>
  <c r="E58" i="1"/>
  <c r="A60" i="1" l="1"/>
  <c r="E59" i="1"/>
  <c r="D59" i="1"/>
  <c r="A61" i="1" l="1"/>
  <c r="E60" i="1"/>
  <c r="D60" i="1"/>
  <c r="A62" i="1" l="1"/>
  <c r="E61" i="1"/>
  <c r="D61" i="1"/>
  <c r="A63" i="1" l="1"/>
  <c r="E62" i="1"/>
  <c r="D62" i="1"/>
  <c r="A64" i="1" l="1"/>
  <c r="D63" i="1"/>
  <c r="E63" i="1"/>
  <c r="A65" i="1" l="1"/>
  <c r="E64" i="1"/>
  <c r="D64" i="1"/>
  <c r="A66" i="1" l="1"/>
  <c r="D65" i="1"/>
  <c r="E65" i="1"/>
  <c r="A67" i="1" l="1"/>
  <c r="D66" i="1"/>
  <c r="E66" i="1"/>
  <c r="A68" i="1" l="1"/>
  <c r="D67" i="1"/>
  <c r="E67" i="1"/>
  <c r="A69" i="1" l="1"/>
  <c r="D68" i="1"/>
  <c r="E68" i="1"/>
  <c r="A70" i="1" l="1"/>
  <c r="D69" i="1"/>
  <c r="E69" i="1"/>
  <c r="A71" i="1" l="1"/>
  <c r="E70" i="1"/>
  <c r="D70" i="1"/>
  <c r="A72" i="1" l="1"/>
  <c r="D71" i="1"/>
  <c r="E71" i="1"/>
  <c r="A73" i="1" l="1"/>
  <c r="E72" i="1"/>
  <c r="D72" i="1"/>
  <c r="A74" i="1" l="1"/>
  <c r="E73" i="1"/>
  <c r="D73" i="1"/>
  <c r="A75" i="1" l="1"/>
  <c r="E74" i="1"/>
  <c r="D74" i="1"/>
  <c r="A76" i="1" l="1"/>
  <c r="E75" i="1"/>
  <c r="D75" i="1"/>
  <c r="A77" i="1" l="1"/>
  <c r="D76" i="1"/>
  <c r="E76" i="1"/>
  <c r="A78" i="1" l="1"/>
  <c r="D77" i="1"/>
  <c r="E77" i="1"/>
  <c r="A79" i="1" l="1"/>
  <c r="E78" i="1"/>
  <c r="D78" i="1"/>
  <c r="A80" i="1" l="1"/>
  <c r="E79" i="1"/>
  <c r="D79" i="1"/>
  <c r="A81" i="1" l="1"/>
  <c r="D80" i="1"/>
  <c r="E80" i="1"/>
  <c r="A82" i="1" l="1"/>
  <c r="D81" i="1"/>
  <c r="E81" i="1"/>
  <c r="A83" i="1" l="1"/>
  <c r="D82" i="1"/>
  <c r="E82" i="1"/>
  <c r="A84" i="1" l="1"/>
  <c r="E83" i="1"/>
  <c r="D83" i="1"/>
  <c r="A85" i="1" l="1"/>
  <c r="E84" i="1"/>
  <c r="D84" i="1"/>
  <c r="A86" i="1" l="1"/>
  <c r="D85" i="1"/>
  <c r="E85" i="1"/>
  <c r="A87" i="1" l="1"/>
  <c r="D86" i="1"/>
  <c r="E86" i="1"/>
  <c r="A88" i="1" l="1"/>
  <c r="D87" i="1"/>
  <c r="E87" i="1"/>
  <c r="A89" i="1" l="1"/>
  <c r="E88" i="1"/>
  <c r="D88" i="1"/>
  <c r="A90" i="1" l="1"/>
  <c r="D89" i="1"/>
  <c r="E89" i="1"/>
  <c r="A91" i="1" l="1"/>
  <c r="D90" i="1"/>
  <c r="E90" i="1"/>
  <c r="A92" i="1" l="1"/>
  <c r="E91" i="1"/>
  <c r="D91" i="1"/>
  <c r="A93" i="1" l="1"/>
  <c r="D92" i="1"/>
  <c r="E92" i="1"/>
  <c r="A94" i="1" l="1"/>
  <c r="D93" i="1"/>
  <c r="E93" i="1"/>
  <c r="A95" i="1" l="1"/>
  <c r="E94" i="1"/>
  <c r="D94" i="1"/>
  <c r="A96" i="1" l="1"/>
  <c r="D95" i="1"/>
  <c r="E95" i="1"/>
  <c r="A97" i="1" l="1"/>
  <c r="E96" i="1"/>
  <c r="D96" i="1"/>
  <c r="A98" i="1" l="1"/>
  <c r="D97" i="1"/>
  <c r="E97" i="1"/>
  <c r="A99" i="1" l="1"/>
  <c r="D98" i="1"/>
  <c r="E98" i="1"/>
  <c r="A100" i="1" l="1"/>
  <c r="E99" i="1"/>
  <c r="D99" i="1"/>
  <c r="A101" i="1" l="1"/>
  <c r="E100" i="1"/>
  <c r="D100" i="1"/>
  <c r="A102" i="1" l="1"/>
  <c r="D101" i="1"/>
  <c r="E101" i="1"/>
  <c r="A103" i="1" l="1"/>
  <c r="E102" i="1"/>
  <c r="D102" i="1"/>
  <c r="A104" i="1" l="1"/>
  <c r="E103" i="1"/>
  <c r="D103" i="1"/>
  <c r="A105" i="1" l="1"/>
  <c r="D104" i="1"/>
  <c r="E104" i="1"/>
  <c r="A106" i="1" l="1"/>
  <c r="E105" i="1"/>
  <c r="D105" i="1"/>
  <c r="A107" i="1" l="1"/>
  <c r="E106" i="1"/>
  <c r="D106" i="1"/>
  <c r="A108" i="1" l="1"/>
  <c r="D107" i="1"/>
  <c r="E107" i="1"/>
  <c r="A109" i="1" l="1"/>
  <c r="E108" i="1"/>
  <c r="D108" i="1"/>
  <c r="A110" i="1" l="1"/>
  <c r="D109" i="1"/>
  <c r="E109" i="1"/>
  <c r="A111" i="1" l="1"/>
  <c r="D110" i="1"/>
  <c r="E110" i="1"/>
  <c r="A112" i="1" l="1"/>
  <c r="E111" i="1"/>
  <c r="D111" i="1"/>
  <c r="A113" i="1" l="1"/>
  <c r="D112" i="1"/>
  <c r="E112" i="1"/>
  <c r="E113" i="1" l="1"/>
  <c r="D113" i="1"/>
  <c r="G111" i="1" s="1"/>
  <c r="F113" i="1" l="1"/>
  <c r="F6" i="1"/>
  <c r="H6" i="1" s="1"/>
  <c r="F12" i="1"/>
  <c r="F10" i="1"/>
  <c r="F8" i="1"/>
  <c r="F11" i="1"/>
  <c r="F9" i="1"/>
  <c r="F13" i="1"/>
  <c r="F15" i="1"/>
  <c r="F14" i="1"/>
  <c r="F17" i="1"/>
  <c r="F16" i="1"/>
  <c r="F18" i="1"/>
  <c r="F19" i="1"/>
  <c r="F21" i="1"/>
  <c r="F22" i="1"/>
  <c r="F20" i="1"/>
  <c r="F7" i="1"/>
  <c r="H7" i="1" s="1"/>
  <c r="F23" i="1"/>
  <c r="F25" i="1"/>
  <c r="F26" i="1"/>
  <c r="F28" i="1"/>
  <c r="F27" i="1"/>
  <c r="F30" i="1"/>
  <c r="F29" i="1"/>
  <c r="F24" i="1"/>
  <c r="F31" i="1"/>
  <c r="F33" i="1"/>
  <c r="F32" i="1"/>
  <c r="F34" i="1"/>
  <c r="F36" i="1"/>
  <c r="F35" i="1"/>
  <c r="F37" i="1"/>
  <c r="F38" i="1"/>
  <c r="F39" i="1"/>
  <c r="F41" i="1"/>
  <c r="F42" i="1"/>
  <c r="F40" i="1"/>
  <c r="F45" i="1"/>
  <c r="F43" i="1"/>
  <c r="F46" i="1"/>
  <c r="F44" i="1"/>
  <c r="F47" i="1"/>
  <c r="F48" i="1"/>
  <c r="F49" i="1"/>
  <c r="F51" i="1"/>
  <c r="F50" i="1"/>
  <c r="F53" i="1"/>
  <c r="F52" i="1"/>
  <c r="F54" i="1"/>
  <c r="F56" i="1"/>
  <c r="F59" i="1"/>
  <c r="F55" i="1"/>
  <c r="F60" i="1"/>
  <c r="F57" i="1"/>
  <c r="F58" i="1"/>
  <c r="F63" i="1"/>
  <c r="F61" i="1"/>
  <c r="F62" i="1"/>
  <c r="F64" i="1"/>
  <c r="F65" i="1"/>
  <c r="F66" i="1"/>
  <c r="F67" i="1"/>
  <c r="F68" i="1"/>
  <c r="F69" i="1"/>
  <c r="F72" i="1"/>
  <c r="F70" i="1"/>
  <c r="F74" i="1"/>
  <c r="F71" i="1"/>
  <c r="F73" i="1"/>
  <c r="F75" i="1"/>
  <c r="F78" i="1"/>
  <c r="F76" i="1"/>
  <c r="F77" i="1"/>
  <c r="F79" i="1"/>
  <c r="F80" i="1"/>
  <c r="F81" i="1"/>
  <c r="F84" i="1"/>
  <c r="F83" i="1"/>
  <c r="F82" i="1"/>
  <c r="F85" i="1"/>
  <c r="F87" i="1"/>
  <c r="F86" i="1"/>
  <c r="F88" i="1"/>
  <c r="F89" i="1"/>
  <c r="F90" i="1"/>
  <c r="F91" i="1"/>
  <c r="F92" i="1"/>
  <c r="F93" i="1"/>
  <c r="F95" i="1"/>
  <c r="F96" i="1"/>
  <c r="F94" i="1"/>
  <c r="F99" i="1"/>
  <c r="F98" i="1"/>
  <c r="F97" i="1"/>
  <c r="F100" i="1"/>
  <c r="F101" i="1"/>
  <c r="F103" i="1"/>
  <c r="F104" i="1"/>
  <c r="F102" i="1"/>
  <c r="F111" i="1"/>
  <c r="F105" i="1"/>
  <c r="F107" i="1"/>
  <c r="F108" i="1"/>
  <c r="F106" i="1"/>
  <c r="F112" i="1"/>
  <c r="G113" i="1"/>
  <c r="G10" i="1"/>
  <c r="G7" i="1"/>
  <c r="G8" i="1"/>
  <c r="G11" i="1"/>
  <c r="G9" i="1"/>
  <c r="G6" i="1"/>
  <c r="G12" i="1"/>
  <c r="G16" i="1"/>
  <c r="G13" i="1"/>
  <c r="G14" i="1"/>
  <c r="G17" i="1"/>
  <c r="G15" i="1"/>
  <c r="G20" i="1"/>
  <c r="G18" i="1"/>
  <c r="G19" i="1"/>
  <c r="G21" i="1"/>
  <c r="G22" i="1"/>
  <c r="G25" i="1"/>
  <c r="G23" i="1"/>
  <c r="G26" i="1"/>
  <c r="G24" i="1"/>
  <c r="G28" i="1"/>
  <c r="G29" i="1"/>
  <c r="G27" i="1"/>
  <c r="G31" i="1"/>
  <c r="G30" i="1"/>
  <c r="G32" i="1"/>
  <c r="G35" i="1"/>
  <c r="G34" i="1"/>
  <c r="G33" i="1"/>
  <c r="G36" i="1"/>
  <c r="G38" i="1"/>
  <c r="G37" i="1"/>
  <c r="G40" i="1"/>
  <c r="G41" i="1"/>
  <c r="G39" i="1"/>
  <c r="G42" i="1"/>
  <c r="G43" i="1"/>
  <c r="G46" i="1"/>
  <c r="G45" i="1"/>
  <c r="G44" i="1"/>
  <c r="G47" i="1"/>
  <c r="G50" i="1"/>
  <c r="G48" i="1"/>
  <c r="G49" i="1"/>
  <c r="G51" i="1"/>
  <c r="G52" i="1"/>
  <c r="G53" i="1"/>
  <c r="G54" i="1"/>
  <c r="G56" i="1"/>
  <c r="G55" i="1"/>
  <c r="G59" i="1"/>
  <c r="G58" i="1"/>
  <c r="G57" i="1"/>
  <c r="G60" i="1"/>
  <c r="G61" i="1"/>
  <c r="G63" i="1"/>
  <c r="G62" i="1"/>
  <c r="G65" i="1"/>
  <c r="G64" i="1"/>
  <c r="G66" i="1"/>
  <c r="G69" i="1"/>
  <c r="G68" i="1"/>
  <c r="G67" i="1"/>
  <c r="G70" i="1"/>
  <c r="G72" i="1"/>
  <c r="G71" i="1"/>
  <c r="G73" i="1"/>
  <c r="G74" i="1"/>
  <c r="G77" i="1"/>
  <c r="G75" i="1"/>
  <c r="G76" i="1"/>
  <c r="G78" i="1"/>
  <c r="G79" i="1"/>
  <c r="G80" i="1"/>
  <c r="G81" i="1"/>
  <c r="G82" i="1"/>
  <c r="G85" i="1"/>
  <c r="G83" i="1"/>
  <c r="G84" i="1"/>
  <c r="G86" i="1"/>
  <c r="G87" i="1"/>
  <c r="G88" i="1"/>
  <c r="G89" i="1"/>
  <c r="G91" i="1"/>
  <c r="G90" i="1"/>
  <c r="G92" i="1"/>
  <c r="G93" i="1"/>
  <c r="G96" i="1"/>
  <c r="G94" i="1"/>
  <c r="G95" i="1"/>
  <c r="G97" i="1"/>
  <c r="G99" i="1"/>
  <c r="G101" i="1"/>
  <c r="G98" i="1"/>
  <c r="G100" i="1"/>
  <c r="G103" i="1"/>
  <c r="G102" i="1"/>
  <c r="G104" i="1"/>
  <c r="G109" i="1"/>
  <c r="G108" i="1"/>
  <c r="G105" i="1"/>
  <c r="G110" i="1"/>
  <c r="F109" i="1"/>
  <c r="F110" i="1"/>
  <c r="G112" i="1"/>
  <c r="G107" i="1"/>
  <c r="G106" i="1"/>
  <c r="B25" i="7" l="1"/>
  <c r="I64" i="1"/>
  <c r="B19" i="7"/>
  <c r="I58" i="1"/>
  <c r="B20" i="7"/>
  <c r="I59" i="1"/>
  <c r="B14" i="7"/>
  <c r="I53" i="1"/>
  <c r="B9" i="7"/>
  <c r="I48" i="1"/>
  <c r="B4" i="7"/>
  <c r="I43" i="1"/>
  <c r="I41" i="1"/>
  <c r="C116" i="1"/>
  <c r="C117" i="1" s="1"/>
  <c r="B23" i="7"/>
  <c r="I62" i="1"/>
  <c r="B18" i="7"/>
  <c r="I57" i="1"/>
  <c r="B17" i="7"/>
  <c r="I56" i="1"/>
  <c r="B11" i="7"/>
  <c r="I50" i="1"/>
  <c r="B8" i="7"/>
  <c r="I47" i="1"/>
  <c r="B6" i="7"/>
  <c r="I45" i="1"/>
  <c r="B22" i="7"/>
  <c r="I61" i="1"/>
  <c r="B21" i="7"/>
  <c r="I60" i="1"/>
  <c r="B15" i="7"/>
  <c r="I54" i="1"/>
  <c r="B12" i="7"/>
  <c r="I51" i="1"/>
  <c r="B5" i="7"/>
  <c r="I44" i="1"/>
  <c r="B26" i="7"/>
  <c r="I65" i="1"/>
  <c r="B24" i="7"/>
  <c r="I63" i="1"/>
  <c r="B16" i="7"/>
  <c r="I55" i="1"/>
  <c r="B13" i="7"/>
  <c r="I52" i="1"/>
  <c r="B10" i="7"/>
  <c r="I49" i="1"/>
  <c r="B7" i="7"/>
  <c r="I46" i="1"/>
  <c r="B3" i="7"/>
  <c r="I42" i="1"/>
  <c r="H44" i="1"/>
  <c r="H43" i="1"/>
  <c r="H106" i="1"/>
  <c r="H111" i="1"/>
  <c r="H101" i="1"/>
  <c r="H99" i="1"/>
  <c r="H73" i="1"/>
  <c r="H93" i="1"/>
  <c r="H89" i="1"/>
  <c r="H85" i="1"/>
  <c r="H81" i="1"/>
  <c r="H76" i="1"/>
  <c r="H71" i="1"/>
  <c r="H69" i="1"/>
  <c r="H65" i="1"/>
  <c r="H63" i="1"/>
  <c r="H55" i="1"/>
  <c r="H52" i="1"/>
  <c r="H49" i="1"/>
  <c r="H46" i="1"/>
  <c r="H42" i="1"/>
  <c r="H37" i="1"/>
  <c r="H32" i="1"/>
  <c r="H29" i="1"/>
  <c r="H26" i="1"/>
  <c r="H20" i="1"/>
  <c r="H18" i="1"/>
  <c r="H15" i="1"/>
  <c r="H8" i="1"/>
  <c r="H110" i="1"/>
  <c r="H112" i="1"/>
  <c r="H105" i="1"/>
  <c r="H103" i="1"/>
  <c r="H98" i="1"/>
  <c r="H95" i="1"/>
  <c r="H90" i="1"/>
  <c r="H87" i="1"/>
  <c r="H84" i="1"/>
  <c r="H77" i="1"/>
  <c r="H72" i="1"/>
  <c r="H66" i="1"/>
  <c r="H61" i="1"/>
  <c r="H60" i="1"/>
  <c r="H54" i="1"/>
  <c r="H51" i="1"/>
  <c r="H40" i="1"/>
  <c r="H38" i="1"/>
  <c r="H34" i="1"/>
  <c r="H24" i="1"/>
  <c r="H28" i="1"/>
  <c r="H19" i="1"/>
  <c r="H14" i="1"/>
  <c r="H11" i="1"/>
  <c r="H109" i="1"/>
  <c r="H107" i="1"/>
  <c r="H104" i="1"/>
  <c r="H97" i="1"/>
  <c r="H96" i="1"/>
  <c r="H91" i="1"/>
  <c r="H86" i="1"/>
  <c r="H83" i="1"/>
  <c r="H79" i="1"/>
  <c r="H75" i="1"/>
  <c r="H70" i="1"/>
  <c r="H67" i="1"/>
  <c r="H62" i="1"/>
  <c r="H57" i="1"/>
  <c r="H56" i="1"/>
  <c r="H50" i="1"/>
  <c r="H47" i="1"/>
  <c r="H16" i="1"/>
  <c r="H36" i="1"/>
  <c r="H45" i="1"/>
  <c r="H39" i="1"/>
  <c r="H31" i="1"/>
  <c r="H27" i="1"/>
  <c r="H23" i="1"/>
  <c r="H21" i="1"/>
  <c r="H17" i="1"/>
  <c r="H9" i="1"/>
  <c r="H12" i="1"/>
  <c r="H88" i="1"/>
  <c r="H108" i="1"/>
  <c r="H102" i="1"/>
  <c r="H100" i="1"/>
  <c r="H94" i="1"/>
  <c r="H92" i="1"/>
  <c r="H82" i="1"/>
  <c r="H80" i="1"/>
  <c r="H78" i="1"/>
  <c r="H74" i="1"/>
  <c r="H68" i="1"/>
  <c r="H64" i="1"/>
  <c r="H58" i="1"/>
  <c r="H59" i="1"/>
  <c r="H53" i="1"/>
  <c r="H48" i="1"/>
  <c r="H41" i="1"/>
  <c r="H35" i="1"/>
  <c r="H33" i="1"/>
  <c r="H30" i="1"/>
  <c r="H25" i="1"/>
  <c r="H22" i="1"/>
  <c r="H13" i="1"/>
  <c r="H10" i="1"/>
  <c r="D6" i="20" l="1"/>
  <c r="B7" i="9"/>
  <c r="D12" i="20"/>
  <c r="B13" i="9"/>
  <c r="D23" i="20"/>
  <c r="B24" i="9"/>
  <c r="D4" i="20"/>
  <c r="B5" i="9"/>
  <c r="D14" i="20"/>
  <c r="B15" i="9"/>
  <c r="D21" i="20"/>
  <c r="B22" i="9"/>
  <c r="D7" i="20"/>
  <c r="B8" i="9"/>
  <c r="D16" i="20"/>
  <c r="B17" i="9"/>
  <c r="D22" i="20"/>
  <c r="B23" i="9"/>
  <c r="D3" i="20"/>
  <c r="B4" i="9"/>
  <c r="D13" i="20"/>
  <c r="B14" i="9"/>
  <c r="D18" i="20"/>
  <c r="B19" i="9"/>
  <c r="D2" i="20"/>
  <c r="B3" i="9"/>
  <c r="D9" i="20"/>
  <c r="B10" i="9"/>
  <c r="D15" i="20"/>
  <c r="B16" i="9"/>
  <c r="D25" i="20"/>
  <c r="B26" i="9"/>
  <c r="D11" i="20"/>
  <c r="B12" i="9"/>
  <c r="D20" i="20"/>
  <c r="B21" i="9"/>
  <c r="D5" i="20"/>
  <c r="B6" i="9"/>
  <c r="D10" i="20"/>
  <c r="B11" i="9"/>
  <c r="D17" i="20"/>
  <c r="B18" i="9"/>
  <c r="D8" i="20"/>
  <c r="B9" i="9"/>
  <c r="D19" i="20"/>
  <c r="B20" i="9"/>
  <c r="D24" i="20"/>
  <c r="B25" i="9"/>
  <c r="G24" i="20" l="1"/>
  <c r="H24" i="20" s="1"/>
  <c r="F24" i="20"/>
  <c r="E24" i="20"/>
  <c r="G8" i="20"/>
  <c r="H8" i="20" s="1"/>
  <c r="A8" i="22" s="1"/>
  <c r="B8" i="22" s="1"/>
  <c r="F8" i="20"/>
  <c r="E8" i="20"/>
  <c r="G10" i="20"/>
  <c r="H10" i="20" s="1"/>
  <c r="F10" i="20"/>
  <c r="E10" i="20"/>
  <c r="G20" i="20"/>
  <c r="H20" i="20" s="1"/>
  <c r="F20" i="20"/>
  <c r="E20" i="20"/>
  <c r="G25" i="20"/>
  <c r="H25" i="20" s="1"/>
  <c r="F25" i="20"/>
  <c r="E25" i="20"/>
  <c r="G9" i="20"/>
  <c r="H9" i="20" s="1"/>
  <c r="A9" i="22" s="1"/>
  <c r="B9" i="22" s="1"/>
  <c r="C9" i="22" s="1"/>
  <c r="D9" i="22" s="1"/>
  <c r="E9" i="22" s="1"/>
  <c r="F9" i="20"/>
  <c r="E9" i="20"/>
  <c r="G18" i="20"/>
  <c r="H18" i="20" s="1"/>
  <c r="F18" i="20"/>
  <c r="E18" i="20"/>
  <c r="E3" i="20"/>
  <c r="G3" i="20"/>
  <c r="H3" i="20" s="1"/>
  <c r="F3" i="20"/>
  <c r="G16" i="20"/>
  <c r="H16" i="20" s="1"/>
  <c r="F16" i="20"/>
  <c r="E16" i="20"/>
  <c r="G21" i="20"/>
  <c r="H21" i="20" s="1"/>
  <c r="A21" i="22" s="1"/>
  <c r="B21" i="22" s="1"/>
  <c r="C21" i="22" s="1"/>
  <c r="D21" i="22" s="1"/>
  <c r="E21" i="22" s="1"/>
  <c r="E21" i="20"/>
  <c r="F21" i="20"/>
  <c r="F4" i="20"/>
  <c r="G4" i="20"/>
  <c r="H4" i="20" s="1"/>
  <c r="A4" i="22" s="1"/>
  <c r="B4" i="22" s="1"/>
  <c r="E4" i="20"/>
  <c r="G12" i="20"/>
  <c r="H12" i="20" s="1"/>
  <c r="E12" i="20"/>
  <c r="F12" i="20"/>
  <c r="G19" i="20"/>
  <c r="H19" i="20" s="1"/>
  <c r="E19" i="20"/>
  <c r="F19" i="20"/>
  <c r="G17" i="20"/>
  <c r="H17" i="20" s="1"/>
  <c r="A17" i="22" s="1"/>
  <c r="B17" i="22" s="1"/>
  <c r="C17" i="22" s="1"/>
  <c r="D17" i="22" s="1"/>
  <c r="E17" i="22" s="1"/>
  <c r="F17" i="20"/>
  <c r="E17" i="20"/>
  <c r="F5" i="20"/>
  <c r="E5" i="20"/>
  <c r="G5" i="20"/>
  <c r="H5" i="20" s="1"/>
  <c r="G11" i="20"/>
  <c r="H11" i="20" s="1"/>
  <c r="E11" i="20"/>
  <c r="F11" i="20"/>
  <c r="G15" i="20"/>
  <c r="H15" i="20" s="1"/>
  <c r="A15" i="22" s="1"/>
  <c r="B15" i="22" s="1"/>
  <c r="C15" i="22" s="1"/>
  <c r="D15" i="22" s="1"/>
  <c r="E15" i="22" s="1"/>
  <c r="E15" i="20"/>
  <c r="F15" i="20"/>
  <c r="F2" i="20"/>
  <c r="G2" i="20"/>
  <c r="H2" i="20" s="1"/>
  <c r="G13" i="20"/>
  <c r="H13" i="20" s="1"/>
  <c r="E13" i="20"/>
  <c r="F13" i="20"/>
  <c r="G22" i="20"/>
  <c r="H22" i="20" s="1"/>
  <c r="A22" i="22" s="1"/>
  <c r="B22" i="22" s="1"/>
  <c r="C22" i="22" s="1"/>
  <c r="D22" i="22" s="1"/>
  <c r="E22" i="22" s="1"/>
  <c r="F22" i="20"/>
  <c r="E22" i="20"/>
  <c r="G7" i="20"/>
  <c r="H7" i="20" s="1"/>
  <c r="A7" i="22" s="1"/>
  <c r="B7" i="22" s="1"/>
  <c r="C7" i="22" s="1"/>
  <c r="D7" i="22" s="1"/>
  <c r="E7" i="22" s="1"/>
  <c r="F7" i="20"/>
  <c r="E7" i="20"/>
  <c r="G14" i="20"/>
  <c r="H14" i="20" s="1"/>
  <c r="E14" i="20"/>
  <c r="F14" i="20"/>
  <c r="G23" i="20"/>
  <c r="H23" i="20" s="1"/>
  <c r="E23" i="20"/>
  <c r="F23" i="20"/>
  <c r="G6" i="20"/>
  <c r="H6" i="20" s="1"/>
  <c r="A6" i="22" s="1"/>
  <c r="B6" i="22" s="1"/>
  <c r="C6" i="22" s="1"/>
  <c r="D6" i="22" s="1"/>
  <c r="E6" i="22" s="1"/>
  <c r="F6" i="20"/>
  <c r="E6" i="20"/>
  <c r="C4" i="22" l="1"/>
  <c r="D4" i="22"/>
  <c r="E4" i="22" s="1"/>
  <c r="C8" i="22"/>
  <c r="D8" i="22"/>
  <c r="E8" i="22" s="1"/>
  <c r="A14" i="22"/>
  <c r="B14" i="22" s="1"/>
  <c r="C14" i="22" s="1"/>
  <c r="D14" i="22" s="1"/>
  <c r="E14" i="22" s="1"/>
  <c r="A3" i="22"/>
  <c r="B3" i="22" s="1"/>
  <c r="A18" i="22"/>
  <c r="B18" i="22" s="1"/>
  <c r="C18" i="22" s="1"/>
  <c r="D18" i="22" s="1"/>
  <c r="E18" i="22" s="1"/>
  <c r="A10" i="22"/>
  <c r="B10" i="22" s="1"/>
  <c r="C10" i="22" s="1"/>
  <c r="D10" i="22" s="1"/>
  <c r="E10" i="22" s="1"/>
  <c r="A23" i="22"/>
  <c r="B23" i="22" s="1"/>
  <c r="C23" i="22" s="1"/>
  <c r="D23" i="22" s="1"/>
  <c r="E23" i="22" s="1"/>
  <c r="A13" i="22"/>
  <c r="B13" i="22" s="1"/>
  <c r="C13" i="22" s="1"/>
  <c r="D13" i="22" s="1"/>
  <c r="E13" i="22" s="1"/>
  <c r="A11" i="22"/>
  <c r="B11" i="22" s="1"/>
  <c r="C11" i="22" s="1"/>
  <c r="D11" i="22" s="1"/>
  <c r="E11" i="22" s="1"/>
  <c r="A12" i="22"/>
  <c r="B12" i="22" s="1"/>
  <c r="C12" i="22" s="1"/>
  <c r="D12" i="22" s="1"/>
  <c r="E12" i="22" s="1"/>
  <c r="A20" i="22"/>
  <c r="B20" i="22" s="1"/>
  <c r="C20" i="22" s="1"/>
  <c r="D20" i="22" s="1"/>
  <c r="E20" i="22" s="1"/>
  <c r="A2" i="22"/>
  <c r="B2" i="22" s="1"/>
  <c r="A5" i="22"/>
  <c r="B5" i="22" s="1"/>
  <c r="A19" i="22"/>
  <c r="B19" i="22" s="1"/>
  <c r="C19" i="22" s="1"/>
  <c r="D19" i="22" s="1"/>
  <c r="E19" i="22" s="1"/>
  <c r="A16" i="22"/>
  <c r="B16" i="22" s="1"/>
  <c r="C16" i="22" s="1"/>
  <c r="D16" i="22" s="1"/>
  <c r="E16" i="22" s="1"/>
  <c r="A25" i="22"/>
  <c r="B25" i="22" s="1"/>
  <c r="C25" i="22" s="1"/>
  <c r="D25" i="22" s="1"/>
  <c r="E25" i="22" s="1"/>
  <c r="A24" i="22"/>
  <c r="B24" i="22" s="1"/>
  <c r="C24" i="22" s="1"/>
  <c r="D24" i="22" s="1"/>
  <c r="E24" i="22" s="1"/>
  <c r="C5" i="22" l="1"/>
  <c r="D5" i="22" s="1"/>
  <c r="E5" i="22" s="1"/>
  <c r="C2" i="22"/>
  <c r="D2" i="22"/>
  <c r="E2" i="22" s="1"/>
  <c r="C3" i="22"/>
  <c r="D3" i="22"/>
  <c r="E3" i="22" s="1"/>
  <c r="H8" i="22" l="1"/>
  <c r="B29" i="22"/>
</calcChain>
</file>

<file path=xl/sharedStrings.xml><?xml version="1.0" encoding="utf-8"?>
<sst xmlns="http://schemas.openxmlformats.org/spreadsheetml/2006/main" count="158" uniqueCount="75">
  <si>
    <t>Age</t>
  </si>
  <si>
    <t xml:space="preserve">Table mortalité: </t>
  </si>
  <si>
    <t>TD8890</t>
  </si>
  <si>
    <t>Lx</t>
  </si>
  <si>
    <t>dx</t>
  </si>
  <si>
    <t>Dx</t>
  </si>
  <si>
    <t>Cx</t>
  </si>
  <si>
    <t>Mx</t>
  </si>
  <si>
    <t xml:space="preserve">Prime unique = </t>
  </si>
  <si>
    <t>Nx</t>
  </si>
  <si>
    <t xml:space="preserve">Primes annuelles = </t>
  </si>
  <si>
    <t>Primes de risque</t>
  </si>
  <si>
    <t>-</t>
  </si>
  <si>
    <t xml:space="preserve">Année </t>
  </si>
  <si>
    <t>Provisions mathématiques TD8890</t>
  </si>
  <si>
    <t>Marge de solvabilité TD8890</t>
  </si>
  <si>
    <t>Âge</t>
  </si>
  <si>
    <t>Année de projection</t>
  </si>
  <si>
    <t>Probabilité en vigueur</t>
  </si>
  <si>
    <t>Probabilité de rachat</t>
  </si>
  <si>
    <r>
      <t>Quotient de mortalité q</t>
    </r>
    <r>
      <rPr>
        <b/>
        <sz val="8"/>
        <color rgb="FFFF0000"/>
        <rFont val="Times New Roman"/>
        <family val="1"/>
      </rPr>
      <t>x</t>
    </r>
  </si>
  <si>
    <r>
      <t>Quotient de survie p</t>
    </r>
    <r>
      <rPr>
        <b/>
        <sz val="8"/>
        <color rgb="FFFF0000"/>
        <rFont val="Times New Roman"/>
        <family val="1"/>
      </rPr>
      <t>x</t>
    </r>
  </si>
  <si>
    <t>Prime 
probabilisée</t>
  </si>
  <si>
    <t>Frais 
probabilisés</t>
  </si>
  <si>
    <t>Commissions
probabilisées</t>
  </si>
  <si>
    <t>PMk</t>
  </si>
  <si>
    <t>Variation 
des PMk
probabilisée</t>
  </si>
  <si>
    <t>Prestations
de rachat
probabilisées</t>
  </si>
  <si>
    <t>Produits 
financiers</t>
  </si>
  <si>
    <t>Produits
financiers
probabilisés</t>
  </si>
  <si>
    <t>Prestations 
décès</t>
  </si>
  <si>
    <t>Résultat brut</t>
  </si>
  <si>
    <t>Résultat brut actualisé</t>
  </si>
  <si>
    <t>Taxe</t>
  </si>
  <si>
    <t>Résulat net actualisé</t>
  </si>
  <si>
    <t>Résultat net</t>
  </si>
  <si>
    <t xml:space="preserve">Valeur du profit = </t>
  </si>
  <si>
    <t>MSR</t>
  </si>
  <si>
    <t>MSR probabilisée</t>
  </si>
  <si>
    <t>Variation MSR</t>
  </si>
  <si>
    <t>Produits financiers sur MSR</t>
  </si>
  <si>
    <t>Taxe sur produits financiers sur MSR</t>
  </si>
  <si>
    <t>Coût de capital</t>
  </si>
  <si>
    <t>Maintenance 
Loadings</t>
  </si>
  <si>
    <t>Reserves at 4,5%</t>
  </si>
  <si>
    <t>Claims Death 4,5%</t>
  </si>
  <si>
    <t>Claims Surrender 4,5%</t>
  </si>
  <si>
    <t>Maturity 4,5%</t>
  </si>
  <si>
    <t xml:space="preserve"> Maintenance Expenses</t>
  </si>
  <si>
    <t>Profit sharing</t>
  </si>
  <si>
    <t>Reinsurance</t>
  </si>
  <si>
    <t>Delta Solvency Margin</t>
  </si>
  <si>
    <t>Année</t>
  </si>
  <si>
    <t>Primes</t>
  </si>
  <si>
    <t>Prduits financiers</t>
  </si>
  <si>
    <t>CF</t>
  </si>
  <si>
    <r>
      <t>t × CF</t>
    </r>
    <r>
      <rPr>
        <b/>
        <sz val="9"/>
        <color indexed="9"/>
        <rFont val="Times New Roman"/>
        <family val="1"/>
      </rPr>
      <t>t</t>
    </r>
    <r>
      <rPr>
        <b/>
        <sz val="12"/>
        <color indexed="9"/>
        <rFont val="Times New Roman"/>
        <family val="1"/>
      </rPr>
      <t xml:space="preserve"> × v^t</t>
    </r>
  </si>
  <si>
    <t xml:space="preserve"> CFt × v^t</t>
  </si>
  <si>
    <t xml:space="preserve">Total = </t>
  </si>
  <si>
    <t xml:space="preserve">Duration = </t>
  </si>
  <si>
    <r>
      <t>t × (t+1) × CF</t>
    </r>
    <r>
      <rPr>
        <b/>
        <sz val="9"/>
        <color indexed="9"/>
        <rFont val="Times New Roman"/>
        <family val="1"/>
      </rPr>
      <t>t</t>
    </r>
    <r>
      <rPr>
        <b/>
        <sz val="12"/>
        <color indexed="9"/>
        <rFont val="Times New Roman"/>
        <family val="1"/>
      </rPr>
      <t xml:space="preserve"> × v^t</t>
    </r>
  </si>
  <si>
    <t xml:space="preserve">v = </t>
  </si>
  <si>
    <t xml:space="preserve">Convexité = </t>
  </si>
  <si>
    <t>v</t>
  </si>
  <si>
    <t xml:space="preserve">Taux technique </t>
  </si>
  <si>
    <t>n</t>
  </si>
  <si>
    <t>x</t>
  </si>
  <si>
    <t>Assurance temporaire décès</t>
  </si>
  <si>
    <t>C</t>
  </si>
  <si>
    <t>Survivants TD</t>
  </si>
  <si>
    <r>
      <t>Mortalité d'expérience 80% * q</t>
    </r>
    <r>
      <rPr>
        <b/>
        <sz val="8"/>
        <color rgb="FFFF0000"/>
        <rFont val="Times New Roman"/>
        <family val="1"/>
      </rPr>
      <t>x</t>
    </r>
  </si>
  <si>
    <t>Reserves at 3,5%</t>
  </si>
  <si>
    <t>Claims Death 3,5%</t>
  </si>
  <si>
    <t>Claims Surrender 3,5%</t>
  </si>
  <si>
    <t>Maturity  3,5%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</si>
</sst>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€_-;\-* #,##0.00\ _€_-;_-* &quot;-&quot;??\ _€_-;_-@_-"/>
    <numFmt numFmtId="165" formatCode="0.00000000000"/>
    <numFmt numFmtId="166" formatCode="0.0000000"/>
    <numFmt numFmtId="167" formatCode="_-* #,##0.0000\ _€_-;\-* #,##0.0000\ _€_-;_-* &quot;-&quot;??\ _€_-;_-@_-"/>
    <numFmt numFmtId="168" formatCode="#,##0;[Red]\(#,##0\)"/>
    <numFmt numFmtId="169" formatCode="_-* #,##0\ _€_-;\-* #,##0\ _€_-;_-* &quot;-&quot;??\ _€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8"/>
      <color rgb="FFFF0000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b/>
      <sz val="12"/>
      <color indexed="9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9"/>
      <color indexed="9"/>
      <name val="Times New Roman"/>
      <family val="1"/>
    </font>
    <font>
      <sz val="12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sz val="8"/>
      <name val="Arial"/>
      <family val="2"/>
    </font>
    <font>
      <b/>
      <sz val="12"/>
      <color indexed="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164" fontId="10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4" fillId="0" borderId="0" xfId="0" applyFont="1" applyBorder="1" applyAlignment="1">
      <alignment horizontal="center"/>
    </xf>
    <xf numFmtId="10" fontId="5" fillId="2" borderId="1" xfId="1" applyNumberFormat="1" applyFont="1" applyFill="1" applyBorder="1" applyAlignment="1">
      <alignment horizontal="center"/>
    </xf>
    <xf numFmtId="164" fontId="4" fillId="0" borderId="1" xfId="2" applyFont="1" applyBorder="1" applyAlignment="1">
      <alignment horizontal="center"/>
    </xf>
    <xf numFmtId="164" fontId="5" fillId="0" borderId="1" xfId="2" applyFont="1" applyBorder="1" applyAlignment="1">
      <alignment horizontal="center"/>
    </xf>
    <xf numFmtId="164" fontId="4" fillId="3" borderId="1" xfId="2" applyFont="1" applyFill="1" applyBorder="1" applyAlignment="1">
      <alignment horizontal="center"/>
    </xf>
    <xf numFmtId="164" fontId="4" fillId="0" borderId="0" xfId="2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/>
    <xf numFmtId="164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/>
    <xf numFmtId="0" fontId="5" fillId="2" borderId="1" xfId="0" applyFont="1" applyFill="1" applyBorder="1"/>
    <xf numFmtId="164" fontId="4" fillId="0" borderId="1" xfId="2" applyFont="1" applyBorder="1" applyAlignment="1">
      <alignment horizontal="center" vertical="center"/>
    </xf>
    <xf numFmtId="164" fontId="4" fillId="4" borderId="1" xfId="2" applyFont="1" applyFill="1" applyBorder="1" applyAlignment="1">
      <alignment horizontal="center" vertical="center"/>
    </xf>
    <xf numFmtId="164" fontId="5" fillId="0" borderId="0" xfId="2" applyFont="1" applyBorder="1" applyAlignment="1">
      <alignment horizontal="center"/>
    </xf>
    <xf numFmtId="169" fontId="12" fillId="0" borderId="1" xfId="5" applyNumberFormat="1" applyFont="1" applyFill="1" applyBorder="1" applyAlignment="1">
      <alignment horizontal="center" vertical="center"/>
    </xf>
    <xf numFmtId="168" fontId="12" fillId="0" borderId="1" xfId="4" applyNumberFormat="1" applyFont="1" applyFill="1" applyBorder="1" applyAlignment="1">
      <alignment horizontal="center" vertical="center"/>
    </xf>
    <xf numFmtId="169" fontId="12" fillId="0" borderId="1" xfId="5" applyNumberFormat="1" applyFont="1" applyBorder="1" applyAlignment="1">
      <alignment vertical="center"/>
    </xf>
    <xf numFmtId="169" fontId="13" fillId="0" borderId="1" xfId="0" applyNumberFormat="1" applyFont="1" applyBorder="1" applyAlignment="1">
      <alignment vertical="center"/>
    </xf>
    <xf numFmtId="3" fontId="11" fillId="5" borderId="1" xfId="3" applyNumberFormat="1" applyFont="1" applyFill="1" applyBorder="1" applyAlignment="1">
      <alignment horizontal="center" vertical="center" wrapText="1"/>
    </xf>
    <xf numFmtId="0" fontId="15" fillId="0" borderId="0" xfId="0" applyFont="1"/>
    <xf numFmtId="169" fontId="13" fillId="2" borderId="1" xfId="0" applyNumberFormat="1" applyFont="1" applyFill="1" applyBorder="1" applyAlignment="1">
      <alignment vertical="center"/>
    </xf>
    <xf numFmtId="0" fontId="16" fillId="2" borderId="1" xfId="0" applyFont="1" applyFill="1" applyBorder="1"/>
    <xf numFmtId="0" fontId="16" fillId="0" borderId="1" xfId="0" applyFont="1" applyBorder="1"/>
    <xf numFmtId="0" fontId="4" fillId="6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2" applyFont="1" applyBorder="1" applyAlignment="1">
      <alignment horizontal="center"/>
    </xf>
    <xf numFmtId="164" fontId="4" fillId="0" borderId="3" xfId="2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7" fontId="13" fillId="9" borderId="1" xfId="0" applyNumberFormat="1" applyFont="1" applyFill="1" applyBorder="1" applyAlignment="1">
      <alignment vertical="center"/>
    </xf>
    <xf numFmtId="0" fontId="5" fillId="10" borderId="0" xfId="0" applyFont="1" applyFill="1" applyAlignment="1">
      <alignment horizontal="center"/>
    </xf>
    <xf numFmtId="0" fontId="0" fillId="10" borderId="0" xfId="0" applyFill="1"/>
    <xf numFmtId="0" fontId="4" fillId="10" borderId="0" xfId="0" applyFont="1" applyFill="1" applyAlignment="1">
      <alignment horizontal="center"/>
    </xf>
    <xf numFmtId="0" fontId="17" fillId="10" borderId="1" xfId="0" applyFon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5" fontId="5" fillId="2" borderId="4" xfId="0" applyNumberFormat="1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164" fontId="4" fillId="0" borderId="6" xfId="2" applyFont="1" applyBorder="1" applyAlignment="1">
      <alignment horizontal="center"/>
    </xf>
    <xf numFmtId="164" fontId="4" fillId="0" borderId="7" xfId="2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9" fontId="18" fillId="0" borderId="1" xfId="5" applyNumberFormat="1" applyFont="1" applyBorder="1"/>
    <xf numFmtId="3" fontId="19" fillId="5" borderId="0" xfId="3" applyNumberFormat="1" applyFont="1" applyFill="1" applyBorder="1" applyAlignment="1">
      <alignment horizontal="center" vertical="center" wrapText="1"/>
    </xf>
  </cellXfs>
  <cellStyles count="6">
    <cellStyle name="Milliers" xfId="2" builtinId="3"/>
    <cellStyle name="Milliers 2 2 2" xfId="5"/>
    <cellStyle name="Normal" xfId="0" builtinId="0"/>
    <cellStyle name="Normal 2" xfId="4"/>
    <cellStyle name="Normal_EEV 2008 - Market Value Balance Sheet - Template" xfId="3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'Provisions mathématiques '!$B$1</c:f>
              <c:strCache>
                <c:ptCount val="1"/>
                <c:pt idx="0">
                  <c:v>Provisions mathématiques TD8890</c:v>
                </c:pt>
              </c:strCache>
            </c:strRef>
          </c:tx>
          <c:val>
            <c:numRef>
              <c:f>'Provisions mathématiques '!$B$2:$B$27</c:f>
              <c:numCache>
                <c:formatCode>_-* #,##0.00\ _€_-;\-* #,##0.00\ _€_-;_-* "-"??\ _€_-;_-@_-</c:formatCode>
                <c:ptCount val="26"/>
                <c:pt idx="0">
                  <c:v>0</c:v>
                </c:pt>
                <c:pt idx="1">
                  <c:v>179920.3393874169</c:v>
                </c:pt>
                <c:pt idx="2">
                  <c:v>181041.29345389668</c:v>
                </c:pt>
                <c:pt idx="3">
                  <c:v>181952.60754125548</c:v>
                </c:pt>
                <c:pt idx="4">
                  <c:v>182628.47824381536</c:v>
                </c:pt>
                <c:pt idx="5">
                  <c:v>183114.4257307986</c:v>
                </c:pt>
                <c:pt idx="6">
                  <c:v>183257.83017113584</c:v>
                </c:pt>
                <c:pt idx="7">
                  <c:v>182954.14303409946</c:v>
                </c:pt>
                <c:pt idx="8">
                  <c:v>182258.48259754744</c:v>
                </c:pt>
                <c:pt idx="9">
                  <c:v>180805.38762433227</c:v>
                </c:pt>
                <c:pt idx="10">
                  <c:v>178746.37624516428</c:v>
                </c:pt>
                <c:pt idx="11">
                  <c:v>176147.01091331561</c:v>
                </c:pt>
                <c:pt idx="12">
                  <c:v>172944.98551043277</c:v>
                </c:pt>
                <c:pt idx="13">
                  <c:v>169036.30794182635</c:v>
                </c:pt>
                <c:pt idx="14">
                  <c:v>164215.13628378167</c:v>
                </c:pt>
                <c:pt idx="15">
                  <c:v>158165.46398703184</c:v>
                </c:pt>
                <c:pt idx="16">
                  <c:v>150818.86596893333</c:v>
                </c:pt>
                <c:pt idx="17">
                  <c:v>142099.56186697734</c:v>
                </c:pt>
                <c:pt idx="18">
                  <c:v>131784.29586374262</c:v>
                </c:pt>
                <c:pt idx="19">
                  <c:v>119769.62025114603</c:v>
                </c:pt>
                <c:pt idx="20">
                  <c:v>105816.81591512075</c:v>
                </c:pt>
                <c:pt idx="21">
                  <c:v>89534.787805343643</c:v>
                </c:pt>
                <c:pt idx="22">
                  <c:v>71108.341935892648</c:v>
                </c:pt>
                <c:pt idx="23">
                  <c:v>50392.812721483315</c:v>
                </c:pt>
                <c:pt idx="24">
                  <c:v>26685.711322066862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68032"/>
        <c:axId val="637568592"/>
      </c:lineChart>
      <c:catAx>
        <c:axId val="63756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637568592"/>
        <c:crosses val="autoZero"/>
        <c:auto val="1"/>
        <c:lblAlgn val="ctr"/>
        <c:lblOffset val="100"/>
        <c:noMultiLvlLbl val="0"/>
      </c:catAx>
      <c:valAx>
        <c:axId val="637568592"/>
        <c:scaling>
          <c:orientation val="minMax"/>
        </c:scaling>
        <c:delete val="0"/>
        <c:axPos val="l"/>
        <c:majorGridlines/>
        <c:numFmt formatCode="_-* #,##0.00\ _€_-;\-* #,##0.00\ _€_-;_-* &quot;-&quot;??\ _€_-;_-@_-" sourceLinked="1"/>
        <c:majorTickMark val="out"/>
        <c:minorTickMark val="none"/>
        <c:tickLblPos val="nextTo"/>
        <c:crossAx val="63756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4</xdr:row>
      <xdr:rowOff>152400</xdr:rowOff>
    </xdr:from>
    <xdr:to>
      <xdr:col>10</xdr:col>
      <xdr:colOff>752475</xdr:colOff>
      <xdr:row>20</xdr:row>
      <xdr:rowOff>190499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zoomScale="80" zoomScaleNormal="80" workbookViewId="0">
      <selection activeCell="G4" sqref="G4"/>
    </sheetView>
  </sheetViews>
  <sheetFormatPr baseColWidth="10" defaultColWidth="9.140625" defaultRowHeight="15" x14ac:dyDescent="0.25"/>
  <cols>
    <col min="1" max="1" width="18.140625" bestFit="1" customWidth="1"/>
    <col min="2" max="2" width="19.5703125" bestFit="1" customWidth="1"/>
    <col min="3" max="3" width="15.7109375" customWidth="1"/>
    <col min="4" max="4" width="22.28515625" customWidth="1"/>
    <col min="5" max="5" width="16.7109375" bestFit="1" customWidth="1"/>
    <col min="6" max="6" width="15" customWidth="1"/>
    <col min="7" max="7" width="28.28515625" customWidth="1"/>
    <col min="8" max="8" width="31.85546875" bestFit="1" customWidth="1"/>
    <col min="9" max="9" width="17" bestFit="1" customWidth="1"/>
  </cols>
  <sheetData>
    <row r="1" spans="1:11" ht="15.75" x14ac:dyDescent="0.25">
      <c r="A1" s="2" t="s">
        <v>64</v>
      </c>
      <c r="B1" s="6">
        <v>2.75E-2</v>
      </c>
      <c r="C1" s="40"/>
      <c r="D1" s="46" t="s">
        <v>68</v>
      </c>
      <c r="E1" s="46">
        <f>1900000</f>
        <v>1900000</v>
      </c>
      <c r="F1" s="40"/>
      <c r="G1" s="2" t="s">
        <v>1</v>
      </c>
      <c r="H1" s="2" t="s">
        <v>2</v>
      </c>
    </row>
    <row r="2" spans="1:11" ht="15.75" x14ac:dyDescent="0.25">
      <c r="A2" s="2" t="s">
        <v>65</v>
      </c>
      <c r="B2" s="2">
        <v>25</v>
      </c>
      <c r="C2" s="42"/>
      <c r="D2" s="49"/>
      <c r="E2" s="49"/>
      <c r="F2" s="40"/>
      <c r="G2" s="40"/>
      <c r="H2" s="40"/>
    </row>
    <row r="3" spans="1:11" ht="15.75" x14ac:dyDescent="0.25">
      <c r="A3" s="2" t="s">
        <v>66</v>
      </c>
      <c r="B3" s="2">
        <v>35</v>
      </c>
      <c r="C3" s="41"/>
      <c r="D3" s="47" t="s">
        <v>63</v>
      </c>
      <c r="E3" s="48">
        <f>1/SUM(1,B1)</f>
        <v>0.97323600973236002</v>
      </c>
      <c r="F3" s="41"/>
      <c r="G3" s="41">
        <f>0.3%*E1</f>
        <v>5700</v>
      </c>
      <c r="H3" s="41"/>
    </row>
    <row r="5" spans="1:11" ht="15.75" x14ac:dyDescent="0.25">
      <c r="A5" s="35" t="s">
        <v>0</v>
      </c>
      <c r="B5" s="35" t="s">
        <v>3</v>
      </c>
      <c r="C5" s="35" t="s">
        <v>4</v>
      </c>
      <c r="D5" s="35" t="s">
        <v>5</v>
      </c>
      <c r="E5" s="35" t="s">
        <v>6</v>
      </c>
      <c r="F5" s="35" t="s">
        <v>7</v>
      </c>
      <c r="G5" s="35" t="s">
        <v>9</v>
      </c>
      <c r="H5" s="35" t="s">
        <v>67</v>
      </c>
      <c r="I5" s="35" t="s">
        <v>11</v>
      </c>
      <c r="J5" s="1"/>
      <c r="K5" s="1"/>
    </row>
    <row r="6" spans="1:11" x14ac:dyDescent="0.25">
      <c r="A6" s="3">
        <v>0</v>
      </c>
      <c r="B6" s="3">
        <v>100000</v>
      </c>
      <c r="C6" s="3">
        <f>B6-B7</f>
        <v>871</v>
      </c>
      <c r="D6" s="7">
        <f>B6*($E$3^A6)</f>
        <v>100000</v>
      </c>
      <c r="E6" s="7">
        <f>C6*($E$3^SUM(A6,1))</f>
        <v>847.68856447688563</v>
      </c>
      <c r="F6" s="7">
        <f>SUM(E6:$E$113)</f>
        <v>15881.63912479244</v>
      </c>
      <c r="G6" s="7">
        <f>SUM(D6:$D$113)</f>
        <v>3142967.8472463838</v>
      </c>
      <c r="H6" s="7">
        <f>(((F6-VLOOKUP($A6+$B$2,$A$6:$F$113,6))/$D6))*$E$1</f>
        <v>35307.58214805217</v>
      </c>
      <c r="I6" s="9" t="s">
        <v>12</v>
      </c>
      <c r="J6" s="1"/>
      <c r="K6" s="1"/>
    </row>
    <row r="7" spans="1:11" x14ac:dyDescent="0.25">
      <c r="A7" s="3">
        <f>A6+1</f>
        <v>1</v>
      </c>
      <c r="B7" s="3">
        <v>99129</v>
      </c>
      <c r="C7" s="3">
        <f t="shared" ref="C7:C70" si="0">B7-B8</f>
        <v>72</v>
      </c>
      <c r="D7" s="7">
        <f t="shared" ref="D7:D37" si="1">B7*($E$3^A7)</f>
        <v>96475.912408759119</v>
      </c>
      <c r="E7" s="7">
        <f>C7*($E$3^SUM(A7,1))</f>
        <v>68.197559806063182</v>
      </c>
      <c r="F7" s="7">
        <f>SUM(E7:$E$113)</f>
        <v>15033.950560315556</v>
      </c>
      <c r="G7" s="7">
        <f>SUM(D7:$D$113)</f>
        <v>3042967.8472463829</v>
      </c>
      <c r="H7" s="7">
        <f t="shared" ref="H7:H37" si="2">(((F7-VLOOKUP($A7+$B$2,$A$6:$F$113,6))/$D7))*$E$1</f>
        <v>21371.767233913066</v>
      </c>
      <c r="I7" s="9" t="s">
        <v>12</v>
      </c>
      <c r="J7" s="1"/>
      <c r="K7" s="1"/>
    </row>
    <row r="8" spans="1:11" x14ac:dyDescent="0.25">
      <c r="A8" s="3">
        <f t="shared" ref="A8:A71" si="3">A7+1</f>
        <v>2</v>
      </c>
      <c r="B8" s="3">
        <v>99057</v>
      </c>
      <c r="C8" s="3">
        <f t="shared" si="0"/>
        <v>47</v>
      </c>
      <c r="D8" s="7">
        <f t="shared" si="1"/>
        <v>93825.634468183343</v>
      </c>
      <c r="E8" s="7">
        <f t="shared" ref="E8:E70" si="4">C8*($E$3^SUM(A8,1))</f>
        <v>43.326376194714371</v>
      </c>
      <c r="F8" s="7">
        <f>SUM(E8:$E$113)</f>
        <v>14965.753000509492</v>
      </c>
      <c r="G8" s="7">
        <f>SUM(D8:$D$113)</f>
        <v>2946491.934837624</v>
      </c>
      <c r="H8" s="7">
        <f>(((F8-VLOOKUP($A8+$B$2,$A$6:$F$113,6))/$D8))*$E$1</f>
        <v>22064.369152986252</v>
      </c>
      <c r="I8" s="9" t="s">
        <v>12</v>
      </c>
      <c r="J8" s="1"/>
      <c r="K8" s="1"/>
    </row>
    <row r="9" spans="1:11" x14ac:dyDescent="0.25">
      <c r="A9" s="3">
        <f t="shared" si="3"/>
        <v>3</v>
      </c>
      <c r="B9" s="3">
        <v>99010</v>
      </c>
      <c r="C9" s="3">
        <f t="shared" si="0"/>
        <v>33</v>
      </c>
      <c r="D9" s="7">
        <f t="shared" si="1"/>
        <v>91271.159724227022</v>
      </c>
      <c r="E9" s="7">
        <f t="shared" si="4"/>
        <v>29.606469212104866</v>
      </c>
      <c r="F9" s="7">
        <f>SUM(E9:$E$113)</f>
        <v>14922.426624314778</v>
      </c>
      <c r="G9" s="7">
        <f>SUM(D9:$D$113)</f>
        <v>2852666.300369441</v>
      </c>
      <c r="H9" s="7">
        <f t="shared" si="2"/>
        <v>23260.349307242624</v>
      </c>
      <c r="I9" s="9" t="s">
        <v>12</v>
      </c>
      <c r="J9" s="1"/>
      <c r="K9" s="1"/>
    </row>
    <row r="10" spans="1:11" x14ac:dyDescent="0.25">
      <c r="A10" s="3">
        <f t="shared" si="3"/>
        <v>4</v>
      </c>
      <c r="B10" s="3">
        <v>98977</v>
      </c>
      <c r="C10" s="3">
        <f t="shared" si="0"/>
        <v>29</v>
      </c>
      <c r="D10" s="7">
        <f t="shared" si="1"/>
        <v>88798.772824439497</v>
      </c>
      <c r="E10" s="7">
        <f t="shared" si="4"/>
        <v>25.321465963313162</v>
      </c>
      <c r="F10" s="7">
        <f>SUM(E10:$E$113)</f>
        <v>14892.820155102674</v>
      </c>
      <c r="G10" s="7">
        <f>SUM(D10:$D$113)</f>
        <v>2761395.1406452139</v>
      </c>
      <c r="H10" s="7">
        <f t="shared" si="2"/>
        <v>24774.852764520565</v>
      </c>
      <c r="I10" s="9" t="s">
        <v>12</v>
      </c>
      <c r="J10" s="1"/>
      <c r="K10" s="1"/>
    </row>
    <row r="11" spans="1:11" x14ac:dyDescent="0.25">
      <c r="A11" s="3">
        <f t="shared" si="3"/>
        <v>5</v>
      </c>
      <c r="B11" s="3">
        <v>98948</v>
      </c>
      <c r="C11" s="3">
        <f t="shared" si="0"/>
        <v>27</v>
      </c>
      <c r="D11" s="7">
        <f t="shared" si="1"/>
        <v>86396.841866824499</v>
      </c>
      <c r="E11" s="7">
        <f t="shared" si="4"/>
        <v>22.944192667487382</v>
      </c>
      <c r="F11" s="7">
        <f>SUM(E11:$E$113)</f>
        <v>14867.49868913936</v>
      </c>
      <c r="G11" s="7">
        <f>SUM(D11:$D$113)</f>
        <v>2672596.3678207737</v>
      </c>
      <c r="H11" s="7">
        <f t="shared" si="2"/>
        <v>26436.795684303295</v>
      </c>
      <c r="I11" s="9" t="s">
        <v>12</v>
      </c>
      <c r="J11" s="1"/>
      <c r="K11" s="1"/>
    </row>
    <row r="12" spans="1:11" x14ac:dyDescent="0.25">
      <c r="A12" s="3">
        <f t="shared" si="3"/>
        <v>6</v>
      </c>
      <c r="B12" s="3">
        <v>98921</v>
      </c>
      <c r="C12" s="3">
        <f t="shared" si="0"/>
        <v>24</v>
      </c>
      <c r="D12" s="7">
        <f t="shared" si="1"/>
        <v>84061.573439278494</v>
      </c>
      <c r="E12" s="7">
        <f t="shared" si="4"/>
        <v>19.848990682876348</v>
      </c>
      <c r="F12" s="7">
        <f>SUM(E12:$E$113)</f>
        <v>14844.554496471874</v>
      </c>
      <c r="G12" s="7">
        <f>SUM(D12:$D$113)</f>
        <v>2586199.525953949</v>
      </c>
      <c r="H12" s="7">
        <f t="shared" si="2"/>
        <v>28231.816031752303</v>
      </c>
      <c r="I12" s="9" t="s">
        <v>12</v>
      </c>
      <c r="J12" s="1"/>
      <c r="K12" s="1"/>
    </row>
    <row r="13" spans="1:11" x14ac:dyDescent="0.25">
      <c r="A13" s="3">
        <f t="shared" si="3"/>
        <v>7</v>
      </c>
      <c r="B13" s="3">
        <v>98897</v>
      </c>
      <c r="C13" s="3">
        <f t="shared" si="0"/>
        <v>21</v>
      </c>
      <c r="D13" s="7">
        <f t="shared" si="1"/>
        <v>81791.901315184266</v>
      </c>
      <c r="E13" s="7">
        <f t="shared" si="4"/>
        <v>16.903033428240199</v>
      </c>
      <c r="F13" s="7">
        <f>SUM(E13:$E$113)</f>
        <v>14824.705505788996</v>
      </c>
      <c r="G13" s="7">
        <f>SUM(D13:$D$113)</f>
        <v>2502137.9525146703</v>
      </c>
      <c r="H13" s="7">
        <f t="shared" si="2"/>
        <v>30192.220635592272</v>
      </c>
      <c r="I13" s="9" t="s">
        <v>12</v>
      </c>
      <c r="J13" s="1"/>
      <c r="K13" s="1"/>
    </row>
    <row r="14" spans="1:11" x14ac:dyDescent="0.25">
      <c r="A14" s="3">
        <f t="shared" si="3"/>
        <v>8</v>
      </c>
      <c r="B14" s="3">
        <v>98876</v>
      </c>
      <c r="C14" s="3">
        <f t="shared" si="0"/>
        <v>21</v>
      </c>
      <c r="D14" s="7">
        <f t="shared" si="1"/>
        <v>79585.920630984663</v>
      </c>
      <c r="E14" s="7">
        <f t="shared" si="4"/>
        <v>16.450640806073185</v>
      </c>
      <c r="F14" s="7">
        <f>SUM(E14:$E$113)</f>
        <v>14807.802472360756</v>
      </c>
      <c r="G14" s="7">
        <f>SUM(D14:$D$113)</f>
        <v>2420346.051199486</v>
      </c>
      <c r="H14" s="7">
        <f t="shared" si="2"/>
        <v>32322.498611695075</v>
      </c>
      <c r="I14" s="9" t="s">
        <v>12</v>
      </c>
      <c r="J14" s="1"/>
      <c r="K14" s="1"/>
    </row>
    <row r="15" spans="1:11" x14ac:dyDescent="0.25">
      <c r="A15" s="3">
        <f t="shared" si="3"/>
        <v>9</v>
      </c>
      <c r="B15" s="3">
        <v>98855</v>
      </c>
      <c r="C15" s="3">
        <f t="shared" si="0"/>
        <v>20</v>
      </c>
      <c r="D15" s="7">
        <f t="shared" si="1"/>
        <v>77439.433184969748</v>
      </c>
      <c r="E15" s="7">
        <f t="shared" si="4"/>
        <v>15.247958110136192</v>
      </c>
      <c r="F15" s="7">
        <f>SUM(E15:$E$113)</f>
        <v>14791.351831554683</v>
      </c>
      <c r="G15" s="7">
        <f>SUM(D15:$D$113)</f>
        <v>2340760.1305685015</v>
      </c>
      <c r="H15" s="7">
        <f t="shared" si="2"/>
        <v>34609.646316980761</v>
      </c>
      <c r="I15" s="9" t="s">
        <v>12</v>
      </c>
      <c r="J15" s="1"/>
      <c r="K15" s="1"/>
    </row>
    <row r="16" spans="1:11" x14ac:dyDescent="0.25">
      <c r="A16" s="3">
        <f t="shared" si="3"/>
        <v>10</v>
      </c>
      <c r="B16" s="3">
        <v>98835</v>
      </c>
      <c r="C16" s="3">
        <f>B16-B17</f>
        <v>21</v>
      </c>
      <c r="D16" s="7">
        <f t="shared" si="1"/>
        <v>75351.596990765524</v>
      </c>
      <c r="E16" s="7">
        <f t="shared" si="4"/>
        <v>15.58185500305888</v>
      </c>
      <c r="F16" s="7">
        <f>SUM(E16:$E$113)</f>
        <v>14776.103873444546</v>
      </c>
      <c r="G16" s="7">
        <f>SUM(D16:$D$113)</f>
        <v>2263320.6973835323</v>
      </c>
      <c r="H16" s="7">
        <f>(((F16-VLOOKUP($A16+$B$2,$A$6:$F$113,6))/$D16))*$E$1</f>
        <v>37067.14612703392</v>
      </c>
      <c r="I16" s="9" t="s">
        <v>12</v>
      </c>
      <c r="J16" s="1"/>
      <c r="K16" s="1"/>
    </row>
    <row r="17" spans="1:11" x14ac:dyDescent="0.25">
      <c r="A17" s="3">
        <f t="shared" si="3"/>
        <v>11</v>
      </c>
      <c r="B17" s="3">
        <v>98814</v>
      </c>
      <c r="C17" s="3">
        <f t="shared" si="0"/>
        <v>21</v>
      </c>
      <c r="D17" s="7">
        <f t="shared" si="1"/>
        <v>73319.305727250496</v>
      </c>
      <c r="E17" s="7">
        <f t="shared" si="4"/>
        <v>15.164822387405238</v>
      </c>
      <c r="F17" s="7">
        <f>SUM(E17:$E$113)</f>
        <v>14760.522018441488</v>
      </c>
      <c r="G17" s="7">
        <f>SUM(D17:$D$113)</f>
        <v>2187969.1003927668</v>
      </c>
      <c r="H17" s="7">
        <f t="shared" si="2"/>
        <v>39662.04342268865</v>
      </c>
      <c r="I17" s="9" t="s">
        <v>12</v>
      </c>
      <c r="J17" s="1"/>
      <c r="K17" s="1"/>
    </row>
    <row r="18" spans="1:11" x14ac:dyDescent="0.25">
      <c r="A18" s="3">
        <f t="shared" si="3"/>
        <v>12</v>
      </c>
      <c r="B18" s="3">
        <v>98793</v>
      </c>
      <c r="C18" s="3">
        <f t="shared" si="0"/>
        <v>22</v>
      </c>
      <c r="D18" s="7">
        <f t="shared" si="1"/>
        <v>71341.823719948836</v>
      </c>
      <c r="E18" s="7">
        <f t="shared" si="4"/>
        <v>15.461758429981007</v>
      </c>
      <c r="F18" s="7">
        <f>SUM(E18:$E$113)</f>
        <v>14745.357196054083</v>
      </c>
      <c r="G18" s="7">
        <f>SUM(D18:$D$113)</f>
        <v>2114649.7946655173</v>
      </c>
      <c r="H18" s="7">
        <f t="shared" si="2"/>
        <v>42436.569929450532</v>
      </c>
      <c r="I18" s="9" t="s">
        <v>12</v>
      </c>
      <c r="J18" s="1"/>
      <c r="K18" s="1"/>
    </row>
    <row r="19" spans="1:11" x14ac:dyDescent="0.25">
      <c r="A19" s="3">
        <f t="shared" si="3"/>
        <v>13</v>
      </c>
      <c r="B19" s="3">
        <v>98771</v>
      </c>
      <c r="C19" s="3">
        <f t="shared" si="0"/>
        <v>26</v>
      </c>
      <c r="D19" s="7">
        <f t="shared" si="1"/>
        <v>69416.970085802459</v>
      </c>
      <c r="E19" s="7">
        <f t="shared" si="4"/>
        <v>17.783929182902284</v>
      </c>
      <c r="F19" s="7">
        <f>SUM(E19:$E$113)</f>
        <v>14729.895437624102</v>
      </c>
      <c r="G19" s="7">
        <f>SUM(D19:$D$113)</f>
        <v>2043307.9709455681</v>
      </c>
      <c r="H19" s="7">
        <f t="shared" si="2"/>
        <v>45396.499700647742</v>
      </c>
      <c r="I19" s="9" t="s">
        <v>12</v>
      </c>
      <c r="J19" s="1"/>
      <c r="K19" s="1"/>
    </row>
    <row r="20" spans="1:11" x14ac:dyDescent="0.25">
      <c r="A20" s="3">
        <f t="shared" si="3"/>
        <v>14</v>
      </c>
      <c r="B20" s="3">
        <v>98745</v>
      </c>
      <c r="C20" s="3">
        <f t="shared" si="0"/>
        <v>33</v>
      </c>
      <c r="D20" s="7">
        <f t="shared" si="1"/>
        <v>67541.311044834074</v>
      </c>
      <c r="E20" s="7">
        <f t="shared" si="4"/>
        <v>21.967795734073569</v>
      </c>
      <c r="F20" s="7">
        <f>SUM(E20:$E$113)</f>
        <v>14712.111508441199</v>
      </c>
      <c r="G20" s="7">
        <f>SUM(D20:$D$113)</f>
        <v>1973891.000859766</v>
      </c>
      <c r="H20" s="7">
        <f t="shared" si="2"/>
        <v>48500.617254149132</v>
      </c>
      <c r="I20" s="9" t="s">
        <v>12</v>
      </c>
      <c r="J20" s="1"/>
      <c r="K20" s="1"/>
    </row>
    <row r="21" spans="1:11" x14ac:dyDescent="0.25">
      <c r="A21" s="3">
        <f t="shared" si="3"/>
        <v>15</v>
      </c>
      <c r="B21" s="3">
        <v>98712</v>
      </c>
      <c r="C21" s="3">
        <f t="shared" si="0"/>
        <v>45</v>
      </c>
      <c r="D21" s="7">
        <f t="shared" si="1"/>
        <v>65711.668257632424</v>
      </c>
      <c r="E21" s="7">
        <f t="shared" si="4"/>
        <v>29.1543407220618</v>
      </c>
      <c r="F21" s="7">
        <f>SUM(E21:$E$113)</f>
        <v>14690.143712707126</v>
      </c>
      <c r="G21" s="7">
        <f>SUM(D21:$D$113)</f>
        <v>1906349.6898149319</v>
      </c>
      <c r="H21" s="7">
        <f t="shared" si="2"/>
        <v>51667.813009184676</v>
      </c>
      <c r="I21" s="9" t="s">
        <v>12</v>
      </c>
      <c r="J21" s="1"/>
      <c r="K21" s="1"/>
    </row>
    <row r="22" spans="1:11" x14ac:dyDescent="0.25">
      <c r="A22" s="3">
        <f t="shared" si="3"/>
        <v>16</v>
      </c>
      <c r="B22" s="3">
        <v>98667</v>
      </c>
      <c r="C22" s="3">
        <f t="shared" si="0"/>
        <v>61</v>
      </c>
      <c r="D22" s="7">
        <f t="shared" si="1"/>
        <v>63923.807467192702</v>
      </c>
      <c r="E22" s="7">
        <f t="shared" si="4"/>
        <v>38.462606846083155</v>
      </c>
      <c r="F22" s="7">
        <f>SUM(E22:$E$113)</f>
        <v>14660.989371985064</v>
      </c>
      <c r="G22" s="7">
        <f>SUM(D22:$D$113)</f>
        <v>1840638.0215572992</v>
      </c>
      <c r="H22" s="7">
        <f t="shared" si="2"/>
        <v>54885.098098224349</v>
      </c>
      <c r="I22" s="9" t="s">
        <v>12</v>
      </c>
      <c r="J22" s="1"/>
      <c r="K22" s="1"/>
    </row>
    <row r="23" spans="1:11" x14ac:dyDescent="0.25">
      <c r="A23" s="3">
        <f t="shared" si="3"/>
        <v>17</v>
      </c>
      <c r="B23" s="3">
        <v>98606</v>
      </c>
      <c r="C23" s="3">
        <f t="shared" si="0"/>
        <v>86</v>
      </c>
      <c r="D23" s="7">
        <f t="shared" si="1"/>
        <v>62174.488699424182</v>
      </c>
      <c r="E23" s="7">
        <f t="shared" si="4"/>
        <v>52.774666966026892</v>
      </c>
      <c r="F23" s="7">
        <f>SUM(E23:$E$113)</f>
        <v>14622.52676513898</v>
      </c>
      <c r="G23" s="7">
        <f>SUM(D23:$D$113)</f>
        <v>1776714.2140901068</v>
      </c>
      <c r="H23" s="7">
        <f t="shared" si="2"/>
        <v>58129.032889332157</v>
      </c>
      <c r="I23" s="9" t="s">
        <v>12</v>
      </c>
      <c r="J23" s="1"/>
      <c r="K23" s="1"/>
    </row>
    <row r="24" spans="1:11" x14ac:dyDescent="0.25">
      <c r="A24" s="3">
        <f t="shared" si="3"/>
        <v>18</v>
      </c>
      <c r="B24" s="3">
        <v>98520</v>
      </c>
      <c r="C24" s="3">
        <f t="shared" si="0"/>
        <v>114</v>
      </c>
      <c r="D24" s="7">
        <f t="shared" si="1"/>
        <v>60457.676622011277</v>
      </c>
      <c r="E24" s="7">
        <f t="shared" si="4"/>
        <v>68.084785086030266</v>
      </c>
      <c r="F24" s="7">
        <f>SUM(E24:$E$113)</f>
        <v>14569.752098172954</v>
      </c>
      <c r="G24" s="7">
        <f>SUM(D24:$D$113)</f>
        <v>1714539.7253906827</v>
      </c>
      <c r="H24" s="7">
        <f t="shared" si="2"/>
        <v>61194.529664375332</v>
      </c>
      <c r="I24" s="9" t="s">
        <v>12</v>
      </c>
      <c r="J24" s="1"/>
      <c r="K24" s="1"/>
    </row>
    <row r="25" spans="1:11" x14ac:dyDescent="0.25">
      <c r="A25" s="3">
        <f t="shared" si="3"/>
        <v>19</v>
      </c>
      <c r="B25" s="3">
        <v>98406</v>
      </c>
      <c r="C25" s="3">
        <f t="shared" si="0"/>
        <v>129</v>
      </c>
      <c r="D25" s="7">
        <f t="shared" si="1"/>
        <v>58771.503168209609</v>
      </c>
      <c r="E25" s="7">
        <f t="shared" si="4"/>
        <v>74.981323055430963</v>
      </c>
      <c r="F25" s="7">
        <f>SUM(E25:$E$113)</f>
        <v>14501.667313086924</v>
      </c>
      <c r="G25" s="7">
        <f>SUM(D25:$D$113)</f>
        <v>1654082.0487686715</v>
      </c>
      <c r="H25" s="7">
        <f t="shared" si="2"/>
        <v>64208.218079395585</v>
      </c>
      <c r="I25" s="9" t="s">
        <v>12</v>
      </c>
      <c r="J25" s="1"/>
      <c r="K25" s="1"/>
    </row>
    <row r="26" spans="1:11" x14ac:dyDescent="0.25">
      <c r="A26" s="3">
        <f t="shared" si="3"/>
        <v>20</v>
      </c>
      <c r="B26" s="3">
        <v>98277</v>
      </c>
      <c r="C26" s="3">
        <f t="shared" si="0"/>
        <v>140</v>
      </c>
      <c r="D26" s="7">
        <f t="shared" si="1"/>
        <v>57123.561906345647</v>
      </c>
      <c r="E26" s="7">
        <f t="shared" si="4"/>
        <v>79.197157454952631</v>
      </c>
      <c r="F26" s="7">
        <f>SUM(E26:$E$113)</f>
        <v>14426.685990031494</v>
      </c>
      <c r="G26" s="7">
        <f>SUM(D26:$D$113)</f>
        <v>1595310.5456004615</v>
      </c>
      <c r="H26" s="7">
        <f t="shared" si="2"/>
        <v>67314.741685097091</v>
      </c>
      <c r="I26" s="9" t="s">
        <v>12</v>
      </c>
      <c r="J26" s="1"/>
      <c r="K26" s="1"/>
    </row>
    <row r="27" spans="1:11" x14ac:dyDescent="0.25">
      <c r="A27" s="3">
        <f t="shared" si="3"/>
        <v>21</v>
      </c>
      <c r="B27" s="3">
        <v>98137</v>
      </c>
      <c r="C27" s="3">
        <f t="shared" si="0"/>
        <v>150</v>
      </c>
      <c r="D27" s="7">
        <f t="shared" si="1"/>
        <v>55515.510293976331</v>
      </c>
      <c r="E27" s="7">
        <f t="shared" si="4"/>
        <v>82.583063039575208</v>
      </c>
      <c r="F27" s="7">
        <f>SUM(E27:$E$113)</f>
        <v>14347.488832576541</v>
      </c>
      <c r="G27" s="7">
        <f>SUM(D27:$D$113)</f>
        <v>1538186.9836941164</v>
      </c>
      <c r="H27" s="7">
        <f t="shared" si="2"/>
        <v>70543.411399817269</v>
      </c>
      <c r="I27" s="9" t="s">
        <v>12</v>
      </c>
      <c r="J27" s="1"/>
      <c r="K27" s="1"/>
    </row>
    <row r="28" spans="1:11" x14ac:dyDescent="0.25">
      <c r="A28" s="3">
        <f t="shared" si="3"/>
        <v>22</v>
      </c>
      <c r="B28" s="3">
        <v>97987</v>
      </c>
      <c r="C28" s="3">
        <f t="shared" si="0"/>
        <v>157</v>
      </c>
      <c r="D28" s="7">
        <f t="shared" si="1"/>
        <v>53947.110653725707</v>
      </c>
      <c r="E28" s="7">
        <f t="shared" si="4"/>
        <v>84.12354191217068</v>
      </c>
      <c r="F28" s="7">
        <f>SUM(E28:$E$113)</f>
        <v>14264.905769536965</v>
      </c>
      <c r="G28" s="7">
        <f>SUM(D28:$D$113)</f>
        <v>1482671.4734001399</v>
      </c>
      <c r="H28" s="7">
        <f t="shared" si="2"/>
        <v>73937.078160358506</v>
      </c>
      <c r="I28" s="9" t="s">
        <v>12</v>
      </c>
      <c r="J28" s="1"/>
      <c r="K28" s="1"/>
    </row>
    <row r="29" spans="1:11" x14ac:dyDescent="0.25">
      <c r="A29" s="3">
        <f t="shared" si="3"/>
        <v>23</v>
      </c>
      <c r="B29" s="3">
        <v>97830</v>
      </c>
      <c r="C29" s="3">
        <f t="shared" si="0"/>
        <v>153</v>
      </c>
      <c r="D29" s="7">
        <f t="shared" si="1"/>
        <v>52419.147167309922</v>
      </c>
      <c r="E29" s="7">
        <f t="shared" si="4"/>
        <v>79.786147891965314</v>
      </c>
      <c r="F29" s="7">
        <f>SUM(E29:$E$113)</f>
        <v>14180.782227624793</v>
      </c>
      <c r="G29" s="7">
        <f>SUM(D29:$D$113)</f>
        <v>1428724.362746414</v>
      </c>
      <c r="H29" s="7">
        <f t="shared" si="2"/>
        <v>77596.939891365284</v>
      </c>
      <c r="I29" s="9" t="s">
        <v>12</v>
      </c>
      <c r="J29" s="1"/>
      <c r="K29" s="1"/>
    </row>
    <row r="30" spans="1:11" x14ac:dyDescent="0.25">
      <c r="A30" s="3">
        <f t="shared" si="3"/>
        <v>24</v>
      </c>
      <c r="B30" s="3">
        <v>97677</v>
      </c>
      <c r="C30" s="3">
        <f t="shared" si="0"/>
        <v>153</v>
      </c>
      <c r="D30" s="7">
        <f t="shared" si="1"/>
        <v>50936.415474794092</v>
      </c>
      <c r="E30" s="7">
        <f t="shared" si="4"/>
        <v>77.650752206292267</v>
      </c>
      <c r="F30" s="7">
        <f>SUM(E30:$E$113)</f>
        <v>14100.996079732829</v>
      </c>
      <c r="G30" s="7">
        <f>SUM(D30:$D$113)</f>
        <v>1376305.2155791039</v>
      </c>
      <c r="H30" s="7">
        <f t="shared" si="2"/>
        <v>81825.599687850176</v>
      </c>
      <c r="I30" s="9" t="s">
        <v>12</v>
      </c>
      <c r="J30" s="1"/>
      <c r="K30" s="1"/>
    </row>
    <row r="31" spans="1:11" x14ac:dyDescent="0.25">
      <c r="A31" s="3">
        <f t="shared" si="3"/>
        <v>25</v>
      </c>
      <c r="B31" s="3">
        <v>97524</v>
      </c>
      <c r="C31" s="3">
        <f t="shared" si="0"/>
        <v>151</v>
      </c>
      <c r="D31" s="7">
        <f t="shared" si="1"/>
        <v>49495.502994551935</v>
      </c>
      <c r="E31" s="7">
        <f t="shared" si="4"/>
        <v>74.584632305393399</v>
      </c>
      <c r="F31" s="7">
        <f>SUM(E31:$E$113)</f>
        <v>14023.345327526536</v>
      </c>
      <c r="G31" s="7">
        <f>SUM(D31:$D$113)</f>
        <v>1325368.80010431</v>
      </c>
      <c r="H31" s="7">
        <f t="shared" si="2"/>
        <v>86704.699871915771</v>
      </c>
      <c r="I31" s="9" t="s">
        <v>12</v>
      </c>
      <c r="J31" s="1"/>
      <c r="K31" s="1"/>
    </row>
    <row r="32" spans="1:11" x14ac:dyDescent="0.25">
      <c r="A32" s="3">
        <f t="shared" si="3"/>
        <v>26</v>
      </c>
      <c r="B32" s="3">
        <v>97373</v>
      </c>
      <c r="C32" s="3">
        <f t="shared" si="0"/>
        <v>151</v>
      </c>
      <c r="D32" s="7">
        <f t="shared" si="1"/>
        <v>48096.221201808417</v>
      </c>
      <c r="E32" s="7">
        <f t="shared" si="4"/>
        <v>72.588449932256339</v>
      </c>
      <c r="F32" s="7">
        <f>SUM(E32:$E$113)</f>
        <v>13948.760695221143</v>
      </c>
      <c r="G32" s="7">
        <f>SUM(D32:$D$113)</f>
        <v>1275873.2971097582</v>
      </c>
      <c r="H32" s="7">
        <f t="shared" si="2"/>
        <v>92291.986657242174</v>
      </c>
      <c r="I32" s="9" t="s">
        <v>12</v>
      </c>
      <c r="J32" s="1"/>
      <c r="K32" s="1"/>
    </row>
    <row r="33" spans="1:11" x14ac:dyDescent="0.25">
      <c r="A33" s="3">
        <f t="shared" si="3"/>
        <v>27</v>
      </c>
      <c r="B33" s="3">
        <v>97222</v>
      </c>
      <c r="C33" s="3">
        <f t="shared" si="0"/>
        <v>152</v>
      </c>
      <c r="D33" s="7">
        <f t="shared" si="1"/>
        <v>46736.385955720696</v>
      </c>
      <c r="E33" s="7">
        <f t="shared" si="4"/>
        <v>71.113545638664945</v>
      </c>
      <c r="F33" s="7">
        <f>SUM(E33:$E$113)</f>
        <v>13876.172245288888</v>
      </c>
      <c r="G33" s="7">
        <f>SUM(D33:$D$113)</f>
        <v>1227777.0759079496</v>
      </c>
      <c r="H33" s="7">
        <f t="shared" si="2"/>
        <v>98572.492147608893</v>
      </c>
      <c r="I33" s="9" t="s">
        <v>12</v>
      </c>
      <c r="J33" s="1"/>
      <c r="K33" s="1"/>
    </row>
    <row r="34" spans="1:11" x14ac:dyDescent="0.25">
      <c r="A34" s="3">
        <f t="shared" si="3"/>
        <v>28</v>
      </c>
      <c r="B34" s="3">
        <v>97070</v>
      </c>
      <c r="C34" s="3">
        <f t="shared" si="0"/>
        <v>154</v>
      </c>
      <c r="D34" s="7">
        <f t="shared" si="1"/>
        <v>45414.420231218457</v>
      </c>
      <c r="E34" s="7">
        <f t="shared" si="4"/>
        <v>70.12092475575875</v>
      </c>
      <c r="F34" s="7">
        <f>SUM(E34:$E$113)</f>
        <v>13805.058699650222</v>
      </c>
      <c r="G34" s="7">
        <f>SUM(D34:$D$113)</f>
        <v>1181040.6899522285</v>
      </c>
      <c r="H34" s="7">
        <f t="shared" si="2"/>
        <v>105619.11834751742</v>
      </c>
      <c r="I34" s="9" t="s">
        <v>12</v>
      </c>
      <c r="J34" s="1"/>
      <c r="K34" s="1"/>
    </row>
    <row r="35" spans="1:11" x14ac:dyDescent="0.25">
      <c r="A35" s="3">
        <f t="shared" si="3"/>
        <v>29</v>
      </c>
      <c r="B35" s="3">
        <v>96916</v>
      </c>
      <c r="C35" s="3">
        <f t="shared" si="0"/>
        <v>157</v>
      </c>
      <c r="D35" s="7">
        <f t="shared" si="1"/>
        <v>44128.828205383863</v>
      </c>
      <c r="E35" s="7">
        <f t="shared" si="4"/>
        <v>69.573641651051418</v>
      </c>
      <c r="F35" s="7">
        <f>SUM(E35:$E$113)</f>
        <v>13734.937774894464</v>
      </c>
      <c r="G35" s="7">
        <f>SUM(D35:$D$113)</f>
        <v>1135626.2697210102</v>
      </c>
      <c r="H35" s="7">
        <f t="shared" si="2"/>
        <v>113437.78772082261</v>
      </c>
      <c r="I35" s="9" t="s">
        <v>12</v>
      </c>
      <c r="J35" s="1"/>
      <c r="K35" s="1"/>
    </row>
    <row r="36" spans="1:11" x14ac:dyDescent="0.25">
      <c r="A36" s="3">
        <f t="shared" si="3"/>
        <v>30</v>
      </c>
      <c r="B36" s="3">
        <v>96759</v>
      </c>
      <c r="C36" s="3">
        <f t="shared" si="0"/>
        <v>162</v>
      </c>
      <c r="D36" s="7">
        <f t="shared" si="1"/>
        <v>42878.191035121556</v>
      </c>
      <c r="E36" s="7">
        <f t="shared" si="4"/>
        <v>69.86799291750944</v>
      </c>
      <c r="F36" s="7">
        <f>SUM(E36:$E$113)</f>
        <v>13665.364133243413</v>
      </c>
      <c r="G36" s="7">
        <f>SUM(D36:$D$113)</f>
        <v>1091497.4415156262</v>
      </c>
      <c r="H36" s="7">
        <f t="shared" si="2"/>
        <v>122094.68431364118</v>
      </c>
      <c r="I36" s="9" t="s">
        <v>12</v>
      </c>
      <c r="J36" s="1"/>
      <c r="K36" s="1"/>
    </row>
    <row r="37" spans="1:11" x14ac:dyDescent="0.25">
      <c r="A37" s="3">
        <f t="shared" si="3"/>
        <v>31</v>
      </c>
      <c r="B37" s="3">
        <v>96597</v>
      </c>
      <c r="C37" s="3">
        <f t="shared" si="0"/>
        <v>168</v>
      </c>
      <c r="D37" s="7">
        <f t="shared" si="1"/>
        <v>41660.731554646045</v>
      </c>
      <c r="E37" s="7">
        <f t="shared" si="4"/>
        <v>70.516492806714041</v>
      </c>
      <c r="F37" s="7">
        <f>SUM(E37:$E$113)</f>
        <v>13595.496140325902</v>
      </c>
      <c r="G37" s="7">
        <f>SUM(D37:$D$113)</f>
        <v>1048619.2504805047</v>
      </c>
      <c r="H37" s="7">
        <f t="shared" si="2"/>
        <v>131700.17976606867</v>
      </c>
      <c r="I37" s="9" t="s">
        <v>12</v>
      </c>
      <c r="J37" s="1"/>
      <c r="K37" s="1"/>
    </row>
    <row r="38" spans="1:11" x14ac:dyDescent="0.25">
      <c r="A38" s="3">
        <f t="shared" si="3"/>
        <v>32</v>
      </c>
      <c r="B38" s="3">
        <v>96429</v>
      </c>
      <c r="C38" s="3">
        <f t="shared" si="0"/>
        <v>174</v>
      </c>
      <c r="D38" s="7">
        <f t="shared" ref="D38:D69" si="5">B38*($E$3^A38)</f>
        <v>40475.207647968025</v>
      </c>
      <c r="E38" s="7">
        <f t="shared" si="4"/>
        <v>71.080232582367287</v>
      </c>
      <c r="F38" s="7">
        <f>SUM(E38:$E$113)</f>
        <v>13524.979647519189</v>
      </c>
      <c r="G38" s="7">
        <f>SUM(D38:$D$113)</f>
        <v>1006958.5189258584</v>
      </c>
      <c r="H38" s="7">
        <f t="shared" ref="H38:H69" si="6">(((F38-VLOOKUP($A38+$B$2,$A$6:$F$113,6))/$D38))*$E$1</f>
        <v>142097.49098527478</v>
      </c>
      <c r="I38" s="9" t="s">
        <v>12</v>
      </c>
      <c r="J38" s="1"/>
      <c r="K38" s="1"/>
    </row>
    <row r="39" spans="1:11" x14ac:dyDescent="0.25">
      <c r="A39" s="3">
        <f t="shared" si="3"/>
        <v>33</v>
      </c>
      <c r="B39" s="3">
        <v>96255</v>
      </c>
      <c r="C39" s="3">
        <f t="shared" si="0"/>
        <v>184</v>
      </c>
      <c r="D39" s="7">
        <f t="shared" si="5"/>
        <v>39320.849351814737</v>
      </c>
      <c r="E39" s="7">
        <f t="shared" si="4"/>
        <v>73.153579971225668</v>
      </c>
      <c r="F39" s="7">
        <f>SUM(E39:$E$113)</f>
        <v>13453.899414936821</v>
      </c>
      <c r="G39" s="7">
        <f>SUM(D39:$D$113)</f>
        <v>966483.31127789058</v>
      </c>
      <c r="H39" s="7">
        <f t="shared" si="6"/>
        <v>153303.37316352408</v>
      </c>
      <c r="I39" s="9" t="s">
        <v>12</v>
      </c>
      <c r="J39" s="1"/>
      <c r="K39" s="1"/>
    </row>
    <row r="40" spans="1:11" x14ac:dyDescent="0.25">
      <c r="A40" s="3">
        <f t="shared" si="3"/>
        <v>34</v>
      </c>
      <c r="B40" s="3">
        <v>96071</v>
      </c>
      <c r="C40" s="3">
        <f t="shared" si="0"/>
        <v>193</v>
      </c>
      <c r="D40" s="7">
        <f t="shared" si="5"/>
        <v>38195.312942476201</v>
      </c>
      <c r="E40" s="7">
        <f t="shared" si="4"/>
        <v>74.678096553721318</v>
      </c>
      <c r="F40" s="7">
        <f>SUM(E40:$E$113)</f>
        <v>13380.745834965595</v>
      </c>
      <c r="G40" s="7">
        <f>SUM(D40:$D$113)</f>
        <v>927162.46192607586</v>
      </c>
      <c r="H40" s="7">
        <f t="shared" si="6"/>
        <v>165503.96774579858</v>
      </c>
      <c r="I40" s="9" t="s">
        <v>12</v>
      </c>
      <c r="J40" s="1"/>
      <c r="K40" s="1"/>
    </row>
    <row r="41" spans="1:11" x14ac:dyDescent="0.25">
      <c r="A41" s="3">
        <f t="shared" si="3"/>
        <v>35</v>
      </c>
      <c r="B41" s="3">
        <v>95878</v>
      </c>
      <c r="C41" s="3">
        <f t="shared" si="0"/>
        <v>202</v>
      </c>
      <c r="D41" s="7">
        <f t="shared" si="5"/>
        <v>37098.37586206058</v>
      </c>
      <c r="E41" s="7">
        <f t="shared" si="4"/>
        <v>76.06860811543541</v>
      </c>
      <c r="F41" s="7">
        <f>SUM(E41:$E$113)</f>
        <v>13306.067738411875</v>
      </c>
      <c r="G41" s="7">
        <f>SUM(D41:$D$113)</f>
        <v>888967.14898359962</v>
      </c>
      <c r="H41" s="7">
        <f t="shared" si="6"/>
        <v>178631.90179724552</v>
      </c>
      <c r="I41" s="7">
        <f>1900000*((F41-F42)/D41)</f>
        <v>3895.8674621423497</v>
      </c>
      <c r="J41" s="1"/>
      <c r="K41" s="1"/>
    </row>
    <row r="42" spans="1:11" x14ac:dyDescent="0.25">
      <c r="A42" s="3">
        <f t="shared" si="3"/>
        <v>36</v>
      </c>
      <c r="B42" s="3">
        <v>95676</v>
      </c>
      <c r="C42" s="3">
        <f t="shared" si="0"/>
        <v>213</v>
      </c>
      <c r="D42" s="7">
        <f t="shared" si="5"/>
        <v>36029.406683427711</v>
      </c>
      <c r="E42" s="7">
        <f t="shared" si="4"/>
        <v>78.064192761377655</v>
      </c>
      <c r="F42" s="7">
        <f>SUM(E42:$E$113)</f>
        <v>13229.999130296439</v>
      </c>
      <c r="G42" s="7">
        <f>SUM(D42:$D$113)</f>
        <v>851868.7731215388</v>
      </c>
      <c r="H42" s="7">
        <f t="shared" si="6"/>
        <v>192841.24197505039</v>
      </c>
      <c r="I42" s="7">
        <f t="shared" ref="I42:I65" si="7">1900000*((F42-F43)/D42)</f>
        <v>4116.6918886521917</v>
      </c>
      <c r="J42" s="1"/>
      <c r="K42" s="1"/>
    </row>
    <row r="43" spans="1:11" x14ac:dyDescent="0.25">
      <c r="A43" s="3">
        <f t="shared" si="3"/>
        <v>37</v>
      </c>
      <c r="B43" s="3">
        <v>95463</v>
      </c>
      <c r="C43" s="3">
        <f t="shared" si="0"/>
        <v>226</v>
      </c>
      <c r="D43" s="7">
        <f t="shared" si="5"/>
        <v>34987.05180084223</v>
      </c>
      <c r="E43" s="7">
        <f t="shared" si="4"/>
        <v>80.61184818464686</v>
      </c>
      <c r="F43" s="7">
        <f>SUM(E43:$E$113)</f>
        <v>13151.934937535061</v>
      </c>
      <c r="G43" s="7">
        <f>SUM(D43:$D$113)</f>
        <v>815839.36643811106</v>
      </c>
      <c r="H43" s="7">
        <f t="shared" si="6"/>
        <v>208074.66731945245</v>
      </c>
      <c r="I43" s="7">
        <f t="shared" si="7"/>
        <v>4377.6912791245968</v>
      </c>
      <c r="J43" s="1"/>
      <c r="K43" s="1"/>
    </row>
    <row r="44" spans="1:11" x14ac:dyDescent="0.25">
      <c r="A44" s="3">
        <f t="shared" si="3"/>
        <v>38</v>
      </c>
      <c r="B44" s="3">
        <v>95237</v>
      </c>
      <c r="C44" s="3">
        <f t="shared" si="0"/>
        <v>240</v>
      </c>
      <c r="D44" s="7">
        <f t="shared" si="5"/>
        <v>33970.04683876643</v>
      </c>
      <c r="E44" s="7">
        <f t="shared" si="4"/>
        <v>83.31435766128476</v>
      </c>
      <c r="F44" s="7">
        <f>SUM(E44:$E$113)</f>
        <v>13071.323089350415</v>
      </c>
      <c r="G44" s="7">
        <f>SUM(D44:$D$113)</f>
        <v>780852.31463726889</v>
      </c>
      <c r="H44" s="7">
        <f t="shared" si="6"/>
        <v>224335.05193300781</v>
      </c>
      <c r="I44" s="7">
        <f t="shared" si="7"/>
        <v>4659.9076035360276</v>
      </c>
      <c r="J44" s="1"/>
      <c r="K44" s="1"/>
    </row>
    <row r="45" spans="1:11" x14ac:dyDescent="0.25">
      <c r="A45" s="3">
        <f t="shared" si="3"/>
        <v>39</v>
      </c>
      <c r="B45" s="3">
        <v>94997</v>
      </c>
      <c r="C45" s="3">
        <f t="shared" si="0"/>
        <v>251</v>
      </c>
      <c r="D45" s="7">
        <f t="shared" si="5"/>
        <v>32977.558478121122</v>
      </c>
      <c r="E45" s="7">
        <f t="shared" si="4"/>
        <v>84.800907433018978</v>
      </c>
      <c r="F45" s="7">
        <f>SUM(E45:$E$113)</f>
        <v>12988.008731689129</v>
      </c>
      <c r="G45" s="7">
        <f>SUM(D45:$D$113)</f>
        <v>746882.26779850246</v>
      </c>
      <c r="H45" s="7">
        <f t="shared" si="6"/>
        <v>241634.38669405988</v>
      </c>
      <c r="I45" s="7">
        <f t="shared" si="7"/>
        <v>4885.7990572476983</v>
      </c>
      <c r="J45" s="1"/>
      <c r="K45" s="1"/>
    </row>
    <row r="46" spans="1:11" x14ac:dyDescent="0.25">
      <c r="A46" s="3">
        <f t="shared" si="3"/>
        <v>40</v>
      </c>
      <c r="B46" s="3">
        <v>94746</v>
      </c>
      <c r="C46" s="3">
        <f t="shared" si="0"/>
        <v>270</v>
      </c>
      <c r="D46" s="7">
        <f t="shared" si="5"/>
        <v>32010.146516529145</v>
      </c>
      <c r="E46" s="7">
        <f t="shared" si="4"/>
        <v>88.778685770456363</v>
      </c>
      <c r="F46" s="7">
        <f>SUM(E46:$E$113)</f>
        <v>12903.207824256111</v>
      </c>
      <c r="G46" s="7">
        <f>SUM(D46:$D$113)</f>
        <v>713904.70932038128</v>
      </c>
      <c r="H46" s="7">
        <f t="shared" si="6"/>
        <v>259933.39130418061</v>
      </c>
      <c r="I46" s="7">
        <f t="shared" si="7"/>
        <v>5269.5636015525542</v>
      </c>
      <c r="J46" s="1"/>
      <c r="K46" s="1"/>
    </row>
    <row r="47" spans="1:11" x14ac:dyDescent="0.25">
      <c r="A47" s="3">
        <f t="shared" si="3"/>
        <v>41</v>
      </c>
      <c r="B47" s="3">
        <v>94476</v>
      </c>
      <c r="C47" s="3">
        <f t="shared" si="0"/>
        <v>294</v>
      </c>
      <c r="D47" s="7">
        <f t="shared" si="5"/>
        <v>31064.648580924575</v>
      </c>
      <c r="E47" s="7">
        <f t="shared" si="4"/>
        <v>94.082846234168386</v>
      </c>
      <c r="F47" s="7">
        <f>SUM(E47:$E$113)</f>
        <v>12814.429138485655</v>
      </c>
      <c r="G47" s="7">
        <f>SUM(D47:$D$113)</f>
        <v>681894.56280385226</v>
      </c>
      <c r="H47" s="7">
        <f t="shared" si="6"/>
        <v>279204.95288708311</v>
      </c>
      <c r="I47" s="7">
        <f t="shared" si="7"/>
        <v>5754.3676175589399</v>
      </c>
      <c r="J47" s="1"/>
      <c r="K47" s="1"/>
    </row>
    <row r="48" spans="1:11" x14ac:dyDescent="0.25">
      <c r="A48" s="3">
        <f t="shared" si="3"/>
        <v>42</v>
      </c>
      <c r="B48" s="3">
        <v>94182</v>
      </c>
      <c r="C48" s="3">
        <f t="shared" si="0"/>
        <v>314</v>
      </c>
      <c r="D48" s="7">
        <f t="shared" si="5"/>
        <v>30139.151782402882</v>
      </c>
      <c r="E48" s="7">
        <f t="shared" si="4"/>
        <v>97.793712754783826</v>
      </c>
      <c r="F48" s="7">
        <f>SUM(E48:$E$113)</f>
        <v>12720.346292251486</v>
      </c>
      <c r="G48" s="7">
        <f>SUM(D48:$D$113)</f>
        <v>650829.91422292765</v>
      </c>
      <c r="H48" s="7">
        <f t="shared" si="6"/>
        <v>299345.29948585434</v>
      </c>
      <c r="I48" s="7">
        <f t="shared" si="7"/>
        <v>6165.0060882794132</v>
      </c>
      <c r="J48" s="1"/>
      <c r="K48" s="1"/>
    </row>
    <row r="49" spans="1:11" x14ac:dyDescent="0.25">
      <c r="A49" s="3">
        <f t="shared" si="3"/>
        <v>43</v>
      </c>
      <c r="B49" s="3">
        <v>93868</v>
      </c>
      <c r="C49" s="3">
        <f t="shared" si="0"/>
        <v>353</v>
      </c>
      <c r="D49" s="7">
        <f t="shared" si="5"/>
        <v>29234.714104668943</v>
      </c>
      <c r="E49" s="7">
        <f t="shared" si="4"/>
        <v>106.99763076677573</v>
      </c>
      <c r="F49" s="7">
        <f>SUM(E49:$E$113)</f>
        <v>12622.552579496702</v>
      </c>
      <c r="G49" s="7">
        <f>SUM(D49:$D$113)</f>
        <v>620690.76244052476</v>
      </c>
      <c r="H49" s="7">
        <f t="shared" si="6"/>
        <v>320813.45663757261</v>
      </c>
      <c r="I49" s="7">
        <f t="shared" si="7"/>
        <v>6953.9075268193328</v>
      </c>
      <c r="J49" s="1"/>
      <c r="K49" s="1"/>
    </row>
    <row r="50" spans="1:11" x14ac:dyDescent="0.25">
      <c r="A50" s="3">
        <f t="shared" si="3"/>
        <v>44</v>
      </c>
      <c r="B50" s="3">
        <v>93515</v>
      </c>
      <c r="C50" s="3">
        <f t="shared" si="0"/>
        <v>382</v>
      </c>
      <c r="D50" s="7">
        <f t="shared" si="5"/>
        <v>28345.278870127571</v>
      </c>
      <c r="E50" s="7">
        <f t="shared" si="4"/>
        <v>112.68886072912285</v>
      </c>
      <c r="F50" s="7">
        <f>SUM(E50:$E$113)</f>
        <v>12515.554948729929</v>
      </c>
      <c r="G50" s="7">
        <f>SUM(D50:$D$113)</f>
        <v>591456.04833585583</v>
      </c>
      <c r="H50" s="7">
        <f t="shared" si="6"/>
        <v>343341.33215876814</v>
      </c>
      <c r="I50" s="7">
        <f t="shared" si="7"/>
        <v>7553.5977743009516</v>
      </c>
      <c r="J50" s="1"/>
      <c r="K50" s="1"/>
    </row>
    <row r="51" spans="1:11" x14ac:dyDescent="0.25">
      <c r="A51" s="3">
        <f t="shared" si="3"/>
        <v>45</v>
      </c>
      <c r="B51" s="3">
        <v>93133</v>
      </c>
      <c r="C51" s="3">
        <f t="shared" si="0"/>
        <v>406</v>
      </c>
      <c r="D51" s="7">
        <f t="shared" si="5"/>
        <v>27473.957241584812</v>
      </c>
      <c r="E51" s="7">
        <f t="shared" si="4"/>
        <v>116.56329844466663</v>
      </c>
      <c r="F51" s="7">
        <f>SUM(E51:$E$113)</f>
        <v>12402.866088000805</v>
      </c>
      <c r="G51" s="7">
        <f>SUM(D51:$D$113)</f>
        <v>563110.76946572831</v>
      </c>
      <c r="H51" s="7">
        <f t="shared" si="6"/>
        <v>367206.99667692714</v>
      </c>
      <c r="I51" s="7">
        <f t="shared" si="7"/>
        <v>8061.0981919141041</v>
      </c>
      <c r="J51" s="1"/>
      <c r="K51" s="1"/>
    </row>
    <row r="52" spans="1:11" x14ac:dyDescent="0.25">
      <c r="A52" s="3">
        <f t="shared" si="3"/>
        <v>46</v>
      </c>
      <c r="B52" s="3">
        <v>92727</v>
      </c>
      <c r="C52" s="3">
        <f t="shared" si="0"/>
        <v>432</v>
      </c>
      <c r="D52" s="7">
        <f t="shared" si="5"/>
        <v>26622.081218912816</v>
      </c>
      <c r="E52" s="7">
        <f t="shared" si="4"/>
        <v>120.70846050866197</v>
      </c>
      <c r="F52" s="7">
        <f>SUM(E52:$E$113)</f>
        <v>12286.302789556139</v>
      </c>
      <c r="G52" s="7">
        <f>SUM(D52:$D$113)</f>
        <v>535636.81222414353</v>
      </c>
      <c r="H52" s="7">
        <f t="shared" si="6"/>
        <v>392538.95553467388</v>
      </c>
      <c r="I52" s="7">
        <f t="shared" si="7"/>
        <v>8614.8814993294436</v>
      </c>
      <c r="J52" s="1"/>
      <c r="K52" s="1"/>
    </row>
    <row r="53" spans="1:11" x14ac:dyDescent="0.25">
      <c r="A53" s="3">
        <f t="shared" si="3"/>
        <v>47</v>
      </c>
      <c r="B53" s="3">
        <v>92295</v>
      </c>
      <c r="C53" s="3">
        <f t="shared" si="0"/>
        <v>462</v>
      </c>
      <c r="D53" s="7">
        <f t="shared" si="5"/>
        <v>25788.859635756846</v>
      </c>
      <c r="E53" s="7">
        <f t="shared" si="4"/>
        <v>125.63600242182987</v>
      </c>
      <c r="F53" s="7">
        <f>SUM(E53:$E$113)</f>
        <v>12165.594329047477</v>
      </c>
      <c r="G53" s="7">
        <f>SUM(D53:$D$113)</f>
        <v>509014.73100523069</v>
      </c>
      <c r="H53" s="7">
        <f t="shared" si="6"/>
        <v>419919.80948046915</v>
      </c>
      <c r="I53" s="7">
        <f t="shared" si="7"/>
        <v>9256.2605703783302</v>
      </c>
      <c r="J53" s="1"/>
      <c r="K53" s="1"/>
    </row>
    <row r="54" spans="1:11" x14ac:dyDescent="0.25">
      <c r="A54" s="3">
        <f t="shared" si="3"/>
        <v>48</v>
      </c>
      <c r="B54" s="3">
        <v>91833</v>
      </c>
      <c r="C54" s="3">
        <f t="shared" si="0"/>
        <v>501</v>
      </c>
      <c r="D54" s="7">
        <f t="shared" si="5"/>
        <v>24973.01084503009</v>
      </c>
      <c r="E54" s="7">
        <f t="shared" si="4"/>
        <v>132.59526908993323</v>
      </c>
      <c r="F54" s="7">
        <f>SUM(E54:$E$113)</f>
        <v>12039.958326625647</v>
      </c>
      <c r="G54" s="7">
        <f>SUM(D54:$D$113)</f>
        <v>483225.87136947387</v>
      </c>
      <c r="H54" s="7">
        <f t="shared" si="6"/>
        <v>449007.74135531223</v>
      </c>
      <c r="I54" s="7">
        <f t="shared" si="7"/>
        <v>10088.131256348215</v>
      </c>
      <c r="J54" s="1"/>
      <c r="K54" s="1"/>
    </row>
    <row r="55" spans="1:11" x14ac:dyDescent="0.25">
      <c r="A55" s="3">
        <f t="shared" si="3"/>
        <v>49</v>
      </c>
      <c r="B55" s="3">
        <v>91332</v>
      </c>
      <c r="C55" s="3">
        <f t="shared" si="0"/>
        <v>554</v>
      </c>
      <c r="D55" s="7">
        <f t="shared" si="5"/>
        <v>24172.038156730101</v>
      </c>
      <c r="E55" s="7">
        <f t="shared" si="4"/>
        <v>142.69811535240564</v>
      </c>
      <c r="F55" s="7">
        <f>SUM(E55:$E$113)</f>
        <v>11907.363057535715</v>
      </c>
      <c r="G55" s="7">
        <f>SUM(D55:$D$113)</f>
        <v>458252.86052444379</v>
      </c>
      <c r="H55" s="7">
        <f t="shared" si="6"/>
        <v>479806.20094505319</v>
      </c>
      <c r="I55" s="7">
        <f t="shared" si="7"/>
        <v>11216.531159333957</v>
      </c>
      <c r="J55" s="1"/>
      <c r="K55" s="1"/>
    </row>
    <row r="56" spans="1:11" x14ac:dyDescent="0.25">
      <c r="A56" s="3">
        <f>A55+1</f>
        <v>50</v>
      </c>
      <c r="B56" s="3">
        <v>90778</v>
      </c>
      <c r="C56" s="3">
        <f t="shared" si="0"/>
        <v>607</v>
      </c>
      <c r="D56" s="7">
        <f t="shared" si="5"/>
        <v>23382.39984740195</v>
      </c>
      <c r="E56" s="7">
        <f t="shared" si="4"/>
        <v>152.16519718378211</v>
      </c>
      <c r="F56" s="7">
        <f>SUM(E56:$E$113)</f>
        <v>11764.664942183308</v>
      </c>
      <c r="G56" s="7">
        <f>SUM(D56:$D$113)</f>
        <v>434080.82236771367</v>
      </c>
      <c r="H56" s="7">
        <f t="shared" si="6"/>
        <v>512011.52281715651</v>
      </c>
      <c r="I56" s="7">
        <f t="shared" si="7"/>
        <v>12364.593734432667</v>
      </c>
      <c r="J56" s="1"/>
      <c r="K56" s="1"/>
    </row>
    <row r="57" spans="1:11" x14ac:dyDescent="0.25">
      <c r="A57" s="3">
        <f t="shared" si="3"/>
        <v>51</v>
      </c>
      <c r="B57" s="3">
        <v>90171</v>
      </c>
      <c r="C57" s="3">
        <f t="shared" si="0"/>
        <v>660</v>
      </c>
      <c r="D57" s="7">
        <f t="shared" si="5"/>
        <v>22604.428328268234</v>
      </c>
      <c r="E57" s="7">
        <f t="shared" si="4"/>
        <v>161.02330898847782</v>
      </c>
      <c r="F57" s="7">
        <f>SUM(E57:$E$113)</f>
        <v>11612.499744999526</v>
      </c>
      <c r="G57" s="7">
        <f>SUM(D57:$D$113)</f>
        <v>410698.42252031167</v>
      </c>
      <c r="H57" s="7">
        <f t="shared" si="6"/>
        <v>546059.22481444059</v>
      </c>
      <c r="I57" s="7">
        <f t="shared" si="7"/>
        <v>13534.70579459456</v>
      </c>
      <c r="J57" s="1"/>
      <c r="K57" s="1"/>
    </row>
    <row r="58" spans="1:11" x14ac:dyDescent="0.25">
      <c r="A58" s="3">
        <f t="shared" si="3"/>
        <v>52</v>
      </c>
      <c r="B58" s="3">
        <v>89511</v>
      </c>
      <c r="C58" s="3">
        <f t="shared" si="0"/>
        <v>720</v>
      </c>
      <c r="D58" s="7">
        <f t="shared" si="5"/>
        <v>21838.420319496421</v>
      </c>
      <c r="E58" s="7">
        <f t="shared" si="4"/>
        <v>170.96038114237857</v>
      </c>
      <c r="F58" s="7">
        <f>SUM(E58:$E$113)</f>
        <v>11451.476436011048</v>
      </c>
      <c r="G58" s="7">
        <f>SUM(D58:$D$113)</f>
        <v>388093.99419204349</v>
      </c>
      <c r="H58" s="7">
        <f t="shared" si="6"/>
        <v>581744.5233821033</v>
      </c>
      <c r="I58" s="7">
        <f t="shared" si="7"/>
        <v>14874.002762943865</v>
      </c>
      <c r="J58" s="1"/>
      <c r="K58" s="1"/>
    </row>
    <row r="59" spans="1:11" x14ac:dyDescent="0.25">
      <c r="A59" s="3">
        <f t="shared" si="3"/>
        <v>53</v>
      </c>
      <c r="B59" s="3">
        <v>88791</v>
      </c>
      <c r="C59" s="3">
        <f t="shared" si="0"/>
        <v>780</v>
      </c>
      <c r="D59" s="7">
        <f t="shared" si="5"/>
        <v>21082.976669462409</v>
      </c>
      <c r="E59" s="7">
        <f t="shared" si="4"/>
        <v>180.25019909577625</v>
      </c>
      <c r="F59" s="7">
        <f>SUM(E59:$E$113)</f>
        <v>11280.516054868669</v>
      </c>
      <c r="G59" s="7">
        <f>SUM(D59:$D$113)</f>
        <v>366255.57387254707</v>
      </c>
      <c r="H59" s="7">
        <f t="shared" si="6"/>
        <v>619404.87545142707</v>
      </c>
      <c r="I59" s="7">
        <f t="shared" si="7"/>
        <v>16244.166260356908</v>
      </c>
      <c r="J59" s="1"/>
      <c r="K59" s="1"/>
    </row>
    <row r="60" spans="1:11" x14ac:dyDescent="0.25">
      <c r="A60" s="3">
        <f t="shared" si="3"/>
        <v>54</v>
      </c>
      <c r="B60" s="3">
        <v>88011</v>
      </c>
      <c r="C60" s="3">
        <f t="shared" si="0"/>
        <v>846</v>
      </c>
      <c r="D60" s="7">
        <f t="shared" si="5"/>
        <v>20338.461887972262</v>
      </c>
      <c r="E60" s="7">
        <f t="shared" si="4"/>
        <v>190.26972167325061</v>
      </c>
      <c r="F60" s="7">
        <f>SUM(E60:$E$113)</f>
        <v>11100.265855772894</v>
      </c>
      <c r="G60" s="7">
        <f>SUM(D60:$D$113)</f>
        <v>345172.59720308468</v>
      </c>
      <c r="H60" s="7">
        <f t="shared" si="6"/>
        <v>658997.06151863828</v>
      </c>
      <c r="I60" s="7">
        <f t="shared" si="7"/>
        <v>17774.818625442371</v>
      </c>
      <c r="J60" s="1"/>
      <c r="K60" s="1"/>
    </row>
    <row r="61" spans="1:11" x14ac:dyDescent="0.25">
      <c r="A61" s="3">
        <f t="shared" si="3"/>
        <v>55</v>
      </c>
      <c r="B61" s="3">
        <v>87165</v>
      </c>
      <c r="C61" s="3">
        <f t="shared" si="0"/>
        <v>924</v>
      </c>
      <c r="D61" s="7">
        <f t="shared" si="5"/>
        <v>19603.853770270554</v>
      </c>
      <c r="E61" s="7">
        <f t="shared" si="4"/>
        <v>202.25043321206255</v>
      </c>
      <c r="F61" s="7">
        <f>SUM(E61:$E$113)</f>
        <v>10909.996134099641</v>
      </c>
      <c r="G61" s="7">
        <f>SUM(D61:$D$113)</f>
        <v>324834.13531511242</v>
      </c>
      <c r="H61" s="7">
        <f t="shared" si="6"/>
        <v>700231.15723172703</v>
      </c>
      <c r="I61" s="7">
        <f t="shared" si="7"/>
        <v>19602.05516762612</v>
      </c>
      <c r="J61" s="1"/>
      <c r="K61" s="1"/>
    </row>
    <row r="62" spans="1:11" x14ac:dyDescent="0.25">
      <c r="A62" s="3">
        <f t="shared" si="3"/>
        <v>56</v>
      </c>
      <c r="B62" s="3">
        <v>86241</v>
      </c>
      <c r="C62" s="3">
        <f t="shared" si="0"/>
        <v>985</v>
      </c>
      <c r="D62" s="7">
        <f t="shared" si="5"/>
        <v>18876.925985542734</v>
      </c>
      <c r="E62" s="7">
        <f t="shared" si="4"/>
        <v>209.83208172852781</v>
      </c>
      <c r="F62" s="7">
        <f>SUM(E62:$E$113)</f>
        <v>10707.745700887579</v>
      </c>
      <c r="G62" s="7">
        <f>SUM(D62:$D$113)</f>
        <v>305230.28154484188</v>
      </c>
      <c r="H62" s="7">
        <f t="shared" si="6"/>
        <v>742809.69999460713</v>
      </c>
      <c r="I62" s="7">
        <f t="shared" si="7"/>
        <v>21120.014751847837</v>
      </c>
      <c r="J62" s="1"/>
      <c r="K62" s="1"/>
    </row>
    <row r="63" spans="1:11" x14ac:dyDescent="0.25">
      <c r="A63" s="3">
        <f t="shared" si="3"/>
        <v>57</v>
      </c>
      <c r="B63" s="3">
        <v>85256</v>
      </c>
      <c r="C63" s="3">
        <f t="shared" si="0"/>
        <v>1045</v>
      </c>
      <c r="D63" s="7">
        <f t="shared" si="5"/>
        <v>18161.872040454178</v>
      </c>
      <c r="E63" s="7">
        <f t="shared" si="4"/>
        <v>216.65569963694995</v>
      </c>
      <c r="F63" s="7">
        <f>SUM(E63:$E$113)</f>
        <v>10497.913619159051</v>
      </c>
      <c r="G63" s="7">
        <f>SUM(D63:$D$113)</f>
        <v>286353.35555929906</v>
      </c>
      <c r="H63" s="7">
        <f t="shared" si="6"/>
        <v>787496.05034272501</v>
      </c>
      <c r="I63" s="7">
        <f t="shared" si="7"/>
        <v>22665.385396026199</v>
      </c>
      <c r="J63" s="1"/>
      <c r="K63" s="1"/>
    </row>
    <row r="64" spans="1:11" x14ac:dyDescent="0.25">
      <c r="A64" s="3">
        <f t="shared" si="3"/>
        <v>58</v>
      </c>
      <c r="B64" s="3">
        <v>84211</v>
      </c>
      <c r="C64" s="3">
        <f t="shared" si="0"/>
        <v>1128</v>
      </c>
      <c r="D64" s="7">
        <f t="shared" si="5"/>
        <v>17459.132174284394</v>
      </c>
      <c r="E64" s="7">
        <f t="shared" si="4"/>
        <v>227.60463259453962</v>
      </c>
      <c r="F64" s="7">
        <f>SUM(E64:$E$113)</f>
        <v>10281.257919522101</v>
      </c>
      <c r="G64" s="7">
        <f>SUM(D64:$D$113)</f>
        <v>268191.48351884494</v>
      </c>
      <c r="H64" s="7">
        <f t="shared" si="6"/>
        <v>833380.54356088105</v>
      </c>
      <c r="I64" s="7">
        <f t="shared" si="7"/>
        <v>24769.203738922326</v>
      </c>
      <c r="J64" s="1"/>
      <c r="K64" s="1"/>
    </row>
    <row r="65" spans="1:11" x14ac:dyDescent="0.25">
      <c r="A65" s="3">
        <f t="shared" si="3"/>
        <v>59</v>
      </c>
      <c r="B65" s="3">
        <v>83083</v>
      </c>
      <c r="C65" s="3">
        <f t="shared" si="0"/>
        <v>1199</v>
      </c>
      <c r="D65" s="7">
        <f t="shared" si="5"/>
        <v>16764.251498095866</v>
      </c>
      <c r="E65" s="7">
        <f t="shared" si="4"/>
        <v>235.45577684669203</v>
      </c>
      <c r="F65" s="7">
        <f>SUM(E65:$E$113)</f>
        <v>10053.653286927562</v>
      </c>
      <c r="G65" s="7">
        <f>SUM(D65:$D$113)</f>
        <v>250732.35134456045</v>
      </c>
      <c r="H65" s="7">
        <f t="shared" si="6"/>
        <v>879941.88679363392</v>
      </c>
      <c r="I65" s="7">
        <f t="shared" si="7"/>
        <v>26685.711322066862</v>
      </c>
      <c r="J65" s="1"/>
      <c r="K65" s="1"/>
    </row>
    <row r="66" spans="1:11" x14ac:dyDescent="0.25">
      <c r="A66" s="3">
        <f t="shared" si="3"/>
        <v>60</v>
      </c>
      <c r="B66" s="3">
        <v>81884</v>
      </c>
      <c r="C66" s="3">
        <f t="shared" si="0"/>
        <v>1282</v>
      </c>
      <c r="D66" s="7">
        <f t="shared" si="5"/>
        <v>16080.117457309865</v>
      </c>
      <c r="E66" s="7">
        <f t="shared" si="4"/>
        <v>245.01708107726364</v>
      </c>
      <c r="F66" s="7">
        <f>SUM(E66:$E$113)</f>
        <v>9818.1975100808704</v>
      </c>
      <c r="G66" s="7">
        <f>SUM(D66:$D$113)</f>
        <v>233968.09984646458</v>
      </c>
      <c r="H66" s="7">
        <f t="shared" si="6"/>
        <v>927030.42859992804</v>
      </c>
      <c r="I66" s="9" t="s">
        <v>12</v>
      </c>
      <c r="J66" s="1"/>
      <c r="K66" s="1"/>
    </row>
    <row r="67" spans="1:11" x14ac:dyDescent="0.25">
      <c r="A67" s="3">
        <f t="shared" si="3"/>
        <v>61</v>
      </c>
      <c r="B67" s="3">
        <v>80602</v>
      </c>
      <c r="C67" s="3">
        <f t="shared" si="0"/>
        <v>1359</v>
      </c>
      <c r="D67" s="7">
        <f t="shared" si="5"/>
        <v>15404.732269102655</v>
      </c>
      <c r="E67" s="7">
        <f t="shared" si="4"/>
        <v>252.7818935468085</v>
      </c>
      <c r="F67" s="7">
        <f>SUM(E67:$E$113)</f>
        <v>9573.1804290036071</v>
      </c>
      <c r="G67" s="7">
        <f>SUM(D67:$D$113)</f>
        <v>217887.98238915473</v>
      </c>
      <c r="H67" s="7">
        <f t="shared" si="6"/>
        <v>974002.6691249205</v>
      </c>
      <c r="I67" s="9" t="s">
        <v>12</v>
      </c>
      <c r="J67" s="1"/>
      <c r="K67" s="1"/>
    </row>
    <row r="68" spans="1:11" x14ac:dyDescent="0.25">
      <c r="A68" s="3">
        <f t="shared" si="3"/>
        <v>62</v>
      </c>
      <c r="B68" s="3">
        <v>79243</v>
      </c>
      <c r="C68" s="3">
        <f t="shared" si="0"/>
        <v>1436</v>
      </c>
      <c r="D68" s="7">
        <f t="shared" si="5"/>
        <v>14739.658271029983</v>
      </c>
      <c r="E68" s="7">
        <f t="shared" si="4"/>
        <v>259.9555628123706</v>
      </c>
      <c r="F68" s="7">
        <f>SUM(E68:$E$113)</f>
        <v>9320.3985354567994</v>
      </c>
      <c r="G68" s="7">
        <f>SUM(D68:$D$113)</f>
        <v>202483.25012005208</v>
      </c>
      <c r="H68" s="7">
        <f t="shared" si="6"/>
        <v>1020436.8653135838</v>
      </c>
      <c r="I68" s="9" t="s">
        <v>12</v>
      </c>
      <c r="J68" s="1"/>
      <c r="K68" s="1"/>
    </row>
    <row r="69" spans="1:11" x14ac:dyDescent="0.25">
      <c r="A69" s="3">
        <f t="shared" si="3"/>
        <v>63</v>
      </c>
      <c r="B69" s="3">
        <v>77807</v>
      </c>
      <c r="C69" s="3">
        <f t="shared" si="0"/>
        <v>1512</v>
      </c>
      <c r="D69" s="7">
        <f t="shared" si="5"/>
        <v>14085.210637703427</v>
      </c>
      <c r="E69" s="7">
        <f t="shared" si="4"/>
        <v>266.38798702282253</v>
      </c>
      <c r="F69" s="7">
        <f>SUM(E69:$E$113)</f>
        <v>9060.4429726444287</v>
      </c>
      <c r="G69" s="7">
        <f>SUM(D69:$D$113)</f>
        <v>187743.59184902208</v>
      </c>
      <c r="H69" s="7">
        <f t="shared" si="6"/>
        <v>1066369.6534466462</v>
      </c>
      <c r="I69" s="9" t="s">
        <v>12</v>
      </c>
      <c r="J69" s="1"/>
      <c r="K69" s="1"/>
    </row>
    <row r="70" spans="1:11" x14ac:dyDescent="0.25">
      <c r="A70" s="3">
        <f t="shared" si="3"/>
        <v>64</v>
      </c>
      <c r="B70" s="3">
        <v>76295</v>
      </c>
      <c r="C70" s="3">
        <f t="shared" si="0"/>
        <v>1575</v>
      </c>
      <c r="D70" s="7">
        <f t="shared" ref="D70:D101" si="8">B70*($E$3^A70)</f>
        <v>13441.846210255453</v>
      </c>
      <c r="E70" s="7">
        <f t="shared" si="4"/>
        <v>270.0608140945078</v>
      </c>
      <c r="F70" s="7">
        <f>SUM(E70:$E$113)</f>
        <v>8794.0549856216076</v>
      </c>
      <c r="G70" s="7">
        <f>SUM(D70:$D$113)</f>
        <v>173658.38121131866</v>
      </c>
      <c r="H70" s="7">
        <f t="shared" ref="H70:H101" si="9">(((F70-VLOOKUP($A70+$B$2,$A$6:$F$113,6))/$D70))*$E$1</f>
        <v>1111453.7920665103</v>
      </c>
      <c r="I70" s="9" t="s">
        <v>12</v>
      </c>
      <c r="J70" s="1"/>
      <c r="K70" s="1"/>
    </row>
    <row r="71" spans="1:11" x14ac:dyDescent="0.25">
      <c r="A71" s="3">
        <f t="shared" si="3"/>
        <v>65</v>
      </c>
      <c r="B71" s="3">
        <v>74720</v>
      </c>
      <c r="C71" s="3">
        <f t="shared" ref="C71:C113" si="10">B71-B72</f>
        <v>1645</v>
      </c>
      <c r="D71" s="7">
        <f t="shared" si="8"/>
        <v>12812.027955010553</v>
      </c>
      <c r="E71" s="7">
        <f t="shared" ref="E71:E113" si="11">C71*($E$3^SUM(A71,1))</f>
        <v>274.51437172082979</v>
      </c>
      <c r="F71" s="7">
        <f>SUM(E71:$E$113)</f>
        <v>8523.9941715270979</v>
      </c>
      <c r="G71" s="7">
        <f>SUM(D71:$D$113)</f>
        <v>160216.53500106322</v>
      </c>
      <c r="H71" s="7">
        <f t="shared" si="9"/>
        <v>1154897.9585797007</v>
      </c>
      <c r="I71" s="9" t="s">
        <v>12</v>
      </c>
      <c r="J71" s="1"/>
      <c r="K71" s="1"/>
    </row>
    <row r="72" spans="1:11" x14ac:dyDescent="0.25">
      <c r="A72" s="3">
        <f t="shared" ref="A72:A113" si="12">A71+1</f>
        <v>66</v>
      </c>
      <c r="B72" s="3">
        <v>73075</v>
      </c>
      <c r="C72" s="3">
        <f t="shared" si="10"/>
        <v>1709</v>
      </c>
      <c r="D72" s="7">
        <f t="shared" si="8"/>
        <v>12194.612591793091</v>
      </c>
      <c r="E72" s="7">
        <f t="shared" si="11"/>
        <v>277.5616215300501</v>
      </c>
      <c r="F72" s="7">
        <f>SUM(E72:$E$113)</f>
        <v>8249.4797998062659</v>
      </c>
      <c r="G72" s="7">
        <f>SUM(D72:$D$113)</f>
        <v>147404.50704605266</v>
      </c>
      <c r="H72" s="7">
        <f t="shared" si="9"/>
        <v>1196344.7189210935</v>
      </c>
      <c r="I72" s="9" t="s">
        <v>12</v>
      </c>
      <c r="J72" s="1"/>
      <c r="K72" s="1"/>
    </row>
    <row r="73" spans="1:11" x14ac:dyDescent="0.25">
      <c r="A73" s="3">
        <f t="shared" si="12"/>
        <v>67</v>
      </c>
      <c r="B73" s="3">
        <v>71366</v>
      </c>
      <c r="C73" s="3">
        <f t="shared" si="10"/>
        <v>1807</v>
      </c>
      <c r="D73" s="7">
        <f t="shared" si="8"/>
        <v>11590.674477538651</v>
      </c>
      <c r="E73" s="7">
        <f t="shared" si="11"/>
        <v>285.62332811111662</v>
      </c>
      <c r="F73" s="7">
        <f>SUM(E73:$E$113)</f>
        <v>7971.918178276218</v>
      </c>
      <c r="G73" s="7">
        <f>SUM(D73:$D$113)</f>
        <v>135209.89445425957</v>
      </c>
      <c r="H73" s="7">
        <f t="shared" si="9"/>
        <v>1235814.0601601929</v>
      </c>
      <c r="I73" s="9" t="s">
        <v>12</v>
      </c>
      <c r="J73" s="1"/>
      <c r="K73" s="1"/>
    </row>
    <row r="74" spans="1:11" x14ac:dyDescent="0.25">
      <c r="A74" s="3">
        <f t="shared" si="12"/>
        <v>68</v>
      </c>
      <c r="B74" s="3">
        <v>69559</v>
      </c>
      <c r="C74" s="3">
        <f t="shared" si="10"/>
        <v>1904</v>
      </c>
      <c r="D74" s="7">
        <f t="shared" si="8"/>
        <v>10994.838450515308</v>
      </c>
      <c r="E74" s="7">
        <f t="shared" si="11"/>
        <v>292.90085284642771</v>
      </c>
      <c r="F74" s="7">
        <f>SUM(E74:$E$113)</f>
        <v>7686.2948501651008</v>
      </c>
      <c r="G74" s="7">
        <f>SUM(D74:$D$113)</f>
        <v>123619.21997672098</v>
      </c>
      <c r="H74" s="7">
        <f t="shared" si="9"/>
        <v>1273015.9139007998</v>
      </c>
      <c r="I74" s="9" t="s">
        <v>12</v>
      </c>
      <c r="J74" s="1"/>
      <c r="K74" s="1"/>
    </row>
    <row r="75" spans="1:11" x14ac:dyDescent="0.25">
      <c r="A75" s="3">
        <f t="shared" si="12"/>
        <v>69</v>
      </c>
      <c r="B75" s="3">
        <v>67655</v>
      </c>
      <c r="C75" s="3">
        <f t="shared" si="10"/>
        <v>2006</v>
      </c>
      <c r="D75" s="7">
        <f t="shared" si="8"/>
        <v>10407.671848385013</v>
      </c>
      <c r="E75" s="7">
        <f t="shared" si="11"/>
        <v>300.33281748243365</v>
      </c>
      <c r="F75" s="7">
        <f>SUM(E75:$E$113)</f>
        <v>7393.3939973186743</v>
      </c>
      <c r="G75" s="7">
        <f>SUM(D75:$D$113)</f>
        <v>112624.38152620569</v>
      </c>
      <c r="H75" s="7">
        <f t="shared" si="9"/>
        <v>1307598.2239219598</v>
      </c>
      <c r="I75" s="9" t="s">
        <v>12</v>
      </c>
      <c r="J75" s="1"/>
      <c r="K75" s="1"/>
    </row>
    <row r="76" spans="1:11" x14ac:dyDescent="0.25">
      <c r="A76" s="3">
        <f t="shared" si="12"/>
        <v>70</v>
      </c>
      <c r="B76" s="3">
        <v>65649</v>
      </c>
      <c r="C76" s="3">
        <f t="shared" si="10"/>
        <v>2106</v>
      </c>
      <c r="D76" s="7">
        <f t="shared" si="8"/>
        <v>9828.7882028436125</v>
      </c>
      <c r="E76" s="7">
        <f t="shared" si="11"/>
        <v>306.8657354544664</v>
      </c>
      <c r="F76" s="7">
        <f>SUM(E76:$E$113)</f>
        <v>7093.0611798362397</v>
      </c>
      <c r="G76" s="7">
        <f>SUM(D76:$D$113)</f>
        <v>102216.70967782068</v>
      </c>
      <c r="H76" s="7">
        <f t="shared" si="9"/>
        <v>1339715.2259237042</v>
      </c>
      <c r="I76" s="9" t="s">
        <v>12</v>
      </c>
      <c r="J76" s="1"/>
      <c r="K76" s="1"/>
    </row>
    <row r="77" spans="1:11" x14ac:dyDescent="0.25">
      <c r="A77" s="3">
        <f t="shared" si="12"/>
        <v>71</v>
      </c>
      <c r="B77" s="3">
        <v>63543</v>
      </c>
      <c r="C77" s="3">
        <f t="shared" si="10"/>
        <v>2258</v>
      </c>
      <c r="D77" s="7">
        <f t="shared" si="8"/>
        <v>9258.8648755855447</v>
      </c>
      <c r="E77" s="7">
        <f t="shared" si="11"/>
        <v>320.20797057933657</v>
      </c>
      <c r="F77" s="7">
        <f>SUM(E77:$E$113)</f>
        <v>6786.195444381774</v>
      </c>
      <c r="G77" s="7">
        <f>SUM(D77:$D$113)</f>
        <v>92387.921474977047</v>
      </c>
      <c r="H77" s="7">
        <f t="shared" si="9"/>
        <v>1369528.2543092698</v>
      </c>
      <c r="I77" s="9" t="s">
        <v>12</v>
      </c>
      <c r="J77" s="1"/>
      <c r="K77" s="1"/>
    </row>
    <row r="78" spans="1:11" x14ac:dyDescent="0.25">
      <c r="A78" s="3">
        <f t="shared" si="12"/>
        <v>72</v>
      </c>
      <c r="B78" s="3">
        <v>61285</v>
      </c>
      <c r="C78" s="3">
        <f t="shared" si="10"/>
        <v>2374</v>
      </c>
      <c r="D78" s="7">
        <f t="shared" si="8"/>
        <v>8690.8527355866445</v>
      </c>
      <c r="E78" s="7">
        <f t="shared" si="11"/>
        <v>327.64767052872617</v>
      </c>
      <c r="F78" s="7">
        <f>SUM(E78:$E$113)</f>
        <v>6465.9874738024373</v>
      </c>
      <c r="G78" s="7">
        <f>SUM(D78:$D$113)</f>
        <v>83129.056599391508</v>
      </c>
      <c r="H78" s="7">
        <f t="shared" si="9"/>
        <v>1397215.0288977316</v>
      </c>
      <c r="I78" s="9" t="s">
        <v>12</v>
      </c>
      <c r="J78" s="1"/>
      <c r="K78" s="1"/>
    </row>
    <row r="79" spans="1:11" x14ac:dyDescent="0.25">
      <c r="A79" s="3">
        <f t="shared" si="12"/>
        <v>73</v>
      </c>
      <c r="B79" s="3">
        <v>58911</v>
      </c>
      <c r="C79" s="3">
        <f t="shared" si="10"/>
        <v>2495</v>
      </c>
      <c r="D79" s="7">
        <f t="shared" si="8"/>
        <v>8130.6031670251841</v>
      </c>
      <c r="E79" s="7">
        <f t="shared" si="11"/>
        <v>335.13137577985839</v>
      </c>
      <c r="F79" s="7">
        <f>SUM(E79:$E$113)</f>
        <v>6138.3398032737114</v>
      </c>
      <c r="G79" s="7">
        <f>SUM(D79:$D$113)</f>
        <v>74438.203863804869</v>
      </c>
      <c r="H79" s="7">
        <f t="shared" si="9"/>
        <v>1423063.788169285</v>
      </c>
      <c r="I79" s="9" t="s">
        <v>12</v>
      </c>
      <c r="J79" s="1"/>
      <c r="K79" s="1"/>
    </row>
    <row r="80" spans="1:11" x14ac:dyDescent="0.25">
      <c r="A80" s="3">
        <f t="shared" si="12"/>
        <v>74</v>
      </c>
      <c r="B80" s="3">
        <v>56416</v>
      </c>
      <c r="C80" s="3">
        <f t="shared" si="10"/>
        <v>2598</v>
      </c>
      <c r="D80" s="7">
        <f t="shared" si="8"/>
        <v>7577.8644072130219</v>
      </c>
      <c r="E80" s="7">
        <f t="shared" si="11"/>
        <v>339.62672372523997</v>
      </c>
      <c r="F80" s="7">
        <f>SUM(E80:$E$113)</f>
        <v>5803.2084274938534</v>
      </c>
      <c r="G80" s="7">
        <f>SUM(D80:$D$113)</f>
        <v>66307.600696779686</v>
      </c>
      <c r="H80" s="7">
        <f t="shared" si="9"/>
        <v>1447741.7791682705</v>
      </c>
      <c r="I80" s="9" t="s">
        <v>12</v>
      </c>
      <c r="J80" s="1"/>
      <c r="K80" s="1"/>
    </row>
    <row r="81" spans="1:11" x14ac:dyDescent="0.25">
      <c r="A81" s="3">
        <f t="shared" si="12"/>
        <v>75</v>
      </c>
      <c r="B81" s="3">
        <v>53818</v>
      </c>
      <c r="C81" s="3">
        <f t="shared" si="10"/>
        <v>2732</v>
      </c>
      <c r="D81" s="7">
        <f t="shared" si="8"/>
        <v>7035.4237942436357</v>
      </c>
      <c r="E81" s="7">
        <f t="shared" si="11"/>
        <v>347.58543787841882</v>
      </c>
      <c r="F81" s="7">
        <f>SUM(E81:$E$113)</f>
        <v>5463.5817037686129</v>
      </c>
      <c r="G81" s="7">
        <f>SUM(D81:$D$113)</f>
        <v>58729.736289566659</v>
      </c>
      <c r="H81" s="7">
        <f t="shared" si="9"/>
        <v>1471048.7177698228</v>
      </c>
      <c r="I81" s="9" t="s">
        <v>12</v>
      </c>
      <c r="J81" s="1"/>
      <c r="K81" s="1"/>
    </row>
    <row r="82" spans="1:11" x14ac:dyDescent="0.25">
      <c r="A82" s="3">
        <f t="shared" si="12"/>
        <v>76</v>
      </c>
      <c r="B82" s="3">
        <v>51086</v>
      </c>
      <c r="C82" s="3">
        <f t="shared" si="10"/>
        <v>2835</v>
      </c>
      <c r="D82" s="7">
        <f t="shared" si="8"/>
        <v>6499.5423424073579</v>
      </c>
      <c r="E82" s="7">
        <f t="shared" si="11"/>
        <v>351.03636681782365</v>
      </c>
      <c r="F82" s="7">
        <f>SUM(E82:$E$113)</f>
        <v>5115.9962658901941</v>
      </c>
      <c r="G82" s="7">
        <f>SUM(D82:$D$113)</f>
        <v>51694.312495323014</v>
      </c>
      <c r="H82" s="7">
        <f t="shared" si="9"/>
        <v>1492953.6645195042</v>
      </c>
      <c r="I82" s="9" t="s">
        <v>12</v>
      </c>
      <c r="J82" s="1"/>
      <c r="K82" s="1"/>
    </row>
    <row r="83" spans="1:11" x14ac:dyDescent="0.25">
      <c r="A83" s="3">
        <f t="shared" si="12"/>
        <v>77</v>
      </c>
      <c r="B83" s="3">
        <v>48251</v>
      </c>
      <c r="C83" s="3">
        <f t="shared" si="10"/>
        <v>2967</v>
      </c>
      <c r="D83" s="7">
        <f t="shared" si="8"/>
        <v>5974.5522875932311</v>
      </c>
      <c r="E83" s="7">
        <f t="shared" si="11"/>
        <v>357.54833793723145</v>
      </c>
      <c r="F83" s="7">
        <f>SUM(E83:$E$113)</f>
        <v>4764.9598990723707</v>
      </c>
      <c r="G83" s="7">
        <f>SUM(D83:$D$113)</f>
        <v>45194.770152915655</v>
      </c>
      <c r="H83" s="7">
        <f t="shared" si="9"/>
        <v>1513885.0032588546</v>
      </c>
      <c r="I83" s="9" t="s">
        <v>12</v>
      </c>
      <c r="J83" s="1"/>
      <c r="K83" s="1"/>
    </row>
    <row r="84" spans="1:11" x14ac:dyDescent="0.25">
      <c r="A84" s="3">
        <f t="shared" si="12"/>
        <v>78</v>
      </c>
      <c r="B84" s="3">
        <v>45284</v>
      </c>
      <c r="C84" s="3">
        <f t="shared" si="10"/>
        <v>3081</v>
      </c>
      <c r="D84" s="7">
        <f t="shared" si="8"/>
        <v>5457.1010903773476</v>
      </c>
      <c r="E84" s="7">
        <f t="shared" si="11"/>
        <v>361.34918956358058</v>
      </c>
      <c r="F84" s="7">
        <f>SUM(E84:$E$113)</f>
        <v>4407.411561135139</v>
      </c>
      <c r="G84" s="7">
        <f>SUM(D84:$D$113)</f>
        <v>39220.217865322418</v>
      </c>
      <c r="H84" s="7">
        <f t="shared" si="9"/>
        <v>1533776.8397859691</v>
      </c>
      <c r="I84" s="9" t="s">
        <v>12</v>
      </c>
      <c r="J84" s="1"/>
      <c r="K84" s="1"/>
    </row>
    <row r="85" spans="1:11" x14ac:dyDescent="0.25">
      <c r="A85" s="3">
        <f t="shared" si="12"/>
        <v>79</v>
      </c>
      <c r="B85" s="3">
        <v>42203</v>
      </c>
      <c r="C85" s="3">
        <f t="shared" si="10"/>
        <v>3162</v>
      </c>
      <c r="D85" s="7">
        <f t="shared" si="8"/>
        <v>4949.6981003413803</v>
      </c>
      <c r="E85" s="7">
        <f t="shared" si="11"/>
        <v>360.92371734460465</v>
      </c>
      <c r="F85" s="7">
        <f>SUM(E85:$E$113)</f>
        <v>4046.0623715715587</v>
      </c>
      <c r="G85" s="7">
        <f>SUM(D85:$D$113)</f>
        <v>33763.116774945069</v>
      </c>
      <c r="H85" s="7">
        <f t="shared" si="9"/>
        <v>1552756.0566063838</v>
      </c>
      <c r="I85" s="9" t="s">
        <v>12</v>
      </c>
      <c r="J85" s="1"/>
      <c r="K85" s="1"/>
    </row>
    <row r="86" spans="1:11" x14ac:dyDescent="0.25">
      <c r="A86" s="3">
        <f t="shared" si="12"/>
        <v>80</v>
      </c>
      <c r="B86" s="3">
        <v>39041</v>
      </c>
      <c r="C86" s="3">
        <f t="shared" si="10"/>
        <v>3217</v>
      </c>
      <c r="D86" s="7">
        <f t="shared" si="8"/>
        <v>4456.3007112114828</v>
      </c>
      <c r="E86" s="7">
        <f t="shared" si="11"/>
        <v>357.37386288748013</v>
      </c>
      <c r="F86" s="7">
        <f>SUM(E86:$E$113)</f>
        <v>3685.1386542269538</v>
      </c>
      <c r="G86" s="7">
        <f>SUM(D86:$D$113)</f>
        <v>28813.418674603705</v>
      </c>
      <c r="H86" s="7">
        <f t="shared" si="9"/>
        <v>1571038.3511409634</v>
      </c>
      <c r="I86" s="9" t="s">
        <v>12</v>
      </c>
      <c r="J86" s="1"/>
      <c r="K86" s="1"/>
    </row>
    <row r="87" spans="1:11" x14ac:dyDescent="0.25">
      <c r="A87" s="3">
        <f t="shared" si="12"/>
        <v>81</v>
      </c>
      <c r="B87" s="3">
        <v>35824</v>
      </c>
      <c r="C87" s="3">
        <f t="shared" si="10"/>
        <v>3306</v>
      </c>
      <c r="D87" s="7">
        <f t="shared" si="8"/>
        <v>3979.6584594594619</v>
      </c>
      <c r="E87" s="7">
        <f t="shared" si="11"/>
        <v>357.431434647598</v>
      </c>
      <c r="F87" s="7">
        <f>SUM(E87:$E$113)</f>
        <v>3327.7647913394735</v>
      </c>
      <c r="G87" s="7">
        <f>SUM(D87:$D$113)</f>
        <v>24357.117963392226</v>
      </c>
      <c r="H87" s="7">
        <f t="shared" si="9"/>
        <v>1588715.3778519516</v>
      </c>
      <c r="I87" s="9" t="s">
        <v>12</v>
      </c>
      <c r="J87" s="1"/>
      <c r="K87" s="1"/>
    </row>
    <row r="88" spans="1:11" x14ac:dyDescent="0.25">
      <c r="A88" s="3">
        <f t="shared" si="12"/>
        <v>82</v>
      </c>
      <c r="B88" s="3">
        <v>32518</v>
      </c>
      <c r="C88" s="3">
        <f t="shared" si="10"/>
        <v>3298</v>
      </c>
      <c r="D88" s="7">
        <f t="shared" si="8"/>
        <v>3515.7154845343593</v>
      </c>
      <c r="E88" s="7">
        <f t="shared" si="11"/>
        <v>347.02336427840498</v>
      </c>
      <c r="F88" s="7">
        <f>SUM(E88:$E$113)</f>
        <v>2970.3333566918759</v>
      </c>
      <c r="G88" s="7">
        <f>SUM(D88:$D$113)</f>
        <v>20377.459503932761</v>
      </c>
      <c r="H88" s="7">
        <f t="shared" si="9"/>
        <v>1605258.8449039522</v>
      </c>
      <c r="I88" s="9" t="s">
        <v>12</v>
      </c>
      <c r="J88" s="1"/>
      <c r="K88" s="1"/>
    </row>
    <row r="89" spans="1:11" x14ac:dyDescent="0.25">
      <c r="A89" s="3">
        <f t="shared" si="12"/>
        <v>83</v>
      </c>
      <c r="B89" s="3">
        <v>29220</v>
      </c>
      <c r="C89" s="3">
        <f t="shared" si="10"/>
        <v>3258</v>
      </c>
      <c r="D89" s="7">
        <f t="shared" si="8"/>
        <v>3074.5975452440853</v>
      </c>
      <c r="E89" s="7">
        <f t="shared" si="11"/>
        <v>333.63938649510902</v>
      </c>
      <c r="F89" s="7">
        <f>SUM(E89:$E$113)</f>
        <v>2623.3099924134708</v>
      </c>
      <c r="G89" s="7">
        <f>SUM(D89:$D$113)</f>
        <v>16861.744019398404</v>
      </c>
      <c r="H89" s="7">
        <f t="shared" si="9"/>
        <v>1621119.1586019117</v>
      </c>
      <c r="I89" s="9" t="s">
        <v>12</v>
      </c>
      <c r="J89" s="1"/>
      <c r="K89" s="1"/>
    </row>
    <row r="90" spans="1:11" x14ac:dyDescent="0.25">
      <c r="A90" s="3">
        <f t="shared" si="12"/>
        <v>84</v>
      </c>
      <c r="B90" s="3">
        <v>25962</v>
      </c>
      <c r="C90" s="3">
        <f t="shared" si="10"/>
        <v>3182</v>
      </c>
      <c r="D90" s="7">
        <f t="shared" si="8"/>
        <v>2658.6696599711545</v>
      </c>
      <c r="E90" s="7">
        <f t="shared" si="11"/>
        <v>317.13529498862221</v>
      </c>
      <c r="F90" s="7">
        <f>SUM(E90:$E$113)</f>
        <v>2289.6706059183621</v>
      </c>
      <c r="G90" s="7">
        <f>SUM(D90:$D$113)</f>
        <v>13787.146474154311</v>
      </c>
      <c r="H90" s="7">
        <f t="shared" si="9"/>
        <v>1636297.3620769749</v>
      </c>
      <c r="I90" s="9" t="s">
        <v>12</v>
      </c>
      <c r="J90" s="1"/>
      <c r="K90" s="1"/>
    </row>
    <row r="91" spans="1:11" x14ac:dyDescent="0.25">
      <c r="A91" s="3">
        <f t="shared" si="12"/>
        <v>85</v>
      </c>
      <c r="B91" s="3">
        <v>22780</v>
      </c>
      <c r="C91" s="3">
        <f t="shared" si="10"/>
        <v>3055</v>
      </c>
      <c r="D91" s="7">
        <f t="shared" si="8"/>
        <v>2270.3777560781941</v>
      </c>
      <c r="E91" s="7">
        <f t="shared" si="11"/>
        <v>296.32874890548902</v>
      </c>
      <c r="F91" s="7">
        <f>SUM(E91:$E$113)</f>
        <v>1972.5353109297394</v>
      </c>
      <c r="G91" s="7">
        <f>SUM(D91:$D$113)</f>
        <v>11128.476814183157</v>
      </c>
      <c r="H91" s="7">
        <f t="shared" si="9"/>
        <v>1650746.0402714703</v>
      </c>
      <c r="I91" s="9" t="s">
        <v>12</v>
      </c>
      <c r="J91" s="1"/>
      <c r="K91" s="1"/>
    </row>
    <row r="92" spans="1:11" x14ac:dyDescent="0.25">
      <c r="A92" s="3">
        <f t="shared" si="12"/>
        <v>86</v>
      </c>
      <c r="B92" s="3">
        <v>19725</v>
      </c>
      <c r="C92" s="3">
        <f t="shared" si="10"/>
        <v>2882</v>
      </c>
      <c r="D92" s="7">
        <f t="shared" si="8"/>
        <v>1913.2846390051623</v>
      </c>
      <c r="E92" s="7">
        <f t="shared" si="11"/>
        <v>272.0662801902252</v>
      </c>
      <c r="F92" s="7">
        <f>SUM(E92:$E$113)</f>
        <v>1676.2065620242504</v>
      </c>
      <c r="G92" s="7">
        <f>SUM(D92:$D$113)</f>
        <v>8858.0990581049609</v>
      </c>
      <c r="H92" s="7">
        <f t="shared" si="9"/>
        <v>1664568.0433111358</v>
      </c>
      <c r="I92" s="9" t="s">
        <v>12</v>
      </c>
      <c r="J92" s="1"/>
      <c r="K92" s="1"/>
    </row>
    <row r="93" spans="1:11" x14ac:dyDescent="0.25">
      <c r="A93" s="3">
        <f t="shared" si="12"/>
        <v>87</v>
      </c>
      <c r="B93" s="3">
        <v>16843</v>
      </c>
      <c r="C93" s="3">
        <f t="shared" si="10"/>
        <v>2710</v>
      </c>
      <c r="D93" s="7">
        <f t="shared" si="8"/>
        <v>1590.0112273573777</v>
      </c>
      <c r="E93" s="7">
        <f t="shared" si="11"/>
        <v>248.98214416371107</v>
      </c>
      <c r="F93" s="7">
        <f>SUM(E93:$E$113)</f>
        <v>1404.140281834025</v>
      </c>
      <c r="G93" s="7">
        <f>SUM(D93:$D$113)</f>
        <v>6944.8144190998019</v>
      </c>
      <c r="H93" s="7">
        <f t="shared" si="9"/>
        <v>1677891.6334563759</v>
      </c>
      <c r="I93" s="9" t="s">
        <v>12</v>
      </c>
      <c r="J93" s="1"/>
      <c r="K93" s="1"/>
    </row>
    <row r="94" spans="1:11" x14ac:dyDescent="0.25">
      <c r="A94" s="3">
        <f t="shared" si="12"/>
        <v>88</v>
      </c>
      <c r="B94" s="3">
        <v>14133</v>
      </c>
      <c r="C94" s="3">
        <f t="shared" si="10"/>
        <v>2508</v>
      </c>
      <c r="D94" s="7">
        <f t="shared" si="8"/>
        <v>1298.4740381792358</v>
      </c>
      <c r="E94" s="7">
        <f t="shared" si="11"/>
        <v>224.25627981885143</v>
      </c>
      <c r="F94" s="7">
        <f>SUM(E94:$E$113)</f>
        <v>1155.1581376703141</v>
      </c>
      <c r="G94" s="7">
        <f>SUM(D94:$D$113)</f>
        <v>5354.8031917424241</v>
      </c>
      <c r="H94" s="7">
        <f t="shared" si="9"/>
        <v>1690292.1406508982</v>
      </c>
      <c r="I94" s="9" t="s">
        <v>12</v>
      </c>
      <c r="J94" s="1"/>
      <c r="K94" s="1"/>
    </row>
    <row r="95" spans="1:11" x14ac:dyDescent="0.25">
      <c r="A95" s="3">
        <f t="shared" si="12"/>
        <v>89</v>
      </c>
      <c r="B95" s="3">
        <v>11625</v>
      </c>
      <c r="C95" s="3">
        <f t="shared" si="10"/>
        <v>2236</v>
      </c>
      <c r="D95" s="7">
        <f t="shared" si="8"/>
        <v>1039.4654118397718</v>
      </c>
      <c r="E95" s="7">
        <f t="shared" si="11"/>
        <v>194.58396553896702</v>
      </c>
      <c r="F95" s="7">
        <f>SUM(E95:$E$113)</f>
        <v>930.9018578514623</v>
      </c>
      <c r="G95" s="7">
        <f>SUM(D95:$D$113)</f>
        <v>4056.3291535631852</v>
      </c>
      <c r="H95" s="7">
        <f t="shared" si="9"/>
        <v>1701560.7347504664</v>
      </c>
      <c r="I95" s="9" t="s">
        <v>12</v>
      </c>
      <c r="J95" s="1"/>
      <c r="K95" s="1"/>
    </row>
    <row r="96" spans="1:11" x14ac:dyDescent="0.25">
      <c r="A96" s="3">
        <f t="shared" si="12"/>
        <v>90</v>
      </c>
      <c r="B96" s="3">
        <v>9389</v>
      </c>
      <c r="C96" s="3">
        <f t="shared" si="10"/>
        <v>1951</v>
      </c>
      <c r="D96" s="7">
        <f t="shared" si="8"/>
        <v>817.06120413477697</v>
      </c>
      <c r="E96" s="7">
        <f t="shared" si="11"/>
        <v>165.23828907482712</v>
      </c>
      <c r="F96" s="7">
        <f>SUM(E96:$E$113)</f>
        <v>736.31789231249536</v>
      </c>
      <c r="G96" s="7">
        <f>SUM(D96:$D$113)</f>
        <v>3016.8637417234136</v>
      </c>
      <c r="H96" s="7">
        <f t="shared" si="9"/>
        <v>1712238.9220220165</v>
      </c>
      <c r="I96" s="9" t="s">
        <v>12</v>
      </c>
      <c r="J96" s="1"/>
      <c r="K96" s="1"/>
    </row>
    <row r="97" spans="1:11" x14ac:dyDescent="0.25">
      <c r="A97" s="3">
        <f t="shared" si="12"/>
        <v>91</v>
      </c>
      <c r="B97" s="3">
        <v>7438</v>
      </c>
      <c r="C97" s="3">
        <f t="shared" si="10"/>
        <v>1675</v>
      </c>
      <c r="D97" s="7">
        <f t="shared" si="8"/>
        <v>629.95509694442035</v>
      </c>
      <c r="E97" s="7">
        <f t="shared" si="11"/>
        <v>138.06589132048344</v>
      </c>
      <c r="F97" s="7">
        <f>SUM(E97:$E$113)</f>
        <v>571.07960323766827</v>
      </c>
      <c r="G97" s="7">
        <f>SUM(D97:$D$113)</f>
        <v>2199.8025375886364</v>
      </c>
      <c r="H97" s="7">
        <f t="shared" si="9"/>
        <v>1722426.3307251271</v>
      </c>
      <c r="I97" s="9" t="s">
        <v>12</v>
      </c>
      <c r="J97" s="1"/>
      <c r="K97" s="1"/>
    </row>
    <row r="98" spans="1:11" x14ac:dyDescent="0.25">
      <c r="A98" s="3">
        <f t="shared" si="12"/>
        <v>92</v>
      </c>
      <c r="B98" s="3">
        <v>5763</v>
      </c>
      <c r="C98" s="3">
        <f t="shared" si="10"/>
        <v>1413</v>
      </c>
      <c r="D98" s="7">
        <f t="shared" si="8"/>
        <v>475.02909354026633</v>
      </c>
      <c r="E98" s="7">
        <f t="shared" si="11"/>
        <v>113.35271347545083</v>
      </c>
      <c r="F98" s="7">
        <f>SUM(E98:$E$113)</f>
        <v>433.01371191718499</v>
      </c>
      <c r="G98" s="7">
        <f>SUM(D98:$D$113)</f>
        <v>1569.8474406442169</v>
      </c>
      <c r="H98" s="7">
        <f t="shared" si="9"/>
        <v>1731948.7665715201</v>
      </c>
      <c r="I98" s="9" t="s">
        <v>12</v>
      </c>
      <c r="J98" s="1"/>
      <c r="K98" s="1"/>
    </row>
    <row r="99" spans="1:11" x14ac:dyDescent="0.25">
      <c r="A99" s="3">
        <f t="shared" si="12"/>
        <v>93</v>
      </c>
      <c r="B99" s="3">
        <v>4350</v>
      </c>
      <c r="C99" s="3">
        <f t="shared" si="10"/>
        <v>1139</v>
      </c>
      <c r="D99" s="7">
        <f t="shared" si="8"/>
        <v>348.96270602845794</v>
      </c>
      <c r="E99" s="7">
        <f t="shared" si="11"/>
        <v>88.926592760335282</v>
      </c>
      <c r="F99" s="7">
        <f>SUM(E99:$E$113)</f>
        <v>319.66099844173414</v>
      </c>
      <c r="G99" s="7">
        <f>SUM(D99:$D$113)</f>
        <v>1094.8183471039506</v>
      </c>
      <c r="H99" s="7">
        <f t="shared" si="9"/>
        <v>1740460.7614137568</v>
      </c>
      <c r="I99" s="9" t="s">
        <v>12</v>
      </c>
      <c r="J99" s="1"/>
      <c r="K99" s="1"/>
    </row>
    <row r="100" spans="1:11" x14ac:dyDescent="0.25">
      <c r="A100" s="3">
        <f t="shared" si="12"/>
        <v>94</v>
      </c>
      <c r="B100" s="3">
        <v>3211</v>
      </c>
      <c r="C100" s="3">
        <f t="shared" si="10"/>
        <v>896</v>
      </c>
      <c r="D100" s="7">
        <f t="shared" si="8"/>
        <v>250.6964788002077</v>
      </c>
      <c r="E100" s="7">
        <f t="shared" si="11"/>
        <v>68.08228254456391</v>
      </c>
      <c r="F100" s="7">
        <f>SUM(E100:$E$113)</f>
        <v>230.73440568139887</v>
      </c>
      <c r="G100" s="7">
        <f>SUM(D100:$D$113)</f>
        <v>745.8556410754926</v>
      </c>
      <c r="H100" s="7">
        <f t="shared" si="9"/>
        <v>1748709.7261706518</v>
      </c>
      <c r="I100" s="9" t="s">
        <v>12</v>
      </c>
      <c r="J100" s="1"/>
      <c r="K100" s="1"/>
    </row>
    <row r="101" spans="1:11" x14ac:dyDescent="0.25">
      <c r="A101" s="3">
        <f t="shared" si="12"/>
        <v>95</v>
      </c>
      <c r="B101" s="3">
        <v>2315</v>
      </c>
      <c r="C101" s="3">
        <f t="shared" si="10"/>
        <v>680</v>
      </c>
      <c r="D101" s="7">
        <f t="shared" si="8"/>
        <v>175.9045581369034</v>
      </c>
      <c r="E101" s="7">
        <f t="shared" si="11"/>
        <v>50.286705042474217</v>
      </c>
      <c r="F101" s="7">
        <f>SUM(E101:$E$113)</f>
        <v>162.65212313683494</v>
      </c>
      <c r="G101" s="7">
        <f>SUM(D101:$D$113)</f>
        <v>495.15916227528493</v>
      </c>
      <c r="H101" s="7">
        <f t="shared" si="9"/>
        <v>1756856.3159089191</v>
      </c>
      <c r="I101" s="9" t="s">
        <v>12</v>
      </c>
      <c r="J101" s="1"/>
      <c r="K101" s="1"/>
    </row>
    <row r="102" spans="1:11" x14ac:dyDescent="0.25">
      <c r="A102" s="3">
        <f t="shared" si="12"/>
        <v>96</v>
      </c>
      <c r="B102" s="3">
        <v>1635</v>
      </c>
      <c r="C102" s="3">
        <f t="shared" si="10"/>
        <v>520</v>
      </c>
      <c r="D102" s="7">
        <f t="shared" ref="D102:D113" si="13">B102*($E$3^A102)</f>
        <v>120.90994521241963</v>
      </c>
      <c r="E102" s="7">
        <f t="shared" si="11"/>
        <v>37.425342238566756</v>
      </c>
      <c r="F102" s="7">
        <f>SUM(E102:$E$113)</f>
        <v>112.36541809436075</v>
      </c>
      <c r="G102" s="7">
        <f>SUM(D102:$D$113)</f>
        <v>319.25460413838147</v>
      </c>
      <c r="H102" s="7">
        <f t="shared" ref="H102:H112" si="14">(((F102-VLOOKUP($A102+$B$2,$A$6:$F$113,6))/$D102))*$E$1</f>
        <v>1765729.8082817735</v>
      </c>
      <c r="I102" s="9" t="s">
        <v>12</v>
      </c>
      <c r="J102" s="1"/>
      <c r="K102" s="1"/>
    </row>
    <row r="103" spans="1:11" x14ac:dyDescent="0.25">
      <c r="A103" s="3">
        <f t="shared" si="12"/>
        <v>97</v>
      </c>
      <c r="B103" s="3">
        <v>1115</v>
      </c>
      <c r="C103" s="3">
        <f t="shared" si="10"/>
        <v>375</v>
      </c>
      <c r="D103" s="7">
        <f t="shared" si="13"/>
        <v>80.248570376926793</v>
      </c>
      <c r="E103" s="7">
        <f t="shared" si="11"/>
        <v>26.26708467052692</v>
      </c>
      <c r="F103" s="7">
        <f>SUM(E103:$E$113)</f>
        <v>74.940075855793992</v>
      </c>
      <c r="G103" s="7">
        <f>SUM(D103:$D$113)</f>
        <v>198.34465892596185</v>
      </c>
      <c r="H103" s="7">
        <f t="shared" si="14"/>
        <v>1774313.778516205</v>
      </c>
      <c r="I103" s="9" t="s">
        <v>12</v>
      </c>
      <c r="J103" s="1"/>
      <c r="K103" s="1"/>
    </row>
    <row r="104" spans="1:11" x14ac:dyDescent="0.25">
      <c r="A104" s="3">
        <f t="shared" si="12"/>
        <v>98</v>
      </c>
      <c r="B104" s="3">
        <v>740</v>
      </c>
      <c r="C104" s="3">
        <f t="shared" si="10"/>
        <v>287</v>
      </c>
      <c r="D104" s="7">
        <f t="shared" si="13"/>
        <v>51.833713749839788</v>
      </c>
      <c r="E104" s="7">
        <f t="shared" si="11"/>
        <v>19.565036951672276</v>
      </c>
      <c r="F104" s="7">
        <f>SUM(E104:$E$113)</f>
        <v>48.672991185267044</v>
      </c>
      <c r="G104" s="7">
        <f>SUM(D104:$D$113)</f>
        <v>118.09608854903509</v>
      </c>
      <c r="H104" s="7">
        <f t="shared" si="14"/>
        <v>1784141.5665936773</v>
      </c>
      <c r="I104" s="9" t="s">
        <v>12</v>
      </c>
      <c r="J104" s="1"/>
      <c r="K104" s="1"/>
    </row>
    <row r="105" spans="1:11" x14ac:dyDescent="0.25">
      <c r="A105" s="3">
        <f t="shared" si="12"/>
        <v>99</v>
      </c>
      <c r="B105" s="3">
        <v>453</v>
      </c>
      <c r="C105" s="3">
        <f t="shared" si="10"/>
        <v>190</v>
      </c>
      <c r="D105" s="7">
        <f t="shared" si="13"/>
        <v>30.881399787831157</v>
      </c>
      <c r="E105" s="7">
        <f t="shared" si="11"/>
        <v>12.605803880457227</v>
      </c>
      <c r="F105" s="7">
        <f>SUM(E105:$E$113)</f>
        <v>29.107954233594789</v>
      </c>
      <c r="G105" s="7">
        <f>SUM(D105:$D$113)</f>
        <v>66.2623747991953</v>
      </c>
      <c r="H105" s="7">
        <f t="shared" si="14"/>
        <v>1790887.5058708682</v>
      </c>
      <c r="I105" s="9" t="s">
        <v>12</v>
      </c>
      <c r="J105" s="1"/>
      <c r="K105" s="1"/>
    </row>
    <row r="106" spans="1:11" x14ac:dyDescent="0.25">
      <c r="A106" s="3">
        <f t="shared" si="12"/>
        <v>100</v>
      </c>
      <c r="B106" s="3">
        <v>263</v>
      </c>
      <c r="C106" s="3">
        <f t="shared" si="10"/>
        <v>118</v>
      </c>
      <c r="D106" s="7">
        <f t="shared" si="13"/>
        <v>17.449086424001319</v>
      </c>
      <c r="E106" s="7">
        <f t="shared" si="11"/>
        <v>7.6193359349158802</v>
      </c>
      <c r="F106" s="7">
        <f>SUM(E106:$E$113)</f>
        <v>16.502150353137559</v>
      </c>
      <c r="G106" s="7">
        <f>SUM(D106:$D$113)</f>
        <v>35.380975011364129</v>
      </c>
      <c r="H106" s="7">
        <f t="shared" si="14"/>
        <v>1796889.8146915953</v>
      </c>
      <c r="I106" s="9" t="s">
        <v>12</v>
      </c>
      <c r="J106" s="1"/>
      <c r="K106" s="1"/>
    </row>
    <row r="107" spans="1:11" x14ac:dyDescent="0.25">
      <c r="A107" s="3">
        <f t="shared" si="12"/>
        <v>101</v>
      </c>
      <c r="B107" s="3">
        <v>145</v>
      </c>
      <c r="C107" s="3">
        <f t="shared" si="10"/>
        <v>69</v>
      </c>
      <c r="D107" s="7">
        <f t="shared" si="13"/>
        <v>9.3627433098542596</v>
      </c>
      <c r="E107" s="7">
        <f t="shared" si="11"/>
        <v>4.3361308054698799</v>
      </c>
      <c r="F107" s="7">
        <f>SUM(E107:$E$113)</f>
        <v>8.8828144182216757</v>
      </c>
      <c r="G107" s="7">
        <f>SUM(D107:$D$113)</f>
        <v>17.931888587362817</v>
      </c>
      <c r="H107" s="7">
        <f t="shared" si="14"/>
        <v>1802607.0817148031</v>
      </c>
      <c r="I107" s="9" t="s">
        <v>12</v>
      </c>
      <c r="J107" s="1"/>
      <c r="K107" s="1"/>
    </row>
    <row r="108" spans="1:11" x14ac:dyDescent="0.25">
      <c r="A108" s="3">
        <f t="shared" si="12"/>
        <v>102</v>
      </c>
      <c r="B108" s="3">
        <v>76</v>
      </c>
      <c r="C108" s="3">
        <f t="shared" si="10"/>
        <v>39</v>
      </c>
      <c r="D108" s="7">
        <f t="shared" si="13"/>
        <v>4.7760281335610273</v>
      </c>
      <c r="E108" s="7">
        <f t="shared" si="11"/>
        <v>2.3852618415786919</v>
      </c>
      <c r="F108" s="7">
        <f>SUM(E108:$E$113)</f>
        <v>4.5466836127517958</v>
      </c>
      <c r="G108" s="7">
        <f>SUM(D108:$D$113)</f>
        <v>8.5691452775085573</v>
      </c>
      <c r="H108" s="7">
        <f t="shared" si="14"/>
        <v>1808762.1393024251</v>
      </c>
      <c r="I108" s="9" t="s">
        <v>12</v>
      </c>
      <c r="J108" s="1"/>
      <c r="K108" s="1"/>
    </row>
    <row r="109" spans="1:11" x14ac:dyDescent="0.25">
      <c r="A109" s="3">
        <f t="shared" si="12"/>
        <v>103</v>
      </c>
      <c r="B109" s="3">
        <v>37</v>
      </c>
      <c r="C109" s="3">
        <f t="shared" si="10"/>
        <v>20</v>
      </c>
      <c r="D109" s="7">
        <f t="shared" si="13"/>
        <v>2.2629407214977335</v>
      </c>
      <c r="E109" s="7">
        <f t="shared" si="11"/>
        <v>1.1904731881358499</v>
      </c>
      <c r="F109" s="7">
        <f>SUM(E109:$E$113)</f>
        <v>2.1614217711731039</v>
      </c>
      <c r="G109" s="7">
        <f>SUM(D109:$D$113)</f>
        <v>3.7931171439475286</v>
      </c>
      <c r="H109" s="7">
        <f t="shared" si="14"/>
        <v>1814763.1204899021</v>
      </c>
      <c r="I109" s="9" t="s">
        <v>12</v>
      </c>
      <c r="J109" s="1"/>
      <c r="K109" s="1"/>
    </row>
    <row r="110" spans="1:11" x14ac:dyDescent="0.25">
      <c r="A110" s="3">
        <f t="shared" si="12"/>
        <v>104</v>
      </c>
      <c r="B110" s="3">
        <v>17</v>
      </c>
      <c r="C110" s="3">
        <f t="shared" si="10"/>
        <v>10</v>
      </c>
      <c r="D110" s="7">
        <f t="shared" si="13"/>
        <v>1.0119022099154724</v>
      </c>
      <c r="E110" s="7">
        <f t="shared" si="11"/>
        <v>0.5793056876573478</v>
      </c>
      <c r="F110" s="7">
        <f>SUM(E110:$E$113)</f>
        <v>0.97094858303725384</v>
      </c>
      <c r="G110" s="7">
        <f>SUM(D110:$D$113)</f>
        <v>1.5301764224497956</v>
      </c>
      <c r="H110" s="7">
        <f t="shared" si="14"/>
        <v>1823103.3490132261</v>
      </c>
      <c r="I110" s="9" t="s">
        <v>12</v>
      </c>
      <c r="J110" s="1"/>
      <c r="K110" s="1"/>
    </row>
    <row r="111" spans="1:11" x14ac:dyDescent="0.25">
      <c r="A111" s="3">
        <f t="shared" si="12"/>
        <v>105</v>
      </c>
      <c r="B111" s="3">
        <v>7</v>
      </c>
      <c r="C111" s="3">
        <f t="shared" si="10"/>
        <v>5</v>
      </c>
      <c r="D111" s="7">
        <f t="shared" si="13"/>
        <v>0.40551398136014349</v>
      </c>
      <c r="E111" s="7">
        <f t="shared" si="11"/>
        <v>0.28190057793544898</v>
      </c>
      <c r="F111" s="7">
        <f>SUM(E111:$E$113)</f>
        <v>0.39164289537990604</v>
      </c>
      <c r="G111" s="7">
        <f>SUM(D111:$D$113)</f>
        <v>0.51827421253432315</v>
      </c>
      <c r="H111" s="7">
        <f t="shared" si="14"/>
        <v>1835008.2498412188</v>
      </c>
      <c r="I111" s="9" t="s">
        <v>12</v>
      </c>
      <c r="J111" s="1"/>
      <c r="K111" s="1"/>
    </row>
    <row r="112" spans="1:11" x14ac:dyDescent="0.25">
      <c r="A112" s="3">
        <f t="shared" si="12"/>
        <v>106</v>
      </c>
      <c r="B112" s="3">
        <v>2</v>
      </c>
      <c r="C112" s="3">
        <f t="shared" si="10"/>
        <v>2</v>
      </c>
      <c r="D112" s="7">
        <f t="shared" si="13"/>
        <v>0.1127602311741796</v>
      </c>
      <c r="E112" s="7">
        <f t="shared" si="11"/>
        <v>0.10974231744445703</v>
      </c>
      <c r="F112" s="7">
        <f>SUM(E112:$E$113)</f>
        <v>0.10974231744445703</v>
      </c>
      <c r="G112" s="7">
        <f>SUM(D112:$D$113)</f>
        <v>0.1127602311741796</v>
      </c>
      <c r="H112" s="7">
        <f t="shared" si="14"/>
        <v>1849148.4184914841</v>
      </c>
      <c r="I112" s="9" t="s">
        <v>12</v>
      </c>
      <c r="J112" s="1"/>
      <c r="K112" s="1"/>
    </row>
    <row r="113" spans="1:11" x14ac:dyDescent="0.25">
      <c r="A113" s="3">
        <f t="shared" si="12"/>
        <v>107</v>
      </c>
      <c r="B113" s="3">
        <v>0</v>
      </c>
      <c r="C113" s="3">
        <f t="shared" si="10"/>
        <v>0</v>
      </c>
      <c r="D113" s="7">
        <f t="shared" si="13"/>
        <v>0</v>
      </c>
      <c r="E113" s="7">
        <f t="shared" si="11"/>
        <v>0</v>
      </c>
      <c r="F113" s="7">
        <f>SUM(E113:$E$113)</f>
        <v>0</v>
      </c>
      <c r="G113" s="7">
        <f>SUM(D113:$D$113)</f>
        <v>0</v>
      </c>
      <c r="H113" s="7"/>
      <c r="I113" s="7"/>
      <c r="J113" s="1"/>
      <c r="K113" s="1"/>
    </row>
    <row r="114" spans="1:11" x14ac:dyDescent="0.25">
      <c r="A114" s="5"/>
      <c r="B114" s="5"/>
      <c r="C114" s="5"/>
      <c r="D114" s="5"/>
      <c r="E114" s="5"/>
      <c r="F114" s="5"/>
      <c r="G114" s="5"/>
      <c r="H114" s="5"/>
      <c r="I114" s="1"/>
      <c r="J114" s="1"/>
      <c r="K114" s="1"/>
    </row>
    <row r="115" spans="1:11" x14ac:dyDescent="0.25">
      <c r="A115" s="5"/>
      <c r="B115" s="5"/>
      <c r="C115" s="5"/>
      <c r="D115" s="5"/>
      <c r="E115" s="5"/>
      <c r="F115" s="5"/>
      <c r="G115" s="5"/>
      <c r="H115" s="5"/>
      <c r="I115" s="1"/>
      <c r="J115" s="1"/>
      <c r="K115" s="1"/>
    </row>
    <row r="116" spans="1:11" ht="15.75" x14ac:dyDescent="0.25">
      <c r="A116" s="5"/>
      <c r="B116" s="31" t="s">
        <v>8</v>
      </c>
      <c r="C116" s="8">
        <f>E1*((F41-F66)/D41)</f>
        <v>178631.90179724552</v>
      </c>
      <c r="D116" s="5"/>
      <c r="E116" s="21"/>
      <c r="G116" s="5"/>
      <c r="H116" s="5"/>
      <c r="I116" s="1"/>
      <c r="J116" s="1"/>
      <c r="K116" s="1"/>
    </row>
    <row r="117" spans="1:11" ht="15.75" x14ac:dyDescent="0.25">
      <c r="A117" s="5"/>
      <c r="B117" s="31" t="s">
        <v>10</v>
      </c>
      <c r="C117" s="8">
        <f>C116*(D41/(G41-G66))</f>
        <v>10117.500846083587</v>
      </c>
      <c r="D117" s="5"/>
      <c r="E117" s="21"/>
      <c r="F117" s="5"/>
      <c r="G117" s="5"/>
      <c r="H117" s="5"/>
      <c r="I117" s="1"/>
      <c r="J117" s="1"/>
      <c r="K117" s="1"/>
    </row>
    <row r="118" spans="1:11" x14ac:dyDescent="0.25">
      <c r="A118" s="4"/>
      <c r="B118" s="4"/>
      <c r="C118" s="4"/>
      <c r="D118" s="4"/>
      <c r="E118" s="4"/>
      <c r="F118" s="4"/>
      <c r="G118" s="4"/>
      <c r="H118" s="4"/>
    </row>
    <row r="119" spans="1:11" x14ac:dyDescent="0.25">
      <c r="A119" s="4"/>
      <c r="B119" s="4"/>
      <c r="C119" s="4"/>
      <c r="D119" s="4"/>
      <c r="E119" s="4"/>
      <c r="F119" s="4"/>
      <c r="G119" s="4"/>
      <c r="H1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A26" sqref="A26"/>
    </sheetView>
  </sheetViews>
  <sheetFormatPr baseColWidth="10" defaultRowHeight="15" x14ac:dyDescent="0.25"/>
  <cols>
    <col min="1" max="1" width="18.42578125" customWidth="1"/>
    <col min="2" max="2" width="34.28515625" bestFit="1" customWidth="1"/>
  </cols>
  <sheetData>
    <row r="1" spans="1:8" x14ac:dyDescent="0.25">
      <c r="A1" s="36" t="s">
        <v>13</v>
      </c>
      <c r="B1" s="36" t="s">
        <v>14</v>
      </c>
    </row>
    <row r="2" spans="1:8" x14ac:dyDescent="0.25">
      <c r="A2" s="43">
        <v>0</v>
      </c>
      <c r="B2" s="7">
        <v>0</v>
      </c>
    </row>
    <row r="3" spans="1:8" x14ac:dyDescent="0.25">
      <c r="A3" s="3">
        <v>1</v>
      </c>
      <c r="B3" s="7">
        <f>1900000*(('Calculs TD8890'!F42-'Calculs TD8890'!$F$66)/'Calculs TD8890'!D42)</f>
        <v>179920.3393874169</v>
      </c>
    </row>
    <row r="4" spans="1:8" x14ac:dyDescent="0.25">
      <c r="A4" s="3">
        <f>1+A3</f>
        <v>2</v>
      </c>
      <c r="B4" s="50">
        <f>1900000*(('Calculs TD8890'!F43-'Calculs TD8890'!$F$66)/'Calculs TD8890'!D43)</f>
        <v>181041.29345389668</v>
      </c>
      <c r="C4" s="51"/>
    </row>
    <row r="5" spans="1:8" x14ac:dyDescent="0.25">
      <c r="A5" s="3">
        <f t="shared" ref="A5:A22" si="0">1+A4</f>
        <v>3</v>
      </c>
      <c r="B5" s="50">
        <f>1900000*(('Calculs TD8890'!F44-'Calculs TD8890'!$F$66)/'Calculs TD8890'!D44)</f>
        <v>181952.60754125548</v>
      </c>
      <c r="C5" s="51"/>
    </row>
    <row r="6" spans="1:8" x14ac:dyDescent="0.25">
      <c r="A6" s="3">
        <f t="shared" si="0"/>
        <v>4</v>
      </c>
      <c r="B6" s="50">
        <f>1900000*(('Calculs TD8890'!F45-'Calculs TD8890'!$F$66)/'Calculs TD8890'!D45)</f>
        <v>182628.47824381536</v>
      </c>
      <c r="C6" s="51"/>
    </row>
    <row r="7" spans="1:8" x14ac:dyDescent="0.25">
      <c r="A7" s="3">
        <f t="shared" si="0"/>
        <v>5</v>
      </c>
      <c r="B7" s="50">
        <f>1900000*(('Calculs TD8890'!F46-'Calculs TD8890'!$F$66)/'Calculs TD8890'!D46)</f>
        <v>183114.4257307986</v>
      </c>
      <c r="C7" s="51"/>
    </row>
    <row r="8" spans="1:8" x14ac:dyDescent="0.25">
      <c r="A8" s="3">
        <f t="shared" si="0"/>
        <v>6</v>
      </c>
      <c r="B8" s="50">
        <f>1900000*(('Calculs TD8890'!F47-'Calculs TD8890'!$F$66)/'Calculs TD8890'!D47)</f>
        <v>183257.83017113584</v>
      </c>
      <c r="C8" s="51"/>
    </row>
    <row r="9" spans="1:8" x14ac:dyDescent="0.25">
      <c r="A9" s="3">
        <f t="shared" si="0"/>
        <v>7</v>
      </c>
      <c r="B9" s="50">
        <f>1900000*(('Calculs TD8890'!F48-'Calculs TD8890'!$F$66)/'Calculs TD8890'!D48)</f>
        <v>182954.14303409946</v>
      </c>
      <c r="C9" s="51"/>
      <c r="F9" s="13"/>
      <c r="G9" s="13"/>
      <c r="H9" s="13"/>
    </row>
    <row r="10" spans="1:8" x14ac:dyDescent="0.25">
      <c r="A10" s="3">
        <f t="shared" si="0"/>
        <v>8</v>
      </c>
      <c r="B10" s="50">
        <f>1900000*(('Calculs TD8890'!F49-'Calculs TD8890'!$F$66)/'Calculs TD8890'!D49)</f>
        <v>182258.48259754744</v>
      </c>
      <c r="C10" s="51"/>
      <c r="F10" s="13"/>
      <c r="G10" s="13"/>
      <c r="H10" s="10"/>
    </row>
    <row r="11" spans="1:8" x14ac:dyDescent="0.25">
      <c r="A11" s="3">
        <f t="shared" si="0"/>
        <v>9</v>
      </c>
      <c r="B11" s="50">
        <f>1900000*(('Calculs TD8890'!F50-'Calculs TD8890'!$F$66)/'Calculs TD8890'!D50)</f>
        <v>180805.38762433227</v>
      </c>
      <c r="C11" s="51"/>
      <c r="F11" s="13"/>
      <c r="G11" s="13"/>
      <c r="H11" s="10"/>
    </row>
    <row r="12" spans="1:8" x14ac:dyDescent="0.25">
      <c r="A12" s="3">
        <f t="shared" si="0"/>
        <v>10</v>
      </c>
      <c r="B12" s="50">
        <f>1900000*(('Calculs TD8890'!F51-'Calculs TD8890'!$F$66)/'Calculs TD8890'!D51)</f>
        <v>178746.37624516428</v>
      </c>
      <c r="C12" s="51"/>
      <c r="F12" s="13"/>
      <c r="G12" s="13"/>
      <c r="H12" s="10"/>
    </row>
    <row r="13" spans="1:8" x14ac:dyDescent="0.25">
      <c r="A13" s="3">
        <f t="shared" si="0"/>
        <v>11</v>
      </c>
      <c r="B13" s="50">
        <f>1900000*(('Calculs TD8890'!F52-'Calculs TD8890'!$F$66)/'Calculs TD8890'!D52)</f>
        <v>176147.01091331561</v>
      </c>
      <c r="C13" s="51"/>
      <c r="F13" s="13"/>
      <c r="G13" s="13"/>
      <c r="H13" s="10"/>
    </row>
    <row r="14" spans="1:8" x14ac:dyDescent="0.25">
      <c r="A14" s="3">
        <f t="shared" si="0"/>
        <v>12</v>
      </c>
      <c r="B14" s="50">
        <f>1900000*(('Calculs TD8890'!F53-'Calculs TD8890'!$F$66)/'Calculs TD8890'!D53)</f>
        <v>172944.98551043277</v>
      </c>
      <c r="C14" s="51"/>
      <c r="F14" s="13"/>
      <c r="G14" s="13"/>
      <c r="H14" s="10"/>
    </row>
    <row r="15" spans="1:8" x14ac:dyDescent="0.25">
      <c r="A15" s="3">
        <f t="shared" si="0"/>
        <v>13</v>
      </c>
      <c r="B15" s="50">
        <f>1900000*(('Calculs TD8890'!F54-'Calculs TD8890'!$F$66)/'Calculs TD8890'!D54)</f>
        <v>169036.30794182635</v>
      </c>
      <c r="C15" s="51"/>
      <c r="F15" s="13"/>
      <c r="G15" s="13"/>
      <c r="H15" s="10"/>
    </row>
    <row r="16" spans="1:8" x14ac:dyDescent="0.25">
      <c r="A16" s="3">
        <f t="shared" si="0"/>
        <v>14</v>
      </c>
      <c r="B16" s="50">
        <f>1900000*(('Calculs TD8890'!F55-'Calculs TD8890'!$F$66)/'Calculs TD8890'!D55)</f>
        <v>164215.13628378167</v>
      </c>
      <c r="C16" s="51"/>
      <c r="F16" s="13"/>
      <c r="G16" s="13"/>
      <c r="H16" s="10"/>
    </row>
    <row r="17" spans="1:8" x14ac:dyDescent="0.25">
      <c r="A17" s="3">
        <f t="shared" si="0"/>
        <v>15</v>
      </c>
      <c r="B17" s="50">
        <f>1900000*(('Calculs TD8890'!F56-'Calculs TD8890'!$F$66)/'Calculs TD8890'!D56)</f>
        <v>158165.46398703184</v>
      </c>
      <c r="C17" s="51"/>
      <c r="F17" s="13"/>
      <c r="G17" s="13"/>
      <c r="H17" s="10"/>
    </row>
    <row r="18" spans="1:8" x14ac:dyDescent="0.25">
      <c r="A18" s="3">
        <f t="shared" si="0"/>
        <v>16</v>
      </c>
      <c r="B18" s="50">
        <f>1900000*(('Calculs TD8890'!F57-'Calculs TD8890'!$F$66)/'Calculs TD8890'!D57)</f>
        <v>150818.86596893333</v>
      </c>
      <c r="C18" s="51"/>
      <c r="F18" s="13"/>
      <c r="G18" s="13"/>
      <c r="H18" s="10"/>
    </row>
    <row r="19" spans="1:8" x14ac:dyDescent="0.25">
      <c r="A19" s="3">
        <f t="shared" si="0"/>
        <v>17</v>
      </c>
      <c r="B19" s="50">
        <f>1900000*(('Calculs TD8890'!F58-'Calculs TD8890'!$F$66)/'Calculs TD8890'!D58)</f>
        <v>142099.56186697734</v>
      </c>
      <c r="C19" s="51"/>
      <c r="F19" s="13"/>
      <c r="G19" s="13"/>
      <c r="H19" s="10"/>
    </row>
    <row r="20" spans="1:8" x14ac:dyDescent="0.25">
      <c r="A20" s="3">
        <f t="shared" si="0"/>
        <v>18</v>
      </c>
      <c r="B20" s="50">
        <f>1900000*(('Calculs TD8890'!F59-'Calculs TD8890'!$F$66)/'Calculs TD8890'!D59)</f>
        <v>131784.29586374262</v>
      </c>
      <c r="C20" s="51"/>
      <c r="F20" s="13"/>
      <c r="G20" s="13"/>
      <c r="H20" s="10"/>
    </row>
    <row r="21" spans="1:8" x14ac:dyDescent="0.25">
      <c r="A21" s="3">
        <f>1+A20</f>
        <v>19</v>
      </c>
      <c r="B21" s="50">
        <f>1900000*(('Calculs TD8890'!F60-'Calculs TD8890'!$F$66)/'Calculs TD8890'!D60)</f>
        <v>119769.62025114603</v>
      </c>
      <c r="C21" s="51"/>
      <c r="F21" s="13"/>
      <c r="G21" s="13"/>
      <c r="H21" s="10"/>
    </row>
    <row r="22" spans="1:8" x14ac:dyDescent="0.25">
      <c r="A22" s="3">
        <f t="shared" si="0"/>
        <v>20</v>
      </c>
      <c r="B22" s="50">
        <f>1900000*(('Calculs TD8890'!F61-'Calculs TD8890'!$F$66)/'Calculs TD8890'!D61)</f>
        <v>105816.81591512075</v>
      </c>
      <c r="C22" s="51"/>
      <c r="F22" s="13"/>
      <c r="G22" s="13"/>
      <c r="H22" s="10"/>
    </row>
    <row r="23" spans="1:8" x14ac:dyDescent="0.25">
      <c r="A23" s="3">
        <v>21</v>
      </c>
      <c r="B23" s="50">
        <f>1900000*(('Calculs TD8890'!F62-'Calculs TD8890'!$F$66)/'Calculs TD8890'!D62)</f>
        <v>89534.787805343643</v>
      </c>
      <c r="C23" s="51"/>
      <c r="F23" s="13"/>
      <c r="G23" s="13"/>
      <c r="H23" s="13"/>
    </row>
    <row r="24" spans="1:8" x14ac:dyDescent="0.25">
      <c r="A24" s="3">
        <v>22</v>
      </c>
      <c r="B24" s="50">
        <f>1900000*(('Calculs TD8890'!F63-'Calculs TD8890'!$F$66)/'Calculs TD8890'!D63)</f>
        <v>71108.341935892648</v>
      </c>
      <c r="C24" s="51"/>
      <c r="F24" s="13"/>
      <c r="G24" s="13"/>
      <c r="H24" s="13"/>
    </row>
    <row r="25" spans="1:8" x14ac:dyDescent="0.25">
      <c r="A25" s="3">
        <v>23</v>
      </c>
      <c r="B25" s="50">
        <f>1900000*(('Calculs TD8890'!F64-'Calculs TD8890'!$F$66)/'Calculs TD8890'!D64)</f>
        <v>50392.812721483315</v>
      </c>
      <c r="C25" s="51"/>
      <c r="F25" s="13"/>
      <c r="G25" s="13"/>
      <c r="H25" s="13"/>
    </row>
    <row r="26" spans="1:8" x14ac:dyDescent="0.25">
      <c r="A26" s="3">
        <v>24</v>
      </c>
      <c r="B26" s="50">
        <f>1900000*(('Calculs TD8890'!F65-'Calculs TD8890'!$F$66)/'Calculs TD8890'!D65)</f>
        <v>26685.711322066862</v>
      </c>
      <c r="C26" s="51"/>
    </row>
    <row r="27" spans="1:8" x14ac:dyDescent="0.25">
      <c r="A27" s="3">
        <v>25</v>
      </c>
      <c r="B27" s="50">
        <v>0</v>
      </c>
      <c r="C27" s="51"/>
    </row>
    <row r="28" spans="1:8" x14ac:dyDescent="0.25">
      <c r="A28" s="5"/>
      <c r="B28" s="10"/>
    </row>
    <row r="29" spans="1:8" x14ac:dyDescent="0.25">
      <c r="A29" s="5"/>
      <c r="B29" s="10"/>
    </row>
    <row r="30" spans="1:8" x14ac:dyDescent="0.25">
      <c r="A30" s="5"/>
      <c r="B30" s="10"/>
    </row>
    <row r="31" spans="1:8" x14ac:dyDescent="0.25">
      <c r="A31" s="5"/>
      <c r="B31" s="10"/>
    </row>
    <row r="32" spans="1:8" x14ac:dyDescent="0.25">
      <c r="A32" s="5"/>
      <c r="B32" s="10"/>
    </row>
    <row r="33" spans="1:2" x14ac:dyDescent="0.25">
      <c r="A33" s="5"/>
      <c r="B33" s="10"/>
    </row>
    <row r="34" spans="1:2" x14ac:dyDescent="0.25">
      <c r="A34" s="13"/>
      <c r="B34" s="1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4" workbookViewId="0">
      <selection activeCell="B26" sqref="B26"/>
    </sheetView>
  </sheetViews>
  <sheetFormatPr baseColWidth="10" defaultRowHeight="15" x14ac:dyDescent="0.25"/>
  <cols>
    <col min="1" max="1" width="16.42578125" customWidth="1"/>
    <col min="2" max="2" width="35.42578125" customWidth="1"/>
  </cols>
  <sheetData>
    <row r="1" spans="1:2" x14ac:dyDescent="0.25">
      <c r="A1" s="37" t="s">
        <v>13</v>
      </c>
      <c r="B1" s="37" t="s">
        <v>15</v>
      </c>
    </row>
    <row r="2" spans="1:2" x14ac:dyDescent="0.25">
      <c r="A2" s="37">
        <v>0</v>
      </c>
      <c r="B2" s="44">
        <f>4.7%*'Provisions mathématiques '!B2+5700</f>
        <v>5700</v>
      </c>
    </row>
    <row r="3" spans="1:2" x14ac:dyDescent="0.25">
      <c r="A3" s="3">
        <v>1</v>
      </c>
      <c r="B3" s="7">
        <f>4.7%*'Provisions mathématiques '!B3+5700</f>
        <v>14156.255951208594</v>
      </c>
    </row>
    <row r="4" spans="1:2" x14ac:dyDescent="0.25">
      <c r="A4" s="3">
        <f>1+A3</f>
        <v>2</v>
      </c>
      <c r="B4" s="7">
        <f>4.7%*'Provisions mathématiques '!B4+5700</f>
        <v>14208.940792333144</v>
      </c>
    </row>
    <row r="5" spans="1:2" x14ac:dyDescent="0.25">
      <c r="A5" s="3">
        <f t="shared" ref="A5:A26" si="0">1+A4</f>
        <v>3</v>
      </c>
      <c r="B5" s="7">
        <f>4.7%*'Provisions mathématiques '!B5+5700</f>
        <v>14251.772554439007</v>
      </c>
    </row>
    <row r="6" spans="1:2" x14ac:dyDescent="0.25">
      <c r="A6" s="3">
        <f t="shared" si="0"/>
        <v>4</v>
      </c>
      <c r="B6" s="7">
        <f>4.7%*'Provisions mathématiques '!B6+5700</f>
        <v>14283.538477459322</v>
      </c>
    </row>
    <row r="7" spans="1:2" x14ac:dyDescent="0.25">
      <c r="A7" s="3">
        <f t="shared" si="0"/>
        <v>5</v>
      </c>
      <c r="B7" s="7">
        <f>4.7%*'Provisions mathématiques '!B7+5700</f>
        <v>14306.378009347534</v>
      </c>
    </row>
    <row r="8" spans="1:2" x14ac:dyDescent="0.25">
      <c r="A8" s="3">
        <f t="shared" si="0"/>
        <v>6</v>
      </c>
      <c r="B8" s="7">
        <f>4.7%*'Provisions mathématiques '!B8+5700</f>
        <v>14313.118018043384</v>
      </c>
    </row>
    <row r="9" spans="1:2" x14ac:dyDescent="0.25">
      <c r="A9" s="3">
        <f t="shared" si="0"/>
        <v>7</v>
      </c>
      <c r="B9" s="7">
        <f>4.7%*'Provisions mathématiques '!B9+5700</f>
        <v>14298.844722602675</v>
      </c>
    </row>
    <row r="10" spans="1:2" x14ac:dyDescent="0.25">
      <c r="A10" s="3">
        <f t="shared" si="0"/>
        <v>8</v>
      </c>
      <c r="B10" s="7">
        <f>4.7%*'Provisions mathématiques '!B10+5700</f>
        <v>14266.148682084729</v>
      </c>
    </row>
    <row r="11" spans="1:2" x14ac:dyDescent="0.25">
      <c r="A11" s="3">
        <f t="shared" si="0"/>
        <v>9</v>
      </c>
      <c r="B11" s="7">
        <f>4.7%*'Provisions mathématiques '!B11+5700</f>
        <v>14197.853218343616</v>
      </c>
    </row>
    <row r="12" spans="1:2" x14ac:dyDescent="0.25">
      <c r="A12" s="3">
        <f t="shared" si="0"/>
        <v>10</v>
      </c>
      <c r="B12" s="7">
        <f>4.7%*'Provisions mathématiques '!B12+5700</f>
        <v>14101.079683522721</v>
      </c>
    </row>
    <row r="13" spans="1:2" x14ac:dyDescent="0.25">
      <c r="A13" s="3">
        <f t="shared" si="0"/>
        <v>11</v>
      </c>
      <c r="B13" s="7">
        <f>4.7%*'Provisions mathématiques '!B13+5700</f>
        <v>13978.909512925833</v>
      </c>
    </row>
    <row r="14" spans="1:2" x14ac:dyDescent="0.25">
      <c r="A14" s="3">
        <f t="shared" si="0"/>
        <v>12</v>
      </c>
      <c r="B14" s="7">
        <f>4.7%*'Provisions mathématiques '!B14+5700</f>
        <v>13828.414318990341</v>
      </c>
    </row>
    <row r="15" spans="1:2" x14ac:dyDescent="0.25">
      <c r="A15" s="3">
        <f t="shared" si="0"/>
        <v>13</v>
      </c>
      <c r="B15" s="7">
        <f>4.7%*'Provisions mathématiques '!B15+5700</f>
        <v>13644.706473265838</v>
      </c>
    </row>
    <row r="16" spans="1:2" x14ac:dyDescent="0.25">
      <c r="A16" s="3">
        <f t="shared" si="0"/>
        <v>14</v>
      </c>
      <c r="B16" s="7">
        <f>4.7%*'Provisions mathématiques '!B16+5700</f>
        <v>13418.111405337739</v>
      </c>
    </row>
    <row r="17" spans="1:4" x14ac:dyDescent="0.25">
      <c r="A17" s="3">
        <f t="shared" si="0"/>
        <v>15</v>
      </c>
      <c r="B17" s="7">
        <f>4.7%*'Provisions mathématiques '!B17+5700</f>
        <v>13133.776807390495</v>
      </c>
    </row>
    <row r="18" spans="1:4" x14ac:dyDescent="0.25">
      <c r="A18" s="3">
        <f t="shared" si="0"/>
        <v>16</v>
      </c>
      <c r="B18" s="7">
        <f>4.7%*'Provisions mathématiques '!B18+5700</f>
        <v>12788.486700539866</v>
      </c>
    </row>
    <row r="19" spans="1:4" x14ac:dyDescent="0.25">
      <c r="A19" s="3">
        <f t="shared" si="0"/>
        <v>17</v>
      </c>
      <c r="B19" s="7">
        <f>4.7%*'Provisions mathématiques '!B19+5700</f>
        <v>12378.679407747935</v>
      </c>
    </row>
    <row r="20" spans="1:4" x14ac:dyDescent="0.25">
      <c r="A20" s="3">
        <f t="shared" si="0"/>
        <v>18</v>
      </c>
      <c r="B20" s="7">
        <f>4.7%*'Provisions mathématiques '!B20+5700</f>
        <v>11893.861905595902</v>
      </c>
    </row>
    <row r="21" spans="1:4" x14ac:dyDescent="0.25">
      <c r="A21" s="3">
        <f>1+A20</f>
        <v>19</v>
      </c>
      <c r="B21" s="7">
        <f>4.7%*'Provisions mathématiques '!B21+5700</f>
        <v>11329.172151803863</v>
      </c>
    </row>
    <row r="22" spans="1:4" x14ac:dyDescent="0.25">
      <c r="A22" s="3">
        <f t="shared" si="0"/>
        <v>20</v>
      </c>
      <c r="B22" s="7">
        <f>4.7%*'Provisions mathématiques '!B22+5700</f>
        <v>10673.390348010675</v>
      </c>
    </row>
    <row r="23" spans="1:4" x14ac:dyDescent="0.25">
      <c r="A23" s="3">
        <f>1+A22</f>
        <v>21</v>
      </c>
      <c r="B23" s="7">
        <f>4.7%*'Provisions mathématiques '!B23+5700</f>
        <v>9908.1350268511524</v>
      </c>
    </row>
    <row r="24" spans="1:4" x14ac:dyDescent="0.25">
      <c r="A24" s="3">
        <f t="shared" si="0"/>
        <v>22</v>
      </c>
      <c r="B24" s="7">
        <f>4.7%*'Provisions mathématiques '!B24+5700</f>
        <v>9042.0920709869533</v>
      </c>
    </row>
    <row r="25" spans="1:4" x14ac:dyDescent="0.25">
      <c r="A25" s="3">
        <f t="shared" si="0"/>
        <v>23</v>
      </c>
      <c r="B25" s="7">
        <f>4.7%*'Provisions mathématiques '!B25+5700</f>
        <v>8068.4621979097155</v>
      </c>
    </row>
    <row r="26" spans="1:4" x14ac:dyDescent="0.25">
      <c r="A26" s="3">
        <f t="shared" si="0"/>
        <v>24</v>
      </c>
      <c r="B26" s="7">
        <f>4.7%*'Provisions mathématiques '!B26+5700</f>
        <v>6954.2284321371426</v>
      </c>
    </row>
    <row r="27" spans="1:4" x14ac:dyDescent="0.25">
      <c r="A27" s="3">
        <f>1+A26</f>
        <v>25</v>
      </c>
      <c r="B27" s="7">
        <f>4.7%*'Provisions mathématiques '!B27+5700</f>
        <v>5700</v>
      </c>
    </row>
    <row r="28" spans="1:4" x14ac:dyDescent="0.25">
      <c r="A28" s="5"/>
      <c r="B28" s="10"/>
      <c r="C28" s="13"/>
      <c r="D28" s="13"/>
    </row>
    <row r="29" spans="1:4" x14ac:dyDescent="0.25">
      <c r="A29" s="5"/>
      <c r="B29" s="10"/>
      <c r="C29" s="13"/>
      <c r="D29" s="13"/>
    </row>
    <row r="30" spans="1:4" x14ac:dyDescent="0.25">
      <c r="A30" s="5"/>
      <c r="B30" s="10"/>
      <c r="C30" s="13"/>
      <c r="D30" s="13"/>
    </row>
    <row r="31" spans="1:4" x14ac:dyDescent="0.25">
      <c r="A31" s="5"/>
      <c r="B31" s="10"/>
      <c r="C31" s="13"/>
      <c r="D31" s="13"/>
    </row>
    <row r="32" spans="1:4" x14ac:dyDescent="0.25">
      <c r="A32" s="5"/>
      <c r="B32" s="10"/>
      <c r="C32" s="13"/>
      <c r="D32" s="13"/>
    </row>
    <row r="33" spans="1:4" x14ac:dyDescent="0.25">
      <c r="A33" s="5"/>
      <c r="B33" s="10"/>
      <c r="C33" s="13"/>
      <c r="D33" s="13"/>
    </row>
    <row r="34" spans="1:4" x14ac:dyDescent="0.25">
      <c r="A34" s="5"/>
      <c r="B34" s="10"/>
      <c r="C34" s="13"/>
      <c r="D34" s="13"/>
    </row>
    <row r="35" spans="1:4" x14ac:dyDescent="0.25">
      <c r="A35" s="5"/>
      <c r="B35" s="10"/>
      <c r="C35" s="13"/>
      <c r="D35" s="13"/>
    </row>
    <row r="36" spans="1:4" x14ac:dyDescent="0.25">
      <c r="A36" s="5"/>
      <c r="B36" s="10"/>
      <c r="C36" s="13"/>
      <c r="D36" s="13"/>
    </row>
    <row r="37" spans="1:4" x14ac:dyDescent="0.25">
      <c r="A37" s="5"/>
      <c r="B37" s="10"/>
      <c r="C37" s="13"/>
      <c r="D37" s="13"/>
    </row>
    <row r="38" spans="1:4" x14ac:dyDescent="0.25">
      <c r="A38" s="5"/>
      <c r="B38" s="10"/>
      <c r="C38" s="13"/>
      <c r="D38" s="13"/>
    </row>
    <row r="39" spans="1:4" x14ac:dyDescent="0.25">
      <c r="A39" s="13"/>
      <c r="B39" s="13"/>
      <c r="C39" s="13"/>
      <c r="D39" s="13"/>
    </row>
    <row r="40" spans="1:4" x14ac:dyDescent="0.25">
      <c r="A40" s="13"/>
      <c r="B40" s="13"/>
      <c r="C40" s="13"/>
      <c r="D40" s="13"/>
    </row>
    <row r="41" spans="1:4" x14ac:dyDescent="0.25">
      <c r="A41" s="13"/>
      <c r="B41" s="13"/>
      <c r="C41" s="13"/>
      <c r="D41" s="13"/>
    </row>
    <row r="42" spans="1:4" x14ac:dyDescent="0.25">
      <c r="A42" s="13"/>
      <c r="B42" s="13"/>
      <c r="C42" s="13"/>
      <c r="D42" s="13"/>
    </row>
    <row r="43" spans="1:4" x14ac:dyDescent="0.25">
      <c r="A43" s="13"/>
      <c r="B43" s="13"/>
      <c r="C43" s="13"/>
      <c r="D43" s="13"/>
    </row>
    <row r="44" spans="1:4" x14ac:dyDescent="0.25">
      <c r="A44" s="13"/>
      <c r="B44" s="13"/>
      <c r="C44" s="13"/>
      <c r="D44" s="13"/>
    </row>
    <row r="45" spans="1:4" x14ac:dyDescent="0.25">
      <c r="A45" s="13"/>
      <c r="B45" s="13"/>
      <c r="C45" s="13"/>
      <c r="D45" s="13"/>
    </row>
    <row r="46" spans="1:4" x14ac:dyDescent="0.25">
      <c r="A46" s="13"/>
      <c r="B46" s="13"/>
      <c r="C46" s="13"/>
      <c r="D46" s="13"/>
    </row>
    <row r="47" spans="1:4" x14ac:dyDescent="0.25">
      <c r="A47" s="13"/>
      <c r="B47" s="13"/>
      <c r="C47" s="13"/>
      <c r="D47" s="13"/>
    </row>
    <row r="48" spans="1:4" x14ac:dyDescent="0.25">
      <c r="A48" s="13"/>
      <c r="B48" s="13"/>
      <c r="C48" s="13"/>
      <c r="D48" s="13"/>
    </row>
    <row r="49" spans="1:4" x14ac:dyDescent="0.25">
      <c r="A49" s="13"/>
      <c r="B49" s="13"/>
      <c r="C49" s="13"/>
      <c r="D49" s="13"/>
    </row>
    <row r="50" spans="1:4" x14ac:dyDescent="0.25">
      <c r="A50" s="13"/>
      <c r="B50" s="13"/>
      <c r="C50" s="13"/>
      <c r="D50" s="13"/>
    </row>
    <row r="51" spans="1:4" x14ac:dyDescent="0.25">
      <c r="A51" s="13"/>
      <c r="B51" s="13"/>
      <c r="C51" s="13"/>
      <c r="D51" s="13"/>
    </row>
    <row r="52" spans="1:4" x14ac:dyDescent="0.25">
      <c r="A52" s="13"/>
      <c r="B52" s="13"/>
      <c r="C52" s="13"/>
      <c r="D52" s="13"/>
    </row>
    <row r="53" spans="1:4" x14ac:dyDescent="0.25">
      <c r="A53" s="13"/>
      <c r="B53" s="13"/>
      <c r="C53" s="13"/>
      <c r="D53" s="13"/>
    </row>
    <row r="54" spans="1:4" x14ac:dyDescent="0.25">
      <c r="A54" s="13"/>
      <c r="B54" s="13"/>
      <c r="C54" s="13"/>
      <c r="D54" s="13"/>
    </row>
    <row r="55" spans="1:4" x14ac:dyDescent="0.25">
      <c r="A55" s="13"/>
      <c r="B55" s="13"/>
      <c r="C55" s="13"/>
      <c r="D5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E2" sqref="E2"/>
    </sheetView>
  </sheetViews>
  <sheetFormatPr baseColWidth="10" defaultRowHeight="15" x14ac:dyDescent="0.25"/>
  <cols>
    <col min="1" max="1" width="13.28515625" customWidth="1"/>
    <col min="2" max="2" width="21.85546875" customWidth="1"/>
    <col min="3" max="3" width="17.5703125" customWidth="1"/>
    <col min="4" max="4" width="25.28515625" customWidth="1"/>
    <col min="5" max="5" width="23.28515625" customWidth="1"/>
    <col min="6" max="6" width="33.5703125" customWidth="1"/>
    <col min="7" max="7" width="22.140625" bestFit="1" customWidth="1"/>
    <col min="8" max="8" width="20.85546875" bestFit="1" customWidth="1"/>
  </cols>
  <sheetData>
    <row r="1" spans="1:8" ht="15.75" x14ac:dyDescent="0.25">
      <c r="A1" s="38" t="s">
        <v>16</v>
      </c>
      <c r="B1" s="38" t="s">
        <v>17</v>
      </c>
      <c r="C1" s="38" t="s">
        <v>69</v>
      </c>
      <c r="D1" s="38" t="s">
        <v>20</v>
      </c>
      <c r="E1" s="38" t="s">
        <v>21</v>
      </c>
      <c r="F1" s="38" t="s">
        <v>70</v>
      </c>
      <c r="G1" s="38" t="s">
        <v>18</v>
      </c>
      <c r="H1" s="38" t="s">
        <v>19</v>
      </c>
    </row>
    <row r="2" spans="1:8" x14ac:dyDescent="0.25">
      <c r="A2" s="3">
        <v>35</v>
      </c>
      <c r="B2" s="3">
        <v>1</v>
      </c>
      <c r="C2" s="3">
        <v>95878</v>
      </c>
      <c r="D2" s="3">
        <f>1-(C3/C2)</f>
        <v>2.1068441143953232E-3</v>
      </c>
      <c r="E2" s="3">
        <f>1-D2</f>
        <v>0.99789315588560468</v>
      </c>
      <c r="F2" s="3">
        <f>D2*(80/100)</f>
        <v>1.6854752915162587E-3</v>
      </c>
      <c r="G2" s="11">
        <v>1</v>
      </c>
      <c r="H2" s="3">
        <v>0.05</v>
      </c>
    </row>
    <row r="3" spans="1:8" x14ac:dyDescent="0.25">
      <c r="A3" s="3">
        <v>36</v>
      </c>
      <c r="B3" s="3">
        <f t="shared" ref="B3:B62" si="0">B2+1</f>
        <v>2</v>
      </c>
      <c r="C3" s="3">
        <v>95676</v>
      </c>
      <c r="D3" s="3">
        <f>1-(C4/C3)</f>
        <v>2.2262636397842872E-3</v>
      </c>
      <c r="E3" s="3">
        <f t="shared" ref="E3:E61" si="1">1-D3</f>
        <v>0.99777373636021571</v>
      </c>
      <c r="F3" s="3">
        <f>D3*(80/100)</f>
        <v>1.7810109118274299E-3</v>
      </c>
      <c r="G3" s="11">
        <f>G2*(1-F2-H2)</f>
        <v>0.94831452470848365</v>
      </c>
      <c r="H3" s="3">
        <v>0.05</v>
      </c>
    </row>
    <row r="4" spans="1:8" x14ac:dyDescent="0.25">
      <c r="A4" s="3">
        <v>37</v>
      </c>
      <c r="B4" s="3">
        <f t="shared" si="0"/>
        <v>3</v>
      </c>
      <c r="C4" s="3">
        <v>95463</v>
      </c>
      <c r="D4" s="3">
        <f t="shared" ref="D4:D61" si="2">1-(C5/C4)</f>
        <v>2.3674093627897852E-3</v>
      </c>
      <c r="E4" s="3">
        <f>1-D4</f>
        <v>0.99763259063721021</v>
      </c>
      <c r="F4" s="3">
        <f>D4*(80/100)</f>
        <v>1.8939274902318283E-3</v>
      </c>
      <c r="G4" s="11">
        <f>G3*(1-F3-H3)</f>
        <v>0.89920983995670911</v>
      </c>
      <c r="H4" s="3">
        <v>0.05</v>
      </c>
    </row>
    <row r="5" spans="1:8" x14ac:dyDescent="0.25">
      <c r="A5" s="3">
        <v>38</v>
      </c>
      <c r="B5" s="3">
        <f t="shared" si="0"/>
        <v>4</v>
      </c>
      <c r="C5" s="3">
        <v>95237</v>
      </c>
      <c r="D5" s="3">
        <f t="shared" si="2"/>
        <v>2.520028980333322E-3</v>
      </c>
      <c r="E5" s="3">
        <f t="shared" si="1"/>
        <v>0.99747997101966668</v>
      </c>
      <c r="F5" s="3">
        <f t="shared" ref="F5:F66" si="3">D5*(80/100)</f>
        <v>2.0160231842666575E-3</v>
      </c>
      <c r="G5" s="11">
        <f t="shared" ref="G5:G62" si="4">G4*(1-F4-H4)</f>
        <v>0.85254630972349266</v>
      </c>
      <c r="H5" s="3">
        <v>0.05</v>
      </c>
    </row>
    <row r="6" spans="1:8" x14ac:dyDescent="0.25">
      <c r="A6" s="3">
        <v>39</v>
      </c>
      <c r="B6" s="3">
        <f t="shared" si="0"/>
        <v>5</v>
      </c>
      <c r="C6" s="3">
        <v>94997</v>
      </c>
      <c r="D6" s="3">
        <f t="shared" si="2"/>
        <v>2.6421887006957689E-3</v>
      </c>
      <c r="E6" s="3">
        <f t="shared" si="1"/>
        <v>0.99735781129930423</v>
      </c>
      <c r="F6" s="3">
        <f t="shared" si="3"/>
        <v>2.1137509605566153E-3</v>
      </c>
      <c r="G6" s="11">
        <f>G5*(1-F5-H5)</f>
        <v>0.80820024111125444</v>
      </c>
      <c r="H6" s="3">
        <v>0.05</v>
      </c>
    </row>
    <row r="7" spans="1:8" x14ac:dyDescent="0.25">
      <c r="A7" s="3">
        <v>40</v>
      </c>
      <c r="B7" s="3">
        <f t="shared" si="0"/>
        <v>6</v>
      </c>
      <c r="C7" s="3">
        <v>94746</v>
      </c>
      <c r="D7" s="3">
        <f t="shared" si="2"/>
        <v>2.8497245266291271E-3</v>
      </c>
      <c r="E7" s="3">
        <f t="shared" si="1"/>
        <v>0.99715027547337087</v>
      </c>
      <c r="F7" s="3">
        <f t="shared" si="3"/>
        <v>2.2797796213033018E-3</v>
      </c>
      <c r="G7" s="11">
        <f t="shared" si="4"/>
        <v>0.76608189501972068</v>
      </c>
      <c r="H7" s="3">
        <v>0.05</v>
      </c>
    </row>
    <row r="8" spans="1:8" x14ac:dyDescent="0.25">
      <c r="A8" s="3">
        <v>41</v>
      </c>
      <c r="B8" s="3">
        <f t="shared" si="0"/>
        <v>7</v>
      </c>
      <c r="C8" s="3">
        <v>94476</v>
      </c>
      <c r="D8" s="3">
        <f t="shared" si="2"/>
        <v>3.1119014352851693E-3</v>
      </c>
      <c r="E8" s="3">
        <f t="shared" si="1"/>
        <v>0.99688809856471483</v>
      </c>
      <c r="F8" s="3">
        <f t="shared" si="3"/>
        <v>2.4895211482281357E-3</v>
      </c>
      <c r="G8" s="11">
        <f t="shared" si="4"/>
        <v>0.72603130237621927</v>
      </c>
      <c r="H8" s="3">
        <v>0.05</v>
      </c>
    </row>
    <row r="9" spans="1:8" x14ac:dyDescent="0.25">
      <c r="A9" s="3">
        <v>42</v>
      </c>
      <c r="B9" s="3">
        <f t="shared" si="0"/>
        <v>8</v>
      </c>
      <c r="C9" s="3">
        <v>94182</v>
      </c>
      <c r="D9" s="3">
        <f t="shared" si="2"/>
        <v>3.3339703977405266E-3</v>
      </c>
      <c r="E9" s="3">
        <f t="shared" si="1"/>
        <v>0.99666602960225947</v>
      </c>
      <c r="F9" s="3">
        <f t="shared" si="3"/>
        <v>2.6671763181924215E-3</v>
      </c>
      <c r="G9" s="11">
        <f t="shared" si="4"/>
        <v>0.68792226697586711</v>
      </c>
      <c r="H9" s="3">
        <v>0.05</v>
      </c>
    </row>
    <row r="10" spans="1:8" x14ac:dyDescent="0.25">
      <c r="A10" s="3">
        <v>43</v>
      </c>
      <c r="B10" s="3">
        <f t="shared" si="0"/>
        <v>9</v>
      </c>
      <c r="C10" s="3">
        <v>93868</v>
      </c>
      <c r="D10" s="3">
        <f t="shared" si="2"/>
        <v>3.7605999914773758E-3</v>
      </c>
      <c r="E10" s="3">
        <f t="shared" si="1"/>
        <v>0.99623940000852262</v>
      </c>
      <c r="F10" s="3">
        <f t="shared" si="3"/>
        <v>3.008479993181901E-3</v>
      </c>
      <c r="G10" s="11">
        <f t="shared" si="4"/>
        <v>0.65169134364783843</v>
      </c>
      <c r="H10" s="3">
        <v>0.05</v>
      </c>
    </row>
    <row r="11" spans="1:8" x14ac:dyDescent="0.25">
      <c r="A11" s="3">
        <v>44</v>
      </c>
      <c r="B11" s="3">
        <f t="shared" si="0"/>
        <v>10</v>
      </c>
      <c r="C11" s="3">
        <v>93515</v>
      </c>
      <c r="D11" s="3">
        <f t="shared" si="2"/>
        <v>4.084906164786406E-3</v>
      </c>
      <c r="E11" s="3">
        <f t="shared" si="1"/>
        <v>0.99591509383521359</v>
      </c>
      <c r="F11" s="3">
        <f t="shared" si="3"/>
        <v>3.2679249318291249E-3</v>
      </c>
      <c r="G11" s="11">
        <f t="shared" si="4"/>
        <v>0.61714617609635214</v>
      </c>
      <c r="H11" s="3">
        <v>0.05</v>
      </c>
    </row>
    <row r="12" spans="1:8" x14ac:dyDescent="0.25">
      <c r="A12" s="3">
        <v>45</v>
      </c>
      <c r="B12" s="3">
        <f t="shared" si="0"/>
        <v>11</v>
      </c>
      <c r="C12" s="3">
        <v>93133</v>
      </c>
      <c r="D12" s="3">
        <f t="shared" si="2"/>
        <v>4.3593570485219724E-3</v>
      </c>
      <c r="E12" s="3">
        <f t="shared" si="1"/>
        <v>0.99564064295147803</v>
      </c>
      <c r="F12" s="3">
        <f t="shared" si="3"/>
        <v>3.4874856388175781E-3</v>
      </c>
      <c r="G12" s="11">
        <f t="shared" si="4"/>
        <v>0.58427207991608621</v>
      </c>
      <c r="H12" s="3">
        <v>0.05</v>
      </c>
    </row>
    <row r="13" spans="1:8" x14ac:dyDescent="0.25">
      <c r="A13" s="3">
        <v>46</v>
      </c>
      <c r="B13" s="3">
        <f t="shared" si="0"/>
        <v>12</v>
      </c>
      <c r="C13" s="3">
        <v>92727</v>
      </c>
      <c r="D13" s="3">
        <f t="shared" si="2"/>
        <v>4.6588372318742133E-3</v>
      </c>
      <c r="E13" s="3">
        <f t="shared" si="1"/>
        <v>0.99534116276812579</v>
      </c>
      <c r="F13" s="3">
        <f t="shared" si="3"/>
        <v>3.7270697854993708E-3</v>
      </c>
      <c r="G13" s="11">
        <f t="shared" si="4"/>
        <v>0.55302083543241243</v>
      </c>
      <c r="H13" s="3">
        <v>0.05</v>
      </c>
    </row>
    <row r="14" spans="1:8" x14ac:dyDescent="0.25">
      <c r="A14" s="3">
        <v>47</v>
      </c>
      <c r="B14" s="3">
        <f t="shared" si="0"/>
        <v>13</v>
      </c>
      <c r="C14" s="3">
        <v>92295</v>
      </c>
      <c r="D14" s="3">
        <f t="shared" si="2"/>
        <v>5.0056882821387649E-3</v>
      </c>
      <c r="E14" s="3">
        <f t="shared" si="1"/>
        <v>0.99499431171786124</v>
      </c>
      <c r="F14" s="3">
        <f t="shared" si="3"/>
        <v>4.0045506257110125E-3</v>
      </c>
      <c r="G14" s="11">
        <f t="shared" si="4"/>
        <v>0.52330864641429997</v>
      </c>
      <c r="H14" s="3">
        <v>0.05</v>
      </c>
    </row>
    <row r="15" spans="1:8" x14ac:dyDescent="0.25">
      <c r="A15" s="3">
        <v>48</v>
      </c>
      <c r="B15" s="3">
        <f t="shared" si="0"/>
        <v>14</v>
      </c>
      <c r="C15" s="3">
        <v>91833</v>
      </c>
      <c r="D15" s="3">
        <f t="shared" si="2"/>
        <v>5.4555551925777879E-3</v>
      </c>
      <c r="E15" s="3">
        <f t="shared" si="1"/>
        <v>0.99454444480742221</v>
      </c>
      <c r="F15" s="3">
        <f t="shared" si="3"/>
        <v>4.3644441540622303E-3</v>
      </c>
      <c r="G15" s="11">
        <f t="shared" si="4"/>
        <v>0.49504759812614657</v>
      </c>
      <c r="H15" s="3">
        <v>0.05</v>
      </c>
    </row>
    <row r="16" spans="1:8" x14ac:dyDescent="0.25">
      <c r="A16" s="3">
        <v>49</v>
      </c>
      <c r="B16" s="3">
        <f t="shared" si="0"/>
        <v>15</v>
      </c>
      <c r="C16" s="3">
        <v>91332</v>
      </c>
      <c r="D16" s="3">
        <f t="shared" si="2"/>
        <v>6.0657819822187431E-3</v>
      </c>
      <c r="E16" s="3">
        <f t="shared" si="1"/>
        <v>0.99393421801778126</v>
      </c>
      <c r="F16" s="3">
        <f t="shared" si="3"/>
        <v>4.8526255857749947E-3</v>
      </c>
      <c r="G16" s="11">
        <f t="shared" si="4"/>
        <v>0.46813461062421502</v>
      </c>
      <c r="H16" s="3">
        <v>0.05</v>
      </c>
    </row>
    <row r="17" spans="1:8" x14ac:dyDescent="0.25">
      <c r="A17" s="3">
        <v>50</v>
      </c>
      <c r="B17" s="3">
        <f t="shared" si="0"/>
        <v>16</v>
      </c>
      <c r="C17" s="3">
        <v>90778</v>
      </c>
      <c r="D17" s="3">
        <f t="shared" si="2"/>
        <v>6.6866421379629948E-3</v>
      </c>
      <c r="E17" s="3">
        <f t="shared" si="1"/>
        <v>0.99331335786203701</v>
      </c>
      <c r="F17" s="3">
        <f t="shared" si="3"/>
        <v>5.3493137103703958E-3</v>
      </c>
      <c r="G17" s="11">
        <f t="shared" si="4"/>
        <v>0.44245619810390235</v>
      </c>
      <c r="H17" s="3">
        <v>0.05</v>
      </c>
    </row>
    <row r="18" spans="1:8" x14ac:dyDescent="0.25">
      <c r="A18" s="3">
        <v>51</v>
      </c>
      <c r="B18" s="3">
        <f t="shared" si="0"/>
        <v>17</v>
      </c>
      <c r="C18" s="3">
        <v>90171</v>
      </c>
      <c r="D18" s="3">
        <f t="shared" si="2"/>
        <v>7.3194264231294381E-3</v>
      </c>
      <c r="E18" s="3">
        <f t="shared" si="1"/>
        <v>0.99268057357687056</v>
      </c>
      <c r="F18" s="3">
        <f t="shared" si="3"/>
        <v>5.8555411385035512E-3</v>
      </c>
      <c r="G18" s="11">
        <f t="shared" si="4"/>
        <v>0.41796655119195164</v>
      </c>
      <c r="H18" s="3">
        <v>0.05</v>
      </c>
    </row>
    <row r="19" spans="1:8" x14ac:dyDescent="0.25">
      <c r="A19" s="3">
        <v>52</v>
      </c>
      <c r="B19" s="3">
        <f t="shared" si="0"/>
        <v>18</v>
      </c>
      <c r="C19" s="3">
        <v>89511</v>
      </c>
      <c r="D19" s="3">
        <f t="shared" si="2"/>
        <v>8.0437041257499509E-3</v>
      </c>
      <c r="E19" s="3">
        <f t="shared" si="1"/>
        <v>0.99195629587425005</v>
      </c>
      <c r="F19" s="3">
        <f t="shared" si="3"/>
        <v>6.4349633005999609E-3</v>
      </c>
      <c r="G19" s="11">
        <f t="shared" si="4"/>
        <v>0.39462080329733112</v>
      </c>
      <c r="H19" s="3">
        <v>0.05</v>
      </c>
    </row>
    <row r="20" spans="1:8" x14ac:dyDescent="0.25">
      <c r="A20" s="3">
        <v>53</v>
      </c>
      <c r="B20" s="3">
        <f t="shared" si="0"/>
        <v>19</v>
      </c>
      <c r="C20" s="3">
        <v>88791</v>
      </c>
      <c r="D20" s="3">
        <f t="shared" si="2"/>
        <v>8.7846741223772673E-3</v>
      </c>
      <c r="E20" s="3">
        <f t="shared" si="1"/>
        <v>0.99121532587762273</v>
      </c>
      <c r="F20" s="3">
        <f t="shared" si="3"/>
        <v>7.0277392979018142E-3</v>
      </c>
      <c r="G20" s="11">
        <f t="shared" si="4"/>
        <v>0.37235039274559295</v>
      </c>
      <c r="H20" s="3">
        <v>0.05</v>
      </c>
    </row>
    <row r="21" spans="1:8" x14ac:dyDescent="0.25">
      <c r="A21" s="3">
        <v>54</v>
      </c>
      <c r="B21" s="3">
        <f t="shared" si="0"/>
        <v>20</v>
      </c>
      <c r="C21" s="3">
        <v>88011</v>
      </c>
      <c r="D21" s="3">
        <f t="shared" si="2"/>
        <v>9.6124348092851974E-3</v>
      </c>
      <c r="E21" s="3">
        <f t="shared" si="1"/>
        <v>0.9903875651907148</v>
      </c>
      <c r="F21" s="3">
        <f t="shared" si="3"/>
        <v>7.689947847428158E-3</v>
      </c>
      <c r="G21" s="11">
        <f t="shared" si="4"/>
        <v>0.3511160916206259</v>
      </c>
      <c r="H21" s="3">
        <v>0.05</v>
      </c>
    </row>
    <row r="22" spans="1:8" x14ac:dyDescent="0.25">
      <c r="A22" s="3">
        <v>55</v>
      </c>
      <c r="B22" s="3">
        <f t="shared" si="0"/>
        <v>21</v>
      </c>
      <c r="C22" s="3">
        <v>87165</v>
      </c>
      <c r="D22" s="3">
        <f t="shared" si="2"/>
        <v>1.0600585097229387E-2</v>
      </c>
      <c r="E22" s="3">
        <f t="shared" si="1"/>
        <v>0.98939941490277061</v>
      </c>
      <c r="F22" s="3">
        <f t="shared" si="3"/>
        <v>8.4804680777835102E-3</v>
      </c>
      <c r="G22" s="11">
        <f t="shared" si="4"/>
        <v>0.33086022260663916</v>
      </c>
      <c r="H22" s="3">
        <v>0.05</v>
      </c>
    </row>
    <row r="23" spans="1:8" x14ac:dyDescent="0.25">
      <c r="A23" s="3">
        <v>56</v>
      </c>
      <c r="B23" s="3">
        <f t="shared" si="0"/>
        <v>22</v>
      </c>
      <c r="C23" s="3">
        <v>86241</v>
      </c>
      <c r="D23" s="3">
        <f t="shared" si="2"/>
        <v>1.1421481661854527E-2</v>
      </c>
      <c r="E23" s="3">
        <f t="shared" si="1"/>
        <v>0.98857851833814547</v>
      </c>
      <c r="F23" s="3">
        <f t="shared" si="3"/>
        <v>9.1371853294836217E-3</v>
      </c>
      <c r="G23" s="11">
        <f t="shared" si="4"/>
        <v>0.31151136192028328</v>
      </c>
      <c r="H23" s="3">
        <v>0.05</v>
      </c>
    </row>
    <row r="24" spans="1:8" x14ac:dyDescent="0.25">
      <c r="A24" s="3">
        <v>57</v>
      </c>
      <c r="B24" s="3">
        <f t="shared" si="0"/>
        <v>23</v>
      </c>
      <c r="C24" s="3">
        <v>85256</v>
      </c>
      <c r="D24" s="3">
        <f t="shared" si="2"/>
        <v>1.2257201839166787E-2</v>
      </c>
      <c r="E24" s="3">
        <f t="shared" si="1"/>
        <v>0.98774279816083321</v>
      </c>
      <c r="F24" s="3">
        <f t="shared" si="3"/>
        <v>9.8057614713334303E-3</v>
      </c>
      <c r="G24" s="11">
        <f t="shared" si="4"/>
        <v>0.29308945677816362</v>
      </c>
      <c r="H24" s="3">
        <v>0.05</v>
      </c>
    </row>
    <row r="25" spans="1:8" x14ac:dyDescent="0.25">
      <c r="A25" s="3">
        <v>58</v>
      </c>
      <c r="B25" s="3">
        <f t="shared" si="0"/>
        <v>24</v>
      </c>
      <c r="C25" s="3">
        <v>84211</v>
      </c>
      <c r="D25" s="3">
        <f t="shared" si="2"/>
        <v>1.3394924653548856E-2</v>
      </c>
      <c r="E25" s="3">
        <f t="shared" si="1"/>
        <v>0.98660507534645114</v>
      </c>
      <c r="F25" s="3">
        <f t="shared" si="3"/>
        <v>1.0715939722839086E-2</v>
      </c>
      <c r="G25" s="11">
        <f t="shared" si="4"/>
        <v>0.27556101863632609</v>
      </c>
      <c r="H25" s="3">
        <v>0.05</v>
      </c>
    </row>
    <row r="26" spans="1:8" x14ac:dyDescent="0.25">
      <c r="A26" s="3">
        <v>59</v>
      </c>
      <c r="B26" s="3">
        <f t="shared" si="0"/>
        <v>25</v>
      </c>
      <c r="C26" s="3">
        <v>83083</v>
      </c>
      <c r="D26" s="3">
        <f t="shared" si="2"/>
        <v>1.4431351780749391E-2</v>
      </c>
      <c r="E26" s="3">
        <f t="shared" si="1"/>
        <v>0.98556864821925061</v>
      </c>
      <c r="F26" s="3">
        <f t="shared" si="3"/>
        <v>1.1545081424599514E-2</v>
      </c>
      <c r="G26" s="11">
        <f t="shared" si="4"/>
        <v>0.25883007243883877</v>
      </c>
      <c r="H26" s="3">
        <v>0.05</v>
      </c>
    </row>
    <row r="27" spans="1:8" x14ac:dyDescent="0.25">
      <c r="A27" s="3">
        <v>60</v>
      </c>
      <c r="B27" s="3">
        <f t="shared" si="0"/>
        <v>26</v>
      </c>
      <c r="C27" s="3">
        <v>81884</v>
      </c>
      <c r="D27" s="3">
        <f t="shared" si="2"/>
        <v>1.5656294269942861E-2</v>
      </c>
      <c r="E27" s="3">
        <f t="shared" si="1"/>
        <v>0.98434370573005714</v>
      </c>
      <c r="F27" s="3">
        <f t="shared" si="3"/>
        <v>1.2525035415954289E-2</v>
      </c>
      <c r="G27" s="11">
        <f t="shared" si="4"/>
        <v>0.24290035455545542</v>
      </c>
      <c r="H27" s="3">
        <v>0.05</v>
      </c>
    </row>
    <row r="28" spans="1:8" x14ac:dyDescent="0.25">
      <c r="A28" s="3">
        <v>61</v>
      </c>
      <c r="B28" s="3">
        <f t="shared" si="0"/>
        <v>27</v>
      </c>
      <c r="C28" s="3">
        <v>80602</v>
      </c>
      <c r="D28" s="3">
        <f t="shared" si="2"/>
        <v>1.6860623805860842E-2</v>
      </c>
      <c r="E28" s="3">
        <f t="shared" si="1"/>
        <v>0.98313937619413916</v>
      </c>
      <c r="F28" s="3">
        <f t="shared" si="3"/>
        <v>1.3488499044688674E-2</v>
      </c>
      <c r="G28" s="11">
        <f t="shared" si="4"/>
        <v>0.2277130012843277</v>
      </c>
      <c r="H28" s="3">
        <v>0.05</v>
      </c>
    </row>
    <row r="29" spans="1:8" x14ac:dyDescent="0.25">
      <c r="A29" s="3">
        <v>62</v>
      </c>
      <c r="B29" s="3">
        <f t="shared" si="0"/>
        <v>28</v>
      </c>
      <c r="C29" s="3">
        <v>79243</v>
      </c>
      <c r="D29" s="3">
        <f t="shared" si="2"/>
        <v>1.8121474452002073E-2</v>
      </c>
      <c r="E29" s="3">
        <f t="shared" si="1"/>
        <v>0.98187852554799793</v>
      </c>
      <c r="F29" s="3">
        <f t="shared" si="3"/>
        <v>1.449717956160166E-2</v>
      </c>
      <c r="G29" s="11">
        <f t="shared" si="4"/>
        <v>0.21325584461982447</v>
      </c>
      <c r="H29" s="3">
        <v>0.05</v>
      </c>
    </row>
    <row r="30" spans="1:8" x14ac:dyDescent="0.25">
      <c r="A30" s="3">
        <v>63</v>
      </c>
      <c r="B30" s="3">
        <f t="shared" si="0"/>
        <v>29</v>
      </c>
      <c r="C30" s="3">
        <v>77807</v>
      </c>
      <c r="D30" s="3">
        <f t="shared" si="2"/>
        <v>1.9432698857429265E-2</v>
      </c>
      <c r="E30" s="3">
        <f t="shared" si="1"/>
        <v>0.98056730114257074</v>
      </c>
      <c r="F30" s="3">
        <f t="shared" si="3"/>
        <v>1.5546159085943412E-2</v>
      </c>
      <c r="G30" s="11">
        <f t="shared" si="4"/>
        <v>0.19950144411681861</v>
      </c>
      <c r="H30" s="3">
        <v>0.05</v>
      </c>
    </row>
    <row r="31" spans="1:8" x14ac:dyDescent="0.25">
      <c r="A31" s="3">
        <v>64</v>
      </c>
      <c r="B31" s="3">
        <f t="shared" si="0"/>
        <v>30</v>
      </c>
      <c r="C31" s="3">
        <v>76295</v>
      </c>
      <c r="D31" s="3">
        <f t="shared" si="2"/>
        <v>2.064355462350087E-2</v>
      </c>
      <c r="E31" s="3">
        <f t="shared" si="1"/>
        <v>0.97935644537649913</v>
      </c>
      <c r="F31" s="3">
        <f t="shared" si="3"/>
        <v>1.6514843698800696E-2</v>
      </c>
      <c r="G31" s="11">
        <f t="shared" si="4"/>
        <v>0.18642489072286217</v>
      </c>
      <c r="H31" s="3">
        <v>0.05</v>
      </c>
    </row>
    <row r="32" spans="1:8" x14ac:dyDescent="0.25">
      <c r="A32" s="3">
        <v>65</v>
      </c>
      <c r="B32" s="3">
        <f t="shared" si="0"/>
        <v>31</v>
      </c>
      <c r="C32" s="3">
        <v>74720</v>
      </c>
      <c r="D32" s="3">
        <f t="shared" si="2"/>
        <v>2.201552462526768E-2</v>
      </c>
      <c r="E32" s="3">
        <f t="shared" si="1"/>
        <v>0.97798447537473232</v>
      </c>
      <c r="F32" s="3">
        <f t="shared" si="3"/>
        <v>1.7612419700214144E-2</v>
      </c>
      <c r="G32" s="11">
        <f t="shared" si="4"/>
        <v>0.17402486825486496</v>
      </c>
      <c r="H32" s="3">
        <v>0.05</v>
      </c>
    </row>
    <row r="33" spans="1:8" x14ac:dyDescent="0.25">
      <c r="A33" s="3">
        <v>66</v>
      </c>
      <c r="B33" s="3">
        <f t="shared" si="0"/>
        <v>32</v>
      </c>
      <c r="C33" s="3">
        <v>73075</v>
      </c>
      <c r="D33" s="3">
        <f t="shared" si="2"/>
        <v>2.3386931235032549E-2</v>
      </c>
      <c r="E33" s="3">
        <f t="shared" si="1"/>
        <v>0.97661306876496745</v>
      </c>
      <c r="F33" s="3">
        <f t="shared" si="3"/>
        <v>1.8709544988026041E-2</v>
      </c>
      <c r="G33" s="11">
        <f t="shared" si="4"/>
        <v>0.16225862582414255</v>
      </c>
      <c r="H33" s="3">
        <v>0.05</v>
      </c>
    </row>
    <row r="34" spans="1:8" x14ac:dyDescent="0.25">
      <c r="A34" s="3">
        <v>67</v>
      </c>
      <c r="B34" s="3">
        <f t="shared" si="0"/>
        <v>33</v>
      </c>
      <c r="C34" s="3">
        <v>71366</v>
      </c>
      <c r="D34" s="3">
        <f t="shared" si="2"/>
        <v>2.5320180478098808E-2</v>
      </c>
      <c r="E34" s="3">
        <f t="shared" si="1"/>
        <v>0.97467981952190119</v>
      </c>
      <c r="F34" s="3">
        <f t="shared" si="3"/>
        <v>2.0256144382479049E-2</v>
      </c>
      <c r="G34" s="11">
        <f t="shared" si="4"/>
        <v>0.15110990947338335</v>
      </c>
      <c r="H34" s="3">
        <v>0.05</v>
      </c>
    </row>
    <row r="35" spans="1:8" x14ac:dyDescent="0.25">
      <c r="A35" s="3">
        <v>68</v>
      </c>
      <c r="B35" s="3">
        <f t="shared" si="0"/>
        <v>34</v>
      </c>
      <c r="C35" s="3">
        <v>69559</v>
      </c>
      <c r="D35" s="3">
        <f t="shared" si="2"/>
        <v>2.737244641239811E-2</v>
      </c>
      <c r="E35" s="3">
        <f t="shared" si="1"/>
        <v>0.97262755358760189</v>
      </c>
      <c r="F35" s="3">
        <f t="shared" si="3"/>
        <v>2.1897957129918488E-2</v>
      </c>
      <c r="G35" s="11">
        <f t="shared" si="4"/>
        <v>0.14049350985579798</v>
      </c>
      <c r="H35" s="3">
        <v>0.05</v>
      </c>
    </row>
    <row r="36" spans="1:8" x14ac:dyDescent="0.25">
      <c r="A36" s="3">
        <v>69</v>
      </c>
      <c r="B36" s="3">
        <f t="shared" si="0"/>
        <v>35</v>
      </c>
      <c r="C36" s="3">
        <v>67655</v>
      </c>
      <c r="D36" s="3">
        <f t="shared" si="2"/>
        <v>2.9650432340551314E-2</v>
      </c>
      <c r="E36" s="3">
        <f t="shared" si="1"/>
        <v>0.97034956765944869</v>
      </c>
      <c r="F36" s="3">
        <f t="shared" si="3"/>
        <v>2.3720345872441054E-2</v>
      </c>
      <c r="G36" s="11">
        <f t="shared" si="4"/>
        <v>0.13039231350715402</v>
      </c>
      <c r="H36" s="3">
        <v>0.05</v>
      </c>
    </row>
    <row r="37" spans="1:8" x14ac:dyDescent="0.25">
      <c r="A37" s="3">
        <v>70</v>
      </c>
      <c r="B37" s="3">
        <f t="shared" si="0"/>
        <v>36</v>
      </c>
      <c r="C37" s="3">
        <v>65649</v>
      </c>
      <c r="D37" s="3">
        <f t="shared" si="2"/>
        <v>3.207969656811227E-2</v>
      </c>
      <c r="E37" s="3">
        <f t="shared" si="1"/>
        <v>0.96792030343188773</v>
      </c>
      <c r="F37" s="3">
        <f t="shared" si="3"/>
        <v>2.5663757254489817E-2</v>
      </c>
      <c r="G37" s="11">
        <f t="shared" si="4"/>
        <v>0.12077974705629885</v>
      </c>
      <c r="H37" s="3">
        <v>0.05</v>
      </c>
    </row>
    <row r="38" spans="1:8" x14ac:dyDescent="0.25">
      <c r="A38" s="3">
        <v>71</v>
      </c>
      <c r="B38" s="3">
        <f t="shared" si="0"/>
        <v>37</v>
      </c>
      <c r="C38" s="3">
        <v>63543</v>
      </c>
      <c r="D38" s="3">
        <f t="shared" si="2"/>
        <v>3.553499205262578E-2</v>
      </c>
      <c r="E38" s="3">
        <f t="shared" si="1"/>
        <v>0.96446500794737422</v>
      </c>
      <c r="F38" s="3">
        <f t="shared" si="3"/>
        <v>2.8427993642100625E-2</v>
      </c>
      <c r="G38" s="11">
        <f t="shared" si="4"/>
        <v>0.11164109759377237</v>
      </c>
      <c r="H38" s="3">
        <v>0.05</v>
      </c>
    </row>
    <row r="39" spans="1:8" x14ac:dyDescent="0.25">
      <c r="A39" s="3">
        <v>72</v>
      </c>
      <c r="B39" s="3">
        <f t="shared" si="0"/>
        <v>38</v>
      </c>
      <c r="C39" s="3">
        <v>61285</v>
      </c>
      <c r="D39" s="3">
        <f t="shared" si="2"/>
        <v>3.8737048217345138E-2</v>
      </c>
      <c r="E39" s="3">
        <f t="shared" si="1"/>
        <v>0.96126295178265486</v>
      </c>
      <c r="F39" s="3">
        <f t="shared" si="3"/>
        <v>3.0989638573876113E-2</v>
      </c>
      <c r="G39" s="11">
        <f t="shared" si="4"/>
        <v>0.10288531030149085</v>
      </c>
      <c r="H39" s="3">
        <v>0.05</v>
      </c>
    </row>
    <row r="40" spans="1:8" x14ac:dyDescent="0.25">
      <c r="A40" s="3">
        <v>73</v>
      </c>
      <c r="B40" s="3">
        <f t="shared" si="0"/>
        <v>39</v>
      </c>
      <c r="C40" s="3">
        <v>58911</v>
      </c>
      <c r="D40" s="3">
        <f t="shared" si="2"/>
        <v>4.2352022542479384E-2</v>
      </c>
      <c r="E40" s="3">
        <f t="shared" si="1"/>
        <v>0.95764797745752062</v>
      </c>
      <c r="F40" s="3">
        <f t="shared" si="3"/>
        <v>3.3881618033983506E-2</v>
      </c>
      <c r="G40" s="11">
        <f t="shared" si="4"/>
        <v>9.4552666205612007E-2</v>
      </c>
      <c r="H40" s="3">
        <v>0.05</v>
      </c>
    </row>
    <row r="41" spans="1:8" x14ac:dyDescent="0.25">
      <c r="A41" s="3">
        <v>74</v>
      </c>
      <c r="B41" s="3">
        <f t="shared" si="0"/>
        <v>40</v>
      </c>
      <c r="C41" s="3">
        <v>56416</v>
      </c>
      <c r="D41" s="3">
        <f t="shared" si="2"/>
        <v>4.6050765740215494E-2</v>
      </c>
      <c r="E41" s="3">
        <f t="shared" si="1"/>
        <v>0.95394923425978451</v>
      </c>
      <c r="F41" s="3">
        <f t="shared" si="3"/>
        <v>3.6840612592172396E-2</v>
      </c>
      <c r="G41" s="11">
        <f t="shared" si="4"/>
        <v>8.6621435574858116E-2</v>
      </c>
      <c r="H41" s="3">
        <v>0.05</v>
      </c>
    </row>
    <row r="42" spans="1:8" x14ac:dyDescent="0.25">
      <c r="A42" s="3">
        <v>75</v>
      </c>
      <c r="B42" s="3">
        <f t="shared" si="0"/>
        <v>41</v>
      </c>
      <c r="C42" s="3">
        <v>53818</v>
      </c>
      <c r="D42" s="3">
        <f t="shared" si="2"/>
        <v>5.0763685012449322E-2</v>
      </c>
      <c r="E42" s="3">
        <f t="shared" si="1"/>
        <v>0.94923631498755068</v>
      </c>
      <c r="F42" s="3">
        <f t="shared" si="3"/>
        <v>4.0610948009959458E-2</v>
      </c>
      <c r="G42" s="11">
        <f t="shared" si="4"/>
        <v>7.9099177045924035E-2</v>
      </c>
      <c r="H42" s="3">
        <v>0.05</v>
      </c>
    </row>
    <row r="43" spans="1:8" x14ac:dyDescent="0.25">
      <c r="A43" s="3">
        <v>76</v>
      </c>
      <c r="B43" s="3">
        <f t="shared" si="0"/>
        <v>42</v>
      </c>
      <c r="C43" s="3">
        <v>51086</v>
      </c>
      <c r="D43" s="3">
        <f t="shared" si="2"/>
        <v>5.5494656070156245E-2</v>
      </c>
      <c r="E43" s="3">
        <f t="shared" si="1"/>
        <v>0.94450534392984375</v>
      </c>
      <c r="F43" s="3">
        <f t="shared" si="3"/>
        <v>4.4395724856125002E-2</v>
      </c>
      <c r="G43" s="11">
        <f t="shared" si="4"/>
        <v>7.1931925626985235E-2</v>
      </c>
      <c r="H43" s="3">
        <v>0.05</v>
      </c>
    </row>
    <row r="44" spans="1:8" x14ac:dyDescent="0.25">
      <c r="A44" s="3">
        <v>77</v>
      </c>
      <c r="B44" s="3">
        <f t="shared" si="0"/>
        <v>43</v>
      </c>
      <c r="C44" s="3">
        <v>48251</v>
      </c>
      <c r="D44" s="3">
        <f t="shared" si="2"/>
        <v>6.1490953555366712E-2</v>
      </c>
      <c r="E44" s="3">
        <f t="shared" si="1"/>
        <v>0.93850904644463329</v>
      </c>
      <c r="F44" s="3">
        <f t="shared" si="3"/>
        <v>4.9192762844293372E-2</v>
      </c>
      <c r="G44" s="11">
        <f t="shared" si="4"/>
        <v>6.5141859367129087E-2</v>
      </c>
      <c r="H44" s="3">
        <v>0.05</v>
      </c>
    </row>
    <row r="45" spans="1:8" x14ac:dyDescent="0.25">
      <c r="A45" s="3">
        <v>78</v>
      </c>
      <c r="B45" s="3">
        <f t="shared" si="0"/>
        <v>44</v>
      </c>
      <c r="C45" s="3">
        <v>45284</v>
      </c>
      <c r="D45" s="3">
        <f t="shared" si="2"/>
        <v>6.8037275859023083E-2</v>
      </c>
      <c r="E45" s="3">
        <f t="shared" si="1"/>
        <v>0.93196272414097692</v>
      </c>
      <c r="F45" s="3">
        <f t="shared" si="3"/>
        <v>5.4429820687218466E-2</v>
      </c>
      <c r="G45" s="11">
        <f t="shared" si="4"/>
        <v>5.8680258359689139E-2</v>
      </c>
      <c r="H45" s="3">
        <v>0.05</v>
      </c>
    </row>
    <row r="46" spans="1:8" x14ac:dyDescent="0.25">
      <c r="A46" s="3">
        <v>79</v>
      </c>
      <c r="B46" s="3">
        <f t="shared" si="0"/>
        <v>45</v>
      </c>
      <c r="C46" s="3">
        <v>42203</v>
      </c>
      <c r="D46" s="3">
        <f t="shared" si="2"/>
        <v>7.4923583631495427E-2</v>
      </c>
      <c r="E46" s="3">
        <f t="shared" si="1"/>
        <v>0.92507641636850457</v>
      </c>
      <c r="F46" s="3">
        <f t="shared" si="3"/>
        <v>5.9938866905196342E-2</v>
      </c>
      <c r="G46" s="11">
        <f t="shared" si="4"/>
        <v>5.2552289501307144E-2</v>
      </c>
      <c r="H46" s="3">
        <v>0.05</v>
      </c>
    </row>
    <row r="47" spans="1:8" x14ac:dyDescent="0.25">
      <c r="A47" s="3">
        <v>80</v>
      </c>
      <c r="B47" s="3">
        <f t="shared" si="0"/>
        <v>46</v>
      </c>
      <c r="C47" s="3">
        <v>39041</v>
      </c>
      <c r="D47" s="3">
        <f t="shared" si="2"/>
        <v>8.2400553264516785E-2</v>
      </c>
      <c r="E47" s="3">
        <f t="shared" si="1"/>
        <v>0.91759944673548322</v>
      </c>
      <c r="F47" s="3">
        <f t="shared" si="3"/>
        <v>6.5920442611613436E-2</v>
      </c>
      <c r="G47" s="11">
        <f t="shared" si="4"/>
        <v>4.6774750340259588E-2</v>
      </c>
      <c r="H47" s="3">
        <v>0.05</v>
      </c>
    </row>
    <row r="48" spans="1:8" x14ac:dyDescent="0.25">
      <c r="A48" s="3">
        <v>81</v>
      </c>
      <c r="B48" s="3">
        <f t="shared" si="0"/>
        <v>47</v>
      </c>
      <c r="C48" s="3">
        <v>35824</v>
      </c>
      <c r="D48" s="3">
        <f t="shared" si="2"/>
        <v>9.2284502009825853E-2</v>
      </c>
      <c r="E48" s="3">
        <f t="shared" si="1"/>
        <v>0.90771549799017415</v>
      </c>
      <c r="F48" s="3">
        <f t="shared" si="3"/>
        <v>7.3827601607860685E-2</v>
      </c>
      <c r="G48" s="11">
        <f t="shared" si="4"/>
        <v>4.1352600577768975E-2</v>
      </c>
      <c r="H48" s="3">
        <v>0.05</v>
      </c>
    </row>
    <row r="49" spans="1:8" x14ac:dyDescent="0.25">
      <c r="A49" s="3">
        <v>82</v>
      </c>
      <c r="B49" s="3">
        <f t="shared" si="0"/>
        <v>48</v>
      </c>
      <c r="C49" s="3">
        <v>32518</v>
      </c>
      <c r="D49" s="3">
        <f t="shared" si="2"/>
        <v>0.1014207515837382</v>
      </c>
      <c r="E49" s="3">
        <f t="shared" si="1"/>
        <v>0.8985792484162618</v>
      </c>
      <c r="F49" s="3">
        <f t="shared" si="3"/>
        <v>8.1136601266990571E-2</v>
      </c>
      <c r="G49" s="11">
        <f t="shared" si="4"/>
        <v>3.6232007227976003E-2</v>
      </c>
      <c r="H49" s="3">
        <v>0.05</v>
      </c>
    </row>
    <row r="50" spans="1:8" x14ac:dyDescent="0.25">
      <c r="A50" s="3">
        <v>83</v>
      </c>
      <c r="B50" s="3">
        <f t="shared" si="0"/>
        <v>49</v>
      </c>
      <c r="C50" s="3">
        <v>29220</v>
      </c>
      <c r="D50" s="3">
        <f t="shared" si="2"/>
        <v>0.11149897330595482</v>
      </c>
      <c r="E50" s="3">
        <f t="shared" si="1"/>
        <v>0.88850102669404518</v>
      </c>
      <c r="F50" s="3">
        <f t="shared" si="3"/>
        <v>8.9199178644763857E-2</v>
      </c>
      <c r="G50" s="11">
        <f t="shared" si="4"/>
        <v>3.1480664943018197E-2</v>
      </c>
      <c r="H50" s="3">
        <v>0.05</v>
      </c>
    </row>
    <row r="51" spans="1:8" x14ac:dyDescent="0.25">
      <c r="A51" s="3">
        <v>84</v>
      </c>
      <c r="B51" s="3">
        <f t="shared" si="0"/>
        <v>50</v>
      </c>
      <c r="C51" s="3">
        <v>25962</v>
      </c>
      <c r="D51" s="3">
        <f t="shared" si="2"/>
        <v>0.12256374701486783</v>
      </c>
      <c r="E51" s="3">
        <f t="shared" si="1"/>
        <v>0.87743625298513217</v>
      </c>
      <c r="F51" s="3">
        <f t="shared" si="3"/>
        <v>9.8050997611894272E-2</v>
      </c>
      <c r="G51" s="11">
        <f t="shared" si="4"/>
        <v>2.7098582239759049E-2</v>
      </c>
      <c r="H51" s="3">
        <v>0.05</v>
      </c>
    </row>
    <row r="52" spans="1:8" x14ac:dyDescent="0.25">
      <c r="A52" s="3">
        <v>85</v>
      </c>
      <c r="B52" s="3">
        <f t="shared" si="0"/>
        <v>51</v>
      </c>
      <c r="C52" s="3">
        <v>22780</v>
      </c>
      <c r="D52" s="3">
        <f t="shared" si="2"/>
        <v>0.134108867427568</v>
      </c>
      <c r="E52" s="3">
        <f t="shared" si="1"/>
        <v>0.865891132572432</v>
      </c>
      <c r="F52" s="3">
        <f t="shared" si="3"/>
        <v>0.10728709394205441</v>
      </c>
      <c r="G52" s="11">
        <f t="shared" si="4"/>
        <v>2.3086610105294759E-2</v>
      </c>
      <c r="H52" s="3">
        <v>0.05</v>
      </c>
    </row>
    <row r="53" spans="1:8" x14ac:dyDescent="0.25">
      <c r="A53" s="3">
        <v>86</v>
      </c>
      <c r="B53" s="3">
        <f t="shared" si="0"/>
        <v>52</v>
      </c>
      <c r="C53" s="3">
        <v>19725</v>
      </c>
      <c r="D53" s="3">
        <f t="shared" si="2"/>
        <v>0.14610899873257288</v>
      </c>
      <c r="E53" s="3">
        <f t="shared" si="1"/>
        <v>0.85389100126742712</v>
      </c>
      <c r="F53" s="3">
        <f t="shared" si="3"/>
        <v>0.11688719898605832</v>
      </c>
      <c r="G53" s="11">
        <f t="shared" si="4"/>
        <v>1.945538429285968E-2</v>
      </c>
      <c r="H53" s="3">
        <v>0.05</v>
      </c>
    </row>
    <row r="54" spans="1:8" x14ac:dyDescent="0.25">
      <c r="A54" s="3">
        <v>87</v>
      </c>
      <c r="B54" s="3">
        <f t="shared" si="0"/>
        <v>53</v>
      </c>
      <c r="C54" s="3">
        <v>16843</v>
      </c>
      <c r="D54" s="3">
        <f t="shared" si="2"/>
        <v>0.16089770230956479</v>
      </c>
      <c r="E54" s="3">
        <f t="shared" si="1"/>
        <v>0.83910229769043521</v>
      </c>
      <c r="F54" s="3">
        <f t="shared" si="3"/>
        <v>0.12871816184765184</v>
      </c>
      <c r="G54" s="11">
        <f t="shared" si="4"/>
        <v>1.6208529703026973E-2</v>
      </c>
      <c r="H54" s="3">
        <v>0.05</v>
      </c>
    </row>
    <row r="55" spans="1:8" x14ac:dyDescent="0.25">
      <c r="A55" s="3">
        <v>88</v>
      </c>
      <c r="B55" s="3">
        <f t="shared" si="0"/>
        <v>54</v>
      </c>
      <c r="C55" s="3">
        <v>14133</v>
      </c>
      <c r="D55" s="3">
        <f t="shared" si="2"/>
        <v>0.17745701549564852</v>
      </c>
      <c r="E55" s="3">
        <f t="shared" si="1"/>
        <v>0.82254298450435148</v>
      </c>
      <c r="F55" s="3">
        <f t="shared" si="3"/>
        <v>0.14196561239651881</v>
      </c>
      <c r="G55" s="11">
        <f t="shared" si="4"/>
        <v>1.3311771068248926E-2</v>
      </c>
      <c r="H55" s="3">
        <v>0.05</v>
      </c>
    </row>
    <row r="56" spans="1:8" x14ac:dyDescent="0.25">
      <c r="A56" s="3">
        <v>89</v>
      </c>
      <c r="B56" s="3">
        <f t="shared" si="0"/>
        <v>55</v>
      </c>
      <c r="C56" s="3">
        <v>11625</v>
      </c>
      <c r="D56" s="3">
        <f t="shared" si="2"/>
        <v>0.19234408602150532</v>
      </c>
      <c r="E56" s="3">
        <f t="shared" si="1"/>
        <v>0.80765591397849468</v>
      </c>
      <c r="F56" s="3">
        <f t="shared" si="3"/>
        <v>0.15387526881720426</v>
      </c>
      <c r="G56" s="11">
        <f t="shared" si="4"/>
        <v>1.0756368783050259E-2</v>
      </c>
      <c r="H56" s="3">
        <v>0.05</v>
      </c>
    </row>
    <row r="57" spans="1:8" x14ac:dyDescent="0.25">
      <c r="A57" s="3">
        <v>90</v>
      </c>
      <c r="B57" s="3">
        <f t="shared" si="0"/>
        <v>56</v>
      </c>
      <c r="C57" s="3">
        <v>9389</v>
      </c>
      <c r="D57" s="3">
        <f t="shared" si="2"/>
        <v>0.20779635743955693</v>
      </c>
      <c r="E57" s="3">
        <f t="shared" si="1"/>
        <v>0.79220364256044307</v>
      </c>
      <c r="F57" s="3">
        <f t="shared" si="3"/>
        <v>0.16623708595164555</v>
      </c>
      <c r="G57" s="11">
        <f t="shared" si="4"/>
        <v>8.5634112059089027E-3</v>
      </c>
      <c r="H57" s="3">
        <v>0.05</v>
      </c>
    </row>
    <row r="58" spans="1:8" x14ac:dyDescent="0.25">
      <c r="A58" s="3">
        <v>91</v>
      </c>
      <c r="B58" s="3">
        <f t="shared" si="0"/>
        <v>57</v>
      </c>
      <c r="C58" s="3">
        <v>7438</v>
      </c>
      <c r="D58" s="3">
        <f t="shared" si="2"/>
        <v>0.22519494487765523</v>
      </c>
      <c r="E58" s="3">
        <f t="shared" si="1"/>
        <v>0.77480505512234477</v>
      </c>
      <c r="F58" s="3">
        <f t="shared" si="3"/>
        <v>0.18015595590212419</v>
      </c>
      <c r="G58" s="11">
        <f t="shared" si="4"/>
        <v>6.7116841209374943E-3</v>
      </c>
      <c r="H58" s="3">
        <v>0.05</v>
      </c>
    </row>
    <row r="59" spans="1:8" x14ac:dyDescent="0.25">
      <c r="A59" s="3">
        <v>92</v>
      </c>
      <c r="B59" s="3">
        <f t="shared" si="0"/>
        <v>58</v>
      </c>
      <c r="C59" s="3">
        <v>5763</v>
      </c>
      <c r="D59" s="3">
        <f t="shared" si="2"/>
        <v>0.24518479958355022</v>
      </c>
      <c r="E59" s="3">
        <f t="shared" si="1"/>
        <v>0.75481520041644978</v>
      </c>
      <c r="F59" s="3">
        <f t="shared" si="3"/>
        <v>0.19614783966684018</v>
      </c>
      <c r="G59" s="11">
        <f t="shared" si="4"/>
        <v>5.1669500463700172E-3</v>
      </c>
      <c r="H59" s="3">
        <v>0.05</v>
      </c>
    </row>
    <row r="60" spans="1:8" x14ac:dyDescent="0.25">
      <c r="A60" s="3">
        <v>93</v>
      </c>
      <c r="B60" s="3">
        <f t="shared" si="0"/>
        <v>59</v>
      </c>
      <c r="C60" s="3">
        <v>4350</v>
      </c>
      <c r="D60" s="3">
        <f t="shared" si="2"/>
        <v>0.26183908045977011</v>
      </c>
      <c r="E60" s="3">
        <f t="shared" si="1"/>
        <v>0.73816091954022989</v>
      </c>
      <c r="F60" s="3">
        <f t="shared" si="3"/>
        <v>0.2094712643678161</v>
      </c>
      <c r="G60" s="11">
        <f t="shared" si="4"/>
        <v>3.8951164547895577E-3</v>
      </c>
      <c r="H60" s="3">
        <v>0.05</v>
      </c>
    </row>
    <row r="61" spans="1:8" x14ac:dyDescent="0.25">
      <c r="A61" s="3">
        <v>94</v>
      </c>
      <c r="B61" s="3">
        <f t="shared" si="0"/>
        <v>60</v>
      </c>
      <c r="C61" s="3">
        <v>3211</v>
      </c>
      <c r="D61" s="3">
        <f t="shared" si="2"/>
        <v>0.27904079725942077</v>
      </c>
      <c r="E61" s="3">
        <f t="shared" si="1"/>
        <v>0.72095920274057923</v>
      </c>
      <c r="F61" s="3">
        <f t="shared" si="3"/>
        <v>0.22323263780753663</v>
      </c>
      <c r="G61" s="11">
        <f t="shared" si="4"/>
        <v>2.8844456634054259E-3</v>
      </c>
      <c r="H61" s="3">
        <v>0.05</v>
      </c>
    </row>
    <row r="62" spans="1:8" x14ac:dyDescent="0.25">
      <c r="A62" s="3">
        <v>95</v>
      </c>
      <c r="B62" s="3">
        <f t="shared" si="0"/>
        <v>61</v>
      </c>
      <c r="C62" s="3">
        <v>2315</v>
      </c>
      <c r="D62" s="3">
        <f t="shared" ref="D62:D72" si="5">1-(C63/C62)</f>
        <v>0.29373650107991356</v>
      </c>
      <c r="E62" s="3">
        <f t="shared" ref="E62:E72" si="6">1-D62</f>
        <v>0.70626349892008644</v>
      </c>
      <c r="F62" s="3">
        <f t="shared" si="3"/>
        <v>0.23498920086393085</v>
      </c>
      <c r="G62" s="11">
        <f t="shared" si="4"/>
        <v>2.0963209661806512E-3</v>
      </c>
      <c r="H62" s="3">
        <v>0.05</v>
      </c>
    </row>
    <row r="63" spans="1:8" x14ac:dyDescent="0.25">
      <c r="A63" s="3">
        <v>96</v>
      </c>
      <c r="B63" s="3">
        <f t="shared" ref="B63:B74" si="7">B62+1</f>
        <v>62</v>
      </c>
      <c r="C63" s="3">
        <v>1635</v>
      </c>
      <c r="D63" s="3">
        <f t="shared" si="5"/>
        <v>0.31804281345565755</v>
      </c>
      <c r="E63" s="3">
        <f t="shared" si="6"/>
        <v>0.68195718654434245</v>
      </c>
      <c r="F63" s="3">
        <f t="shared" si="3"/>
        <v>0.25443425076452603</v>
      </c>
      <c r="G63" s="11">
        <f t="shared" ref="G63:G74" si="8">G62*(1-F62-H62)</f>
        <v>1.498892129274524E-3</v>
      </c>
      <c r="H63" s="3">
        <v>0.05</v>
      </c>
    </row>
    <row r="64" spans="1:8" x14ac:dyDescent="0.25">
      <c r="A64" s="3">
        <v>97</v>
      </c>
      <c r="B64" s="3">
        <f t="shared" si="7"/>
        <v>63</v>
      </c>
      <c r="C64" s="3">
        <v>1115</v>
      </c>
      <c r="D64" s="3">
        <f t="shared" si="5"/>
        <v>0.33632286995515692</v>
      </c>
      <c r="E64" s="3">
        <f t="shared" si="6"/>
        <v>0.66367713004484308</v>
      </c>
      <c r="F64" s="3">
        <f t="shared" si="3"/>
        <v>0.26905829596412556</v>
      </c>
      <c r="G64" s="11">
        <f t="shared" si="8"/>
        <v>1.0425780269219891E-3</v>
      </c>
      <c r="H64" s="3">
        <v>0.05</v>
      </c>
    </row>
    <row r="65" spans="1:8" x14ac:dyDescent="0.25">
      <c r="A65" s="3">
        <v>98</v>
      </c>
      <c r="B65" s="3">
        <f t="shared" si="7"/>
        <v>64</v>
      </c>
      <c r="C65" s="3">
        <v>740</v>
      </c>
      <c r="D65" s="3">
        <f t="shared" si="5"/>
        <v>0.38783783783783787</v>
      </c>
      <c r="E65" s="3">
        <f t="shared" si="6"/>
        <v>0.61216216216216213</v>
      </c>
      <c r="F65" s="3">
        <f t="shared" si="3"/>
        <v>0.31027027027027032</v>
      </c>
      <c r="G65" s="11">
        <f t="shared" si="8"/>
        <v>7.0993485824261896E-4</v>
      </c>
      <c r="H65" s="3">
        <v>0.05</v>
      </c>
    </row>
    <row r="66" spans="1:8" x14ac:dyDescent="0.25">
      <c r="A66" s="3">
        <v>99</v>
      </c>
      <c r="B66" s="3">
        <f t="shared" si="7"/>
        <v>65</v>
      </c>
      <c r="C66" s="3">
        <v>453</v>
      </c>
      <c r="D66" s="3">
        <f t="shared" si="5"/>
        <v>0.41942604856512145</v>
      </c>
      <c r="E66" s="3">
        <f t="shared" si="6"/>
        <v>0.58057395143487855</v>
      </c>
      <c r="F66" s="3">
        <f t="shared" si="3"/>
        <v>0.33554083885209718</v>
      </c>
      <c r="G66" s="11">
        <f t="shared" si="8"/>
        <v>4.5416643498926454E-4</v>
      </c>
      <c r="H66" s="3">
        <v>0.05</v>
      </c>
    </row>
    <row r="67" spans="1:8" x14ac:dyDescent="0.25">
      <c r="A67" s="3">
        <v>100</v>
      </c>
      <c r="B67" s="3">
        <f t="shared" si="7"/>
        <v>66</v>
      </c>
      <c r="C67" s="3">
        <v>263</v>
      </c>
      <c r="D67" s="3">
        <f t="shared" si="5"/>
        <v>0.4486692015209125</v>
      </c>
      <c r="E67" s="3">
        <f t="shared" si="6"/>
        <v>0.5513307984790875</v>
      </c>
      <c r="F67" s="3">
        <f t="shared" ref="F67:F74" si="9">D67*(80/100)</f>
        <v>0.35893536121673003</v>
      </c>
      <c r="G67" s="11">
        <f t="shared" si="8"/>
        <v>2.7906672666503702E-4</v>
      </c>
      <c r="H67" s="3">
        <v>0.05</v>
      </c>
    </row>
    <row r="68" spans="1:8" x14ac:dyDescent="0.25">
      <c r="A68" s="3">
        <v>101</v>
      </c>
      <c r="B68" s="3">
        <f t="shared" si="7"/>
        <v>67</v>
      </c>
      <c r="C68" s="3">
        <v>145</v>
      </c>
      <c r="D68" s="3">
        <f t="shared" si="5"/>
        <v>0.47586206896551719</v>
      </c>
      <c r="E68" s="3">
        <f t="shared" si="6"/>
        <v>0.52413793103448281</v>
      </c>
      <c r="F68" s="3">
        <f t="shared" si="9"/>
        <v>0.38068965517241377</v>
      </c>
      <c r="G68" s="11">
        <f t="shared" si="8"/>
        <v>1.6494647399269963E-4</v>
      </c>
      <c r="H68" s="3">
        <v>0.05</v>
      </c>
    </row>
    <row r="69" spans="1:8" x14ac:dyDescent="0.25">
      <c r="A69" s="3">
        <v>102</v>
      </c>
      <c r="B69" s="3">
        <f t="shared" si="7"/>
        <v>68</v>
      </c>
      <c r="C69" s="3">
        <v>76</v>
      </c>
      <c r="D69" s="3">
        <f>1-(C70/C69)</f>
        <v>0.51315789473684204</v>
      </c>
      <c r="E69" s="3">
        <f t="shared" si="6"/>
        <v>0.48684210526315796</v>
      </c>
      <c r="F69" s="3">
        <f t="shared" si="9"/>
        <v>0.41052631578947363</v>
      </c>
      <c r="G69" s="11">
        <f t="shared" si="8"/>
        <v>9.3905733986878305E-5</v>
      </c>
      <c r="H69" s="3">
        <v>0.05</v>
      </c>
    </row>
    <row r="70" spans="1:8" x14ac:dyDescent="0.25">
      <c r="A70" s="3">
        <v>103</v>
      </c>
      <c r="B70" s="3">
        <f t="shared" si="7"/>
        <v>69</v>
      </c>
      <c r="C70" s="3">
        <v>37</v>
      </c>
      <c r="D70" s="3">
        <f t="shared" si="5"/>
        <v>0.54054054054054057</v>
      </c>
      <c r="E70" s="3">
        <f t="shared" si="6"/>
        <v>0.45945945945945943</v>
      </c>
      <c r="F70" s="3">
        <f t="shared" si="9"/>
        <v>0.43243243243243246</v>
      </c>
      <c r="G70" s="11">
        <f t="shared" si="8"/>
        <v>5.0659672282394878E-5</v>
      </c>
      <c r="H70" s="3">
        <v>0.05</v>
      </c>
    </row>
    <row r="71" spans="1:8" x14ac:dyDescent="0.25">
      <c r="A71" s="3">
        <v>104</v>
      </c>
      <c r="B71" s="3">
        <f t="shared" si="7"/>
        <v>70</v>
      </c>
      <c r="C71" s="3">
        <v>17</v>
      </c>
      <c r="D71" s="3">
        <f t="shared" si="5"/>
        <v>0.58823529411764708</v>
      </c>
      <c r="E71" s="3">
        <f t="shared" si="6"/>
        <v>0.41176470588235292</v>
      </c>
      <c r="F71" s="3">
        <f t="shared" si="9"/>
        <v>0.4705882352941177</v>
      </c>
      <c r="G71" s="11">
        <f t="shared" si="8"/>
        <v>2.6219803356969236E-5</v>
      </c>
      <c r="H71" s="3">
        <v>0.05</v>
      </c>
    </row>
    <row r="72" spans="1:8" x14ac:dyDescent="0.25">
      <c r="A72" s="3">
        <v>105</v>
      </c>
      <c r="B72" s="3">
        <f t="shared" si="7"/>
        <v>71</v>
      </c>
      <c r="C72" s="3">
        <v>7</v>
      </c>
      <c r="D72" s="3">
        <f t="shared" si="5"/>
        <v>0.7142857142857143</v>
      </c>
      <c r="E72" s="3">
        <f t="shared" si="6"/>
        <v>0.2857142857142857</v>
      </c>
      <c r="F72" s="3">
        <f t="shared" si="9"/>
        <v>0.57142857142857151</v>
      </c>
      <c r="G72" s="11">
        <f t="shared" si="8"/>
        <v>1.2570082197605837E-5</v>
      </c>
      <c r="H72" s="3">
        <v>0.05</v>
      </c>
    </row>
    <row r="73" spans="1:8" x14ac:dyDescent="0.25">
      <c r="A73" s="3">
        <v>106</v>
      </c>
      <c r="B73" s="3">
        <f t="shared" si="7"/>
        <v>72</v>
      </c>
      <c r="C73" s="3">
        <v>2</v>
      </c>
      <c r="D73" s="3">
        <f>1-(C74/C73)</f>
        <v>1</v>
      </c>
      <c r="E73" s="3">
        <f>1-D73</f>
        <v>0</v>
      </c>
      <c r="F73" s="3">
        <f t="shared" si="9"/>
        <v>0.8</v>
      </c>
      <c r="G73" s="11">
        <f t="shared" si="8"/>
        <v>4.7586739748079234E-6</v>
      </c>
      <c r="H73" s="3">
        <v>0.05</v>
      </c>
    </row>
    <row r="74" spans="1:8" x14ac:dyDescent="0.25">
      <c r="A74" s="3">
        <v>107</v>
      </c>
      <c r="B74" s="3">
        <f t="shared" si="7"/>
        <v>73</v>
      </c>
      <c r="C74" s="3">
        <v>0</v>
      </c>
      <c r="D74" s="3"/>
      <c r="E74" s="3"/>
      <c r="F74" s="3">
        <f t="shared" si="9"/>
        <v>0</v>
      </c>
      <c r="G74" s="11">
        <f t="shared" si="8"/>
        <v>7.1380109622118837E-7</v>
      </c>
      <c r="H74" s="3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I2" sqref="I2"/>
    </sheetView>
  </sheetViews>
  <sheetFormatPr baseColWidth="10" defaultRowHeight="15" x14ac:dyDescent="0.25"/>
  <cols>
    <col min="1" max="1" width="19" customWidth="1"/>
    <col min="2" max="2" width="17.5703125" customWidth="1"/>
    <col min="3" max="3" width="17.7109375" customWidth="1"/>
    <col min="4" max="4" width="18.140625" customWidth="1"/>
    <col min="5" max="5" width="17.7109375" customWidth="1"/>
    <col min="6" max="6" width="17.85546875" customWidth="1"/>
    <col min="7" max="7" width="19.85546875" customWidth="1"/>
    <col min="8" max="8" width="20.28515625" customWidth="1"/>
    <col min="9" max="9" width="17.28515625" customWidth="1"/>
    <col min="10" max="10" width="13.5703125" bestFit="1" customWidth="1"/>
  </cols>
  <sheetData>
    <row r="1" spans="1:11" ht="47.25" x14ac:dyDescent="0.25">
      <c r="A1" s="12" t="s">
        <v>22</v>
      </c>
      <c r="B1" s="12" t="s">
        <v>23</v>
      </c>
      <c r="C1" s="12" t="s">
        <v>24</v>
      </c>
      <c r="D1" s="45" t="s">
        <v>25</v>
      </c>
      <c r="E1" s="12" t="s">
        <v>26</v>
      </c>
      <c r="F1" s="12" t="s">
        <v>27</v>
      </c>
      <c r="G1" s="12" t="s">
        <v>28</v>
      </c>
      <c r="H1" s="12" t="s">
        <v>29</v>
      </c>
      <c r="I1" s="52" t="s">
        <v>30</v>
      </c>
      <c r="J1" s="54"/>
    </row>
    <row r="2" spans="1:11" x14ac:dyDescent="0.25">
      <c r="A2" s="3">
        <f>178631.901797246*'Projection CF avec TD8890 '!G2</f>
        <v>178631.90179724601</v>
      </c>
      <c r="B2" s="3">
        <f>90*'Projection CF avec TD8890 '!G2</f>
        <v>90</v>
      </c>
      <c r="C2" s="3">
        <f>3%*A2</f>
        <v>5358.9570539173801</v>
      </c>
      <c r="D2" s="7">
        <f>'Provisions mathématiques '!B3</f>
        <v>179920.3393874169</v>
      </c>
      <c r="E2" s="15">
        <v>0</v>
      </c>
      <c r="F2" s="14">
        <f>0.95*(5/100)*D2*'Projection CF avec TD8890 '!G2</f>
        <v>8546.2161209023034</v>
      </c>
      <c r="G2" s="3">
        <f>D2*(4.2/100)</f>
        <v>7556.6542542715106</v>
      </c>
      <c r="H2" s="3">
        <f>G2*'Projection CF avec TD8890 '!G2</f>
        <v>7556.6542542715106</v>
      </c>
      <c r="I2" s="53">
        <f>1900000*'Projection CF avec TD8890 '!G2*'Projection CF avec TD8890 '!F2</f>
        <v>3202.4030538808915</v>
      </c>
      <c r="J2" s="55"/>
    </row>
    <row r="3" spans="1:11" x14ac:dyDescent="0.25">
      <c r="A3" s="3">
        <f>178631.901797246*'Projection CF avec TD8890 '!G3</f>
        <v>169399.22705062787</v>
      </c>
      <c r="B3" s="3">
        <f>90*'Projection CF avec TD8890 '!G3</f>
        <v>85.348307223763527</v>
      </c>
      <c r="C3" s="3">
        <f>3%*A3</f>
        <v>5081.9768115188363</v>
      </c>
      <c r="D3" s="7">
        <f>'Provisions mathématiques '!B4</f>
        <v>181041.29345389668</v>
      </c>
      <c r="E3" s="16">
        <f>(D3-D2)*'Projection CF avec TD8890 '!G3</f>
        <v>1063.0170227738167</v>
      </c>
      <c r="F3" s="14">
        <f>0.95*(5/100)*D3*'Projection CF avec TD8890 '!G3</f>
        <v>8154.9941873312046</v>
      </c>
      <c r="G3" s="3">
        <f>D3*(4.5/100)</f>
        <v>8146.8582054253502</v>
      </c>
      <c r="H3" s="3">
        <f>G3*'Projection CF avec TD8890 '!G3</f>
        <v>7725.7839669453515</v>
      </c>
      <c r="I3" s="53">
        <f>1900000*'Projection CF avec TD8890 '!G3*'Projection CF avec TD8890 '!F3</f>
        <v>3209.0211810654791</v>
      </c>
      <c r="J3" s="55"/>
    </row>
    <row r="4" spans="1:11" x14ac:dyDescent="0.25">
      <c r="A4" s="3">
        <f>178631.901797246*'Projection CF avec TD8890 '!G4</f>
        <v>160627.56382626417</v>
      </c>
      <c r="B4" s="3">
        <f>90*'Projection CF avec TD8890 '!G4</f>
        <v>80.928885596103825</v>
      </c>
      <c r="C4" s="3">
        <f t="shared" ref="C4:C26" si="0">3%*A4</f>
        <v>4818.8269147879246</v>
      </c>
      <c r="D4" s="7">
        <f>'Provisions mathématiques '!B5</f>
        <v>181952.60754125548</v>
      </c>
      <c r="E4" s="16">
        <f>(D4-D3)*'Projection CF avec TD8890 '!G4</f>
        <v>819.46259464419927</v>
      </c>
      <c r="F4" s="14">
        <f>0.95*(5/100)*D4*'Projection CF avec TD8890 '!G4</f>
        <v>7771.6448175767173</v>
      </c>
      <c r="G4" s="3">
        <f>D4*(4.7/100)</f>
        <v>8551.7725544390069</v>
      </c>
      <c r="H4" s="3">
        <f>G4*'Projection CF avec TD8890 '!G4</f>
        <v>7689.8380300232766</v>
      </c>
      <c r="I4" s="53">
        <f>1900000*'Projection CF avec TD8890 '!G4*'Projection CF avec TD8890 '!F4</f>
        <v>3235.7726472238505</v>
      </c>
      <c r="J4" s="55"/>
    </row>
    <row r="5" spans="1:11" x14ac:dyDescent="0.25">
      <c r="A5" s="3">
        <f>178631.901797246*'Projection CF avec TD8890 '!G5</f>
        <v>152291.96867613142</v>
      </c>
      <c r="B5" s="3">
        <f>90*'Projection CF avec TD8890 '!G5</f>
        <v>76.729167875114342</v>
      </c>
      <c r="C5" s="3">
        <f>3%*A5</f>
        <v>4568.7590602839427</v>
      </c>
      <c r="D5" s="7">
        <f>'Provisions mathématiques '!B6</f>
        <v>182628.47824381536</v>
      </c>
      <c r="E5" s="16">
        <f>(D5-D4)*'Projection CF avec TD8890 '!G5</f>
        <v>576.21107331765438</v>
      </c>
      <c r="F5" s="14">
        <f>0.95*(5/100)*D5*'Projection CF avec TD8890 '!G5</f>
        <v>7395.7136709161432</v>
      </c>
      <c r="G5" s="3">
        <f>D5*(4.7/100)</f>
        <v>8583.5384774593222</v>
      </c>
      <c r="H5" s="3">
        <f>G5*'Projection CF avec TD8890 '!G5</f>
        <v>7317.864053327552</v>
      </c>
      <c r="I5" s="53">
        <f>1900000*'Projection CF avec TD8890 '!G5*'Projection CF avec TD8890 '!F5</f>
        <v>3265.6309395207331</v>
      </c>
      <c r="J5" s="55"/>
    </row>
    <row r="6" spans="1:11" x14ac:dyDescent="0.25">
      <c r="A6" s="3">
        <f>178631.901797246*'Projection CF avec TD8890 '!G6</f>
        <v>144370.34610269614</v>
      </c>
      <c r="B6" s="3">
        <f>90*'Projection CF avec TD8890 '!G6</f>
        <v>72.738021700012894</v>
      </c>
      <c r="C6" s="3">
        <f t="shared" si="0"/>
        <v>4331.1103830808843</v>
      </c>
      <c r="D6" s="7">
        <f>'Provisions mathématiques '!B7</f>
        <v>183114.4257307986</v>
      </c>
      <c r="E6" s="16">
        <f>(D6-D5)*'Projection CF avec TD8890 '!G6</f>
        <v>392.74287614725773</v>
      </c>
      <c r="F6" s="14">
        <f>0.95*(5/100)*D6*'Projection CF avec TD8890 '!G6</f>
        <v>7029.6733437625644</v>
      </c>
      <c r="G6" s="3">
        <f>D6*(4.7/100)</f>
        <v>8606.3780093475343</v>
      </c>
      <c r="H6" s="3">
        <f>G6*'Projection CF avec TD8890 '!G6</f>
        <v>6955.6767822492748</v>
      </c>
      <c r="I6" s="53">
        <f>1900000*'Projection CF avec TD8890 '!G6*'Projection CF avec TD8890 '!F6</f>
        <v>3245.8346683449045</v>
      </c>
      <c r="J6" s="55"/>
      <c r="K6" s="5"/>
    </row>
    <row r="7" spans="1:11" x14ac:dyDescent="0.25">
      <c r="A7" s="3">
        <f>178631.901797246*'Projection CF avec TD8890 '!G7</f>
        <v>136846.66583981088</v>
      </c>
      <c r="B7" s="3">
        <f>90*'Projection CF avec TD8890 '!G7</f>
        <v>68.947370551774867</v>
      </c>
      <c r="C7" s="3">
        <f>3%*A7</f>
        <v>4105.3999751943265</v>
      </c>
      <c r="D7" s="7">
        <f>'Provisions mathématiques '!B8</f>
        <v>183257.83017113584</v>
      </c>
      <c r="E7" s="16">
        <f>(D7-D6)*'Projection CF avec TD8890 '!G7</f>
        <v>109.85954540779457</v>
      </c>
      <c r="F7" s="14">
        <f>0.95*(5/100)*D7*'Projection CF avec TD8890 '!G7</f>
        <v>6668.5490261985296</v>
      </c>
      <c r="G7" s="3">
        <f t="shared" ref="G7:G26" si="1">D7*(4.7/100)</f>
        <v>8613.1180180433839</v>
      </c>
      <c r="H7" s="3">
        <f>G7*'Projection CF avec TD8890 '!G7</f>
        <v>6598.3537732911764</v>
      </c>
      <c r="I7" s="53">
        <f>1900000*'Projection CF avec TD8890 '!G7*'Projection CF avec TD8890 '!F7</f>
        <v>3318.345995779212</v>
      </c>
      <c r="J7" s="55"/>
    </row>
    <row r="8" spans="1:11" x14ac:dyDescent="0.25">
      <c r="A8" s="3">
        <f>178631.901797246*'Projection CF avec TD8890 '!G8</f>
        <v>129692.35230779543</v>
      </c>
      <c r="B8" s="3">
        <f>90*'Projection CF avec TD8890 '!G8</f>
        <v>65.342817213859732</v>
      </c>
      <c r="C8" s="3">
        <f t="shared" si="0"/>
        <v>3890.7705692338627</v>
      </c>
      <c r="D8" s="7">
        <f>'Provisions mathématiques '!B9</f>
        <v>182954.14303409946</v>
      </c>
      <c r="E8" s="16">
        <f>(D8-D7)*'Projection CF avec TD8890 '!G8</f>
        <v>-220.48636761742878</v>
      </c>
      <c r="F8" s="14">
        <f>0.95*(5/100)*D8*'Projection CF avec TD8890 '!G8</f>
        <v>6309.4456502531857</v>
      </c>
      <c r="G8" s="3">
        <f t="shared" si="1"/>
        <v>8598.8447226026747</v>
      </c>
      <c r="H8" s="3">
        <f>G8*'Projection CF avec TD8890 '!G8</f>
        <v>6243.0304328820994</v>
      </c>
      <c r="I8" s="53">
        <f>1900000*'Projection CF avec TD8890 '!G8*'Projection CF avec TD8890 '!F8</f>
        <v>3434.1935349283071</v>
      </c>
      <c r="J8" s="55"/>
    </row>
    <row r="9" spans="1:11" x14ac:dyDescent="0.25">
      <c r="A9" s="3">
        <f>178631.901797246*'Projection CF avec TD8890 '!G9</f>
        <v>122884.86283857195</v>
      </c>
      <c r="B9" s="3">
        <f>90*'Projection CF avec TD8890 '!G9</f>
        <v>61.913004027828038</v>
      </c>
      <c r="C9" s="3">
        <f t="shared" si="0"/>
        <v>3686.5458851571584</v>
      </c>
      <c r="D9" s="7">
        <f>'Provisions mathématiques '!B10</f>
        <v>182258.48259754744</v>
      </c>
      <c r="E9" s="16">
        <f>(D9-D8)*'Projection CF avec TD8890 '!G9</f>
        <v>-478.56030455828557</v>
      </c>
      <c r="F9" s="14">
        <f>0.95*(5/100)*D9*'Projection CF avec TD8890 '!G9</f>
        <v>5955.5342548941062</v>
      </c>
      <c r="G9" s="3">
        <f t="shared" si="1"/>
        <v>8566.1486820847294</v>
      </c>
      <c r="H9" s="3">
        <f>G9*'Projection CF avec TD8890 '!G9</f>
        <v>5892.8444206320637</v>
      </c>
      <c r="I9" s="53">
        <f>1900000*'Projection CF avec TD8890 '!G9*'Projection CF avec TD8890 '!F9</f>
        <v>3486.1389605470267</v>
      </c>
      <c r="J9" s="55"/>
    </row>
    <row r="10" spans="1:11" x14ac:dyDescent="0.25">
      <c r="A10" s="3">
        <f>178631.901797246*'Projection CF avec TD8890 '!G10</f>
        <v>116412.86410061597</v>
      </c>
      <c r="B10" s="3">
        <f>90*'Projection CF avec TD8890 '!G10</f>
        <v>58.652220928305461</v>
      </c>
      <c r="C10" s="3">
        <f t="shared" si="0"/>
        <v>3492.3859230184789</v>
      </c>
      <c r="D10" s="7">
        <f>'Provisions mathématiques '!B11</f>
        <v>180805.38762433227</v>
      </c>
      <c r="E10" s="16">
        <f>(D10-D9)*'Projection CF avec TD8890 '!G10</f>
        <v>-946.96941554250998</v>
      </c>
      <c r="F10" s="14">
        <f>0.95*(5/100)*D10*'Projection CF avec TD8890 '!G10</f>
        <v>5596.8920349842938</v>
      </c>
      <c r="G10" s="3">
        <f>D10*(4.7/100)</f>
        <v>8497.8532183436164</v>
      </c>
      <c r="H10" s="3">
        <f>G10*'Projection CF avec TD8890 '!G10</f>
        <v>5537.9773819844595</v>
      </c>
      <c r="I10" s="53">
        <f>1900000*'Projection CF avec TD8890 '!G10*'Projection CF avec TD8890 '!F10</f>
        <v>3725.1407012792702</v>
      </c>
      <c r="J10" s="55"/>
    </row>
    <row r="11" spans="1:11" x14ac:dyDescent="0.25">
      <c r="A11" s="3">
        <f>178631.901797246*'Projection CF avec TD8890 '!G11</f>
        <v>110241.99512298947</v>
      </c>
      <c r="B11" s="3">
        <f>90*'Projection CF avec TD8890 '!G11</f>
        <v>55.543155848671695</v>
      </c>
      <c r="C11" s="3">
        <f t="shared" si="0"/>
        <v>3307.259853689684</v>
      </c>
      <c r="D11" s="7">
        <f>'Provisions mathématiques '!B12</f>
        <v>178746.37624516428</v>
      </c>
      <c r="E11" s="16">
        <f>(D11-D10)*'Projection CF avec TD8890 '!G11</f>
        <v>-1270.7109991924015</v>
      </c>
      <c r="F11" s="14">
        <f>0.95*(5/100)*D11*'Projection CF avec TD8890 '!G11</f>
        <v>5239.8505230621913</v>
      </c>
      <c r="G11" s="3">
        <f>D11*(4.7/100)</f>
        <v>8401.0796835227211</v>
      </c>
      <c r="H11" s="3">
        <f>G11*'Projection CF avec TD8890 '!G11</f>
        <v>5184.6942017667998</v>
      </c>
      <c r="I11" s="53">
        <f>1900000*'Projection CF avec TD8890 '!G11*'Projection CF avec TD8890 '!F11</f>
        <v>3831.8960133517257</v>
      </c>
      <c r="J11" s="55"/>
    </row>
    <row r="12" spans="1:11" x14ac:dyDescent="0.25">
      <c r="A12" s="3">
        <f>178631.901797246*'Projection CF avec TD8890 '!G12</f>
        <v>104369.63280244298</v>
      </c>
      <c r="B12" s="3">
        <f>90*'Projection CF avec TD8890 '!G12</f>
        <v>52.58448719244776</v>
      </c>
      <c r="C12" s="3">
        <f t="shared" si="0"/>
        <v>3131.0889840732893</v>
      </c>
      <c r="D12" s="7">
        <f>'Provisions mathématiques '!B13</f>
        <v>176147.01091331561</v>
      </c>
      <c r="E12" s="16">
        <f>(D12-D11)*'Projection CF avec TD8890 '!G12</f>
        <v>-1518.7365889009934</v>
      </c>
      <c r="F12" s="14">
        <f>0.95*(5/100)*D12*'Projection CF avec TD8890 '!G12</f>
        <v>4888.5945707729106</v>
      </c>
      <c r="G12" s="3">
        <f t="shared" si="1"/>
        <v>8278.909512925833</v>
      </c>
      <c r="H12" s="3">
        <f>G12*'Projection CF avec TD8890 '!G12</f>
        <v>4837.1356805542482</v>
      </c>
      <c r="I12" s="53">
        <f>1900000*'Projection CF avec TD8890 '!G12*'Projection CF avec TD8890 '!F12</f>
        <v>3871.5169269519106</v>
      </c>
      <c r="J12" s="55"/>
    </row>
    <row r="13" spans="1:11" x14ac:dyDescent="0.25">
      <c r="A13" s="3">
        <f>178631.901797246*'Projection CF avec TD8890 '!G13</f>
        <v>98787.16356679365</v>
      </c>
      <c r="B13" s="3">
        <f>90*'Projection CF avec TD8890 '!G13</f>
        <v>49.771875188917122</v>
      </c>
      <c r="C13" s="3">
        <f t="shared" si="0"/>
        <v>2963.6149070038095</v>
      </c>
      <c r="D13" s="7">
        <f>'Provisions mathématiques '!B14</f>
        <v>172944.98551043277</v>
      </c>
      <c r="E13" s="16">
        <f>(D13-D12)*'Projection CF avec TD8890 '!G13</f>
        <v>-1770.7867633780722</v>
      </c>
      <c r="F13" s="14">
        <f>0.95*(5/100)*D13*'Projection CF avec TD8890 '!G13</f>
        <v>4543.0035676142352</v>
      </c>
      <c r="G13" s="3">
        <f t="shared" si="1"/>
        <v>8128.4143189903407</v>
      </c>
      <c r="H13" s="3">
        <f>G13*'Projection CF avec TD8890 '!G13</f>
        <v>4495.1824774288216</v>
      </c>
      <c r="I13" s="53">
        <f>1900000*'Projection CF avec TD8890 '!G13*'Projection CF avec TD8890 '!F13</f>
        <v>3916.179768334352</v>
      </c>
      <c r="J13" s="55"/>
    </row>
    <row r="14" spans="1:11" x14ac:dyDescent="0.25">
      <c r="A14" s="3">
        <f>178631.901797246*'Projection CF avec TD8890 '!G14</f>
        <v>93479.618735928976</v>
      </c>
      <c r="B14" s="3">
        <f>90*'Projection CF avec TD8890 '!G14</f>
        <v>47.097778177286997</v>
      </c>
      <c r="C14" s="3">
        <f t="shared" si="0"/>
        <v>2804.3885620778692</v>
      </c>
      <c r="D14" s="7">
        <f>'Provisions mathématiques '!B15</f>
        <v>169036.30794182635</v>
      </c>
      <c r="E14" s="16">
        <f>(D14-D13)*'Projection CF avec TD8890 '!G14</f>
        <v>-2045.4447676973634</v>
      </c>
      <c r="F14" s="14">
        <f>0.95*(5/100)*D14*'Projection CF avec TD8890 '!G14</f>
        <v>4201.7626714356265</v>
      </c>
      <c r="G14" s="3">
        <f t="shared" si="1"/>
        <v>7944.7064732658382</v>
      </c>
      <c r="H14" s="3">
        <f>G14*'Projection CF avec TD8890 '!G14</f>
        <v>4157.5335906836726</v>
      </c>
      <c r="I14" s="53">
        <f>1900000*'Projection CF avec TD8890 '!G14*'Projection CF avec TD8890 '!F14</f>
        <v>3981.6703381328989</v>
      </c>
      <c r="J14" s="55"/>
    </row>
    <row r="15" spans="1:11" x14ac:dyDescent="0.25">
      <c r="A15" s="3">
        <f>178631.901797246*'Projection CF avec TD8890 '!G15</f>
        <v>88431.293933432331</v>
      </c>
      <c r="B15" s="3">
        <f>90*'Projection CF avec TD8890 '!G15</f>
        <v>44.554283831353189</v>
      </c>
      <c r="C15" s="3">
        <f t="shared" si="0"/>
        <v>2652.93881800297</v>
      </c>
      <c r="D15" s="7">
        <f>'Provisions mathématiques '!B16</f>
        <v>164215.13628378167</v>
      </c>
      <c r="E15" s="16">
        <f>(D15-D14)*'Projection CF avec TD8890 '!G15</f>
        <v>-2386.7094494688708</v>
      </c>
      <c r="F15" s="14">
        <f>0.95*(5/100)*D15*'Projection CF avec TD8890 '!G15</f>
        <v>3861.479667679087</v>
      </c>
      <c r="G15" s="3">
        <f t="shared" si="1"/>
        <v>7718.1114053377387</v>
      </c>
      <c r="H15" s="3">
        <f>G15*'Projection CF avec TD8890 '!G15</f>
        <v>3820.8325132824652</v>
      </c>
      <c r="I15" s="53">
        <f>1900000*'Projection CF avec TD8890 '!G15*'Projection CF avec TD8890 '!F15</f>
        <v>4105.1544316859972</v>
      </c>
      <c r="J15" s="55"/>
    </row>
    <row r="16" spans="1:11" x14ac:dyDescent="0.25">
      <c r="A16" s="3">
        <f>178631.901797246*'Projection CF avec TD8890 '!G16</f>
        <v>83623.775792916771</v>
      </c>
      <c r="B16" s="3">
        <f>90*'Projection CF avec TD8890 '!G16</f>
        <v>42.13211495617935</v>
      </c>
      <c r="C16" s="3">
        <f t="shared" si="0"/>
        <v>2508.7132737875031</v>
      </c>
      <c r="D16" s="7">
        <f>'Provisions mathématiques '!B17</f>
        <v>158165.46398703184</v>
      </c>
      <c r="E16" s="16">
        <f>(D16-D15)*'Projection CF avec TD8890 '!G16</f>
        <v>-2832.0609850430847</v>
      </c>
      <c r="F16" s="14">
        <f>0.95*(5/100)*D16*'Projection CF avec TD8890 '!G16</f>
        <v>3517.0295751439539</v>
      </c>
      <c r="G16" s="3">
        <f t="shared" si="1"/>
        <v>7433.7768073904963</v>
      </c>
      <c r="H16" s="3">
        <f>G16*'Projection CF avec TD8890 '!G16</f>
        <v>3480.0082111950701</v>
      </c>
      <c r="I16" s="53">
        <f>1900000*'Projection CF avec TD8890 '!G16*'Projection CF avec TD8890 '!F16</f>
        <v>4316.1957792935727</v>
      </c>
      <c r="J16" s="55"/>
    </row>
    <row r="17" spans="1:11" x14ac:dyDescent="0.25">
      <c r="A17" s="3">
        <f>178631.901797246*'Projection CF avec TD8890 '!G17</f>
        <v>79036.792129279114</v>
      </c>
      <c r="B17" s="3">
        <f>90*'Projection CF avec TD8890 '!G17</f>
        <v>39.821057829351211</v>
      </c>
      <c r="C17" s="3">
        <f t="shared" si="0"/>
        <v>2371.1037638783732</v>
      </c>
      <c r="D17" s="7">
        <f>'Provisions mathématiques '!B18</f>
        <v>150818.86596893333</v>
      </c>
      <c r="E17" s="16">
        <f>(D17-D16)*'Projection CF avec TD8890 '!G17</f>
        <v>-3250.5478280855291</v>
      </c>
      <c r="F17" s="14">
        <f>0.95*(5/100)*D17*'Projection CF avec TD8890 '!G17</f>
        <v>3169.7102468504222</v>
      </c>
      <c r="G17" s="3">
        <f t="shared" si="1"/>
        <v>7088.4867005398664</v>
      </c>
      <c r="H17" s="3">
        <f>G17*'Projection CF avec TD8890 '!G17</f>
        <v>3136.3448758309441</v>
      </c>
      <c r="I17" s="53">
        <f>1900000*'Projection CF avec TD8890 '!G17*'Projection CF avec TD8890 '!F17</f>
        <v>4496.9903128355736</v>
      </c>
      <c r="J17" s="55"/>
    </row>
    <row r="18" spans="1:11" x14ac:dyDescent="0.25">
      <c r="A18" s="3">
        <f>178631.901797246*'Projection CF avec TD8890 '!G18</f>
        <v>74662.159927054308</v>
      </c>
      <c r="B18" s="3">
        <f>90*'Projection CF avec TD8890 '!G18</f>
        <v>37.616989607275649</v>
      </c>
      <c r="C18" s="3">
        <f t="shared" si="0"/>
        <v>2239.8647978116292</v>
      </c>
      <c r="D18" s="7">
        <f>'Provisions mathématiques '!B19</f>
        <v>142099.56186697734</v>
      </c>
      <c r="E18" s="16">
        <f>(D18-D17)*'Projection CF avec TD8890 '!G18</f>
        <v>-3644.3774642883823</v>
      </c>
      <c r="F18" s="14">
        <f>0.95*(5/100)*D18*'Projection CF avec TD8890 '!G18</f>
        <v>2821.1610304728247</v>
      </c>
      <c r="G18" s="3">
        <f t="shared" si="1"/>
        <v>6678.6794077479353</v>
      </c>
      <c r="H18" s="3">
        <f>G18*'Projection CF avec TD8890 '!G18</f>
        <v>2791.4645985731108</v>
      </c>
      <c r="I18" s="53">
        <f>1900000*'Projection CF avec TD8890 '!G18*'Projection CF avec TD8890 '!F18</f>
        <v>4650.0986365435547</v>
      </c>
      <c r="J18" s="55"/>
    </row>
    <row r="19" spans="1:11" x14ac:dyDescent="0.25">
      <c r="A19" s="3">
        <f>178631.901797246*'Projection CF avec TD8890 '!G19</f>
        <v>70491.86458175919</v>
      </c>
      <c r="B19" s="3">
        <f>90*'Projection CF avec TD8890 '!G19</f>
        <v>35.515872296759802</v>
      </c>
      <c r="C19" s="3">
        <f t="shared" si="0"/>
        <v>2114.7559374527755</v>
      </c>
      <c r="D19" s="7">
        <f>'Provisions mathématiques '!B20</f>
        <v>131784.29586374262</v>
      </c>
      <c r="E19" s="16">
        <f>(D19-D18)*'Projection CF avec TD8890 '!G19</f>
        <v>-4070.618556422135</v>
      </c>
      <c r="F19" s="14">
        <f>0.95*(5/100)*D19*'Projection CF avec TD8890 '!G19</f>
        <v>2470.2291730468551</v>
      </c>
      <c r="G19" s="3">
        <f t="shared" si="1"/>
        <v>6193.8619055959034</v>
      </c>
      <c r="H19" s="3">
        <f>G19*'Projection CF avec TD8890 '!G19</f>
        <v>2444.2267606989935</v>
      </c>
      <c r="I19" s="53">
        <f>1900000*'Projection CF avec TD8890 '!G19*'Projection CF avec TD8890 '!F19</f>
        <v>4824.8037350560435</v>
      </c>
      <c r="J19" s="55"/>
    </row>
    <row r="20" spans="1:11" x14ac:dyDescent="0.25">
      <c r="A20" s="3">
        <f>178631.901797246*'Projection CF avec TD8890 '!G20</f>
        <v>66513.65879109675</v>
      </c>
      <c r="B20" s="3">
        <f>90*'Projection CF avec TD8890 '!G20</f>
        <v>33.511535347103369</v>
      </c>
      <c r="C20" s="3">
        <f t="shared" si="0"/>
        <v>1995.4097637329023</v>
      </c>
      <c r="D20" s="7">
        <f>'Provisions mathématiques '!B21</f>
        <v>119769.62025114603</v>
      </c>
      <c r="E20" s="16">
        <f>(D20-D19)*'Projection CF avec TD8890 '!G20</f>
        <v>-4473.6691830612381</v>
      </c>
      <c r="F20" s="14">
        <f>0.95*(5/100)*D20*'Projection CF avec TD8890 '!G20</f>
        <v>2118.3225941264755</v>
      </c>
      <c r="G20" s="3">
        <f t="shared" si="1"/>
        <v>5629.172151803863</v>
      </c>
      <c r="H20" s="3">
        <f>G20*'Projection CF avec TD8890 '!G20</f>
        <v>2096.0244615567231</v>
      </c>
      <c r="I20" s="53">
        <f>1900000*'Projection CF avec TD8890 '!G20*'Projection CF avec TD8890 '!F20</f>
        <v>4971.8848266060186</v>
      </c>
      <c r="J20" s="55"/>
    </row>
    <row r="21" spans="1:11" x14ac:dyDescent="0.25">
      <c r="A21" s="3">
        <f>178631.901797246*'Projection CF avec TD8890 '!G21</f>
        <v>62720.53519780848</v>
      </c>
      <c r="B21" s="3">
        <f>90*'Projection CF avec TD8890 '!G21</f>
        <v>31.600448245856331</v>
      </c>
      <c r="C21" s="3">
        <f t="shared" si="0"/>
        <v>1881.6160559342543</v>
      </c>
      <c r="D21" s="7">
        <f>'Provisions mathématiques '!B22</f>
        <v>105816.81591512075</v>
      </c>
      <c r="E21" s="16">
        <f>(D21-D20)*'Projection CF avec TD8890 '!G21</f>
        <v>-4899.054125612518</v>
      </c>
      <c r="F21" s="14">
        <f>0.95*(5/100)*D21*'Projection CF avec TD8890 '!G21</f>
        <v>1764.8143745131811</v>
      </c>
      <c r="G21" s="3">
        <f t="shared" si="1"/>
        <v>4973.3903480106756</v>
      </c>
      <c r="H21" s="3">
        <f>G21*'Projection CF avec TD8890 '!G21</f>
        <v>1746.2373810972529</v>
      </c>
      <c r="I21" s="53">
        <f>1900000*'Projection CF avec TD8890 '!G21*'Projection CF avec TD8890 '!F21</f>
        <v>5130.1224226152981</v>
      </c>
      <c r="J21" s="55"/>
    </row>
    <row r="22" spans="1:11" x14ac:dyDescent="0.25">
      <c r="A22" s="3">
        <f>178631.901797246*'Projection CF avec TD8890 '!G22</f>
        <v>59102.19079328412</v>
      </c>
      <c r="B22" s="3">
        <f>90*'Projection CF avec TD8890 '!G22</f>
        <v>29.777420034597526</v>
      </c>
      <c r="C22" s="3">
        <f t="shared" si="0"/>
        <v>1773.0657237985235</v>
      </c>
      <c r="D22" s="7">
        <f>'Provisions mathématiques '!B23</f>
        <v>89534.787805343643</v>
      </c>
      <c r="E22" s="16">
        <f>(D22-D21)*'Projection CF avec TD8890 '!G22</f>
        <v>-5387.0754448884099</v>
      </c>
      <c r="F22" s="14">
        <f>0.95*(5/100)*D22*'Projection CF avec TD8890 '!G22</f>
        <v>1407.1162416549246</v>
      </c>
      <c r="G22" s="3">
        <f t="shared" si="1"/>
        <v>4208.1350268511515</v>
      </c>
      <c r="H22" s="3">
        <f>G22*'Projection CF avec TD8890 '!G22</f>
        <v>1392.3044917427674</v>
      </c>
      <c r="I22" s="53">
        <f>1900000*'Projection CF avec TD8890 '!G22*'Projection CF avec TD8890 '!F22</f>
        <v>5331.1141564455038</v>
      </c>
      <c r="J22" s="55"/>
    </row>
    <row r="23" spans="1:11" s="13" customFormat="1" x14ac:dyDescent="0.25">
      <c r="A23" s="3">
        <f>178631.901797246*'Projection CF avec TD8890 '!G23</f>
        <v>55645.867011270406</v>
      </c>
      <c r="B23" s="3">
        <f>90*'Projection CF avec TD8890 '!G23</f>
        <v>28.036022572825495</v>
      </c>
      <c r="C23" s="3">
        <f t="shared" si="0"/>
        <v>1669.3760103381121</v>
      </c>
      <c r="D23" s="7">
        <f>'Provisions mathématiques '!B24</f>
        <v>71108.341935892648</v>
      </c>
      <c r="E23" s="16">
        <f>(D23-D22)*'Projection CF avec TD8890 '!G23</f>
        <v>-5740.0472481430579</v>
      </c>
      <c r="F23" s="14">
        <f>0.95*(5/100)*D23*'Projection CF avec TD8890 '!G23</f>
        <v>1052.1751809162977</v>
      </c>
      <c r="G23" s="3">
        <f t="shared" si="1"/>
        <v>3342.0920709869542</v>
      </c>
      <c r="H23" s="3">
        <f>G23*'Projection CF avec TD8890 '!G23</f>
        <v>1041.0996526961262</v>
      </c>
      <c r="I23" s="53">
        <f>1900000*'Projection CF avec TD8890 '!G23*'Projection CF avec TD8890 '!F23</f>
        <v>5408.0403876004038</v>
      </c>
      <c r="J23" s="55"/>
      <c r="K23"/>
    </row>
    <row r="24" spans="1:11" s="13" customFormat="1" x14ac:dyDescent="0.25">
      <c r="A24" s="3">
        <f>178631.901797246*'Projection CF avec TD8890 '!G24</f>
        <v>52355.1270610051</v>
      </c>
      <c r="B24" s="3">
        <f>90*'Projection CF avec TD8890 '!G24</f>
        <v>26.378051110034725</v>
      </c>
      <c r="C24" s="3">
        <f t="shared" si="0"/>
        <v>1570.653811830153</v>
      </c>
      <c r="D24" s="7">
        <f>'Provisions mathématiques '!B25</f>
        <v>50392.812721483315</v>
      </c>
      <c r="E24" s="16">
        <f>(D24-D23)*'Projection CF avec TD8890 '!G24</f>
        <v>-6071.5032043234096</v>
      </c>
      <c r="F24" s="14">
        <f>0.95*(5/100)*D24*'Projection CF avec TD8890 '!G24</f>
        <v>701.55610003800575</v>
      </c>
      <c r="G24" s="3">
        <f t="shared" si="1"/>
        <v>2368.462197909716</v>
      </c>
      <c r="H24" s="3">
        <f>G24*'Projection CF avec TD8890 '!G24</f>
        <v>694.1712989849741</v>
      </c>
      <c r="I24" s="53">
        <f>1900000*'Projection CF avec TD8890 '!G24*'Projection CF avec TD8890 '!F24</f>
        <v>5460.5340755657862</v>
      </c>
      <c r="J24" s="55"/>
      <c r="K24"/>
    </row>
    <row r="25" spans="1:11" s="13" customFormat="1" x14ac:dyDescent="0.25">
      <c r="A25" s="3">
        <f>178631.901797246*'Projection CF avec TD8890 '!G25</f>
        <v>49223.988820193284</v>
      </c>
      <c r="B25" s="3">
        <f>90*'Projection CF avec TD8890 '!G25</f>
        <v>24.800491677269349</v>
      </c>
      <c r="C25" s="3">
        <f t="shared" si="0"/>
        <v>1476.7196646057985</v>
      </c>
      <c r="D25" s="7">
        <f>'Provisions mathématiques '!B26</f>
        <v>26685.711322066862</v>
      </c>
      <c r="E25" s="16">
        <f>(D25-D24)*'Projection CF avec TD8890 '!G25</f>
        <v>-6532.7530105378701</v>
      </c>
      <c r="F25" s="14">
        <f>0.95*(5/100)*D25*'Projection CF avec TD8890 '!G25</f>
        <v>349.29323525982505</v>
      </c>
      <c r="G25" s="3">
        <f t="shared" si="1"/>
        <v>1254.2284321371426</v>
      </c>
      <c r="H25" s="3">
        <f>G25*'Projection CF avec TD8890 '!G25</f>
        <v>345.61646436235321</v>
      </c>
      <c r="I25" s="53">
        <f>1900000*'Projection CF avec TD8890 '!G25*'Projection CF avec TD8890 '!F25</f>
        <v>5610.5010047749165</v>
      </c>
      <c r="J25" s="55"/>
      <c r="K25"/>
    </row>
    <row r="26" spans="1:11" s="13" customFormat="1" x14ac:dyDescent="0.25">
      <c r="A26" s="32">
        <f>178631.901797246*'Projection CF avec TD8890 '!G26</f>
        <v>46235.308082068717</v>
      </c>
      <c r="B26" s="3">
        <f>90*'Projection CF avec TD8890 '!G26</f>
        <v>23.294706519495488</v>
      </c>
      <c r="C26" s="3">
        <f t="shared" si="0"/>
        <v>1387.0592424620615</v>
      </c>
      <c r="D26" s="33">
        <f>'Provisions mathématiques '!B27</f>
        <v>0</v>
      </c>
      <c r="E26" s="57"/>
      <c r="F26" s="58">
        <f>0.95*(5/100)*D26*'Projection CF avec TD8890 '!G26</f>
        <v>0</v>
      </c>
      <c r="G26" s="3">
        <f t="shared" si="1"/>
        <v>0</v>
      </c>
      <c r="H26" s="32">
        <f>G26*'Projection CF avec TD8890 '!G26</f>
        <v>0</v>
      </c>
      <c r="I26" s="56">
        <v>0</v>
      </c>
      <c r="J26" s="55"/>
      <c r="K26"/>
    </row>
    <row r="27" spans="1:11" s="13" customFormat="1" x14ac:dyDescent="0.25">
      <c r="A27" s="59"/>
      <c r="B27" s="59"/>
      <c r="C27" s="59"/>
      <c r="D27" s="34"/>
      <c r="E27" s="60"/>
      <c r="F27" s="61"/>
      <c r="G27" s="59"/>
      <c r="H27" s="59"/>
      <c r="I27" s="59"/>
      <c r="J27" s="5"/>
      <c r="K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21" sqref="C21"/>
    </sheetView>
  </sheetViews>
  <sheetFormatPr baseColWidth="10" defaultRowHeight="15" x14ac:dyDescent="0.25"/>
  <cols>
    <col min="1" max="1" width="18" customWidth="1"/>
    <col min="2" max="2" width="25.28515625" customWidth="1"/>
    <col min="3" max="3" width="19" customWidth="1"/>
    <col min="4" max="4" width="20.85546875" customWidth="1"/>
    <col min="5" max="5" width="24.5703125" customWidth="1"/>
    <col min="7" max="7" width="20.140625" customWidth="1"/>
    <col min="8" max="8" width="18.7109375" customWidth="1"/>
  </cols>
  <sheetData>
    <row r="1" spans="1:8" ht="15.75" x14ac:dyDescent="0.25">
      <c r="A1" s="38" t="s">
        <v>31</v>
      </c>
      <c r="B1" s="38" t="s">
        <v>32</v>
      </c>
      <c r="C1" s="38" t="s">
        <v>33</v>
      </c>
      <c r="D1" s="38" t="s">
        <v>35</v>
      </c>
      <c r="E1" s="38" t="s">
        <v>34</v>
      </c>
    </row>
    <row r="2" spans="1:8" x14ac:dyDescent="0.25">
      <c r="A2" s="14">
        <f>'Inflows &amp; Outflows TD8890'!A2+'Inflows &amp; Outflows TD8890'!H2-('Inflows &amp; Outflows TD8890'!E2+'Inflows &amp; Outflows TD8890'!I2+'Inflows &amp; Outflows TD8890'!J2+'Inflows &amp; Outflows TD8890'!F2+'Inflows &amp; Outflows TD8890'!B2+'Inflows &amp; Outflows TD8890'!C2)</f>
        <v>168990.97982281694</v>
      </c>
      <c r="B2" s="14">
        <f>A2*(1+(2.75/100))^(-1)</f>
        <v>164468.10688352011</v>
      </c>
      <c r="C2" s="14">
        <f>B2*0.37</f>
        <v>60853.19954690244</v>
      </c>
      <c r="D2" s="14">
        <f>B2-C2</f>
        <v>103614.90733661767</v>
      </c>
      <c r="E2" s="14">
        <f>D2*(1+(2.75/100))^(-1)</f>
        <v>100841.75896507801</v>
      </c>
    </row>
    <row r="3" spans="1:8" x14ac:dyDescent="0.25">
      <c r="A3" s="14">
        <f>'Inflows &amp; Outflows TD8890'!A3+'Inflows &amp; Outflows TD8890'!H3-('Inflows &amp; Outflows TD8890'!E3+'Inflows &amp; Outflows TD8890'!I3+'Inflows &amp; Outflows TD8890'!J3+'Inflows &amp; Outflows TD8890'!F3+'Inflows &amp; Outflows TD8890'!B3+'Inflows &amp; Outflows TD8890'!C3)</f>
        <v>159530.65350766011</v>
      </c>
      <c r="B3" s="14">
        <f>A3*(1+(2.75/100))^(-1)</f>
        <v>155260.97664979086</v>
      </c>
      <c r="C3" s="14">
        <f t="shared" ref="C3:C27" si="0">B3*0.37</f>
        <v>57446.561360422616</v>
      </c>
      <c r="D3" s="14">
        <f>B3-C3</f>
        <v>97814.415289368248</v>
      </c>
      <c r="E3" s="14">
        <f t="shared" ref="E3:E27" si="1">D3*(1+(2.75/100))^(-1)</f>
        <v>95196.511230528704</v>
      </c>
    </row>
    <row r="4" spans="1:8" x14ac:dyDescent="0.25">
      <c r="A4" s="14">
        <f>'Inflows &amp; Outflows TD8890'!A4+'Inflows &amp; Outflows TD8890'!H4-('Inflows &amp; Outflows TD8890'!E4+'Inflows &amp; Outflows TD8890'!I4+'Inflows &amp; Outflows TD8890'!J4+'Inflows &amp; Outflows TD8890'!F4+'Inflows &amp; Outflows TD8890'!B4+'Inflows &amp; Outflows TD8890'!C4)</f>
        <v>151590.76599645865</v>
      </c>
      <c r="B4" s="14">
        <f>A4*(1+(2.75/100))^(-1)</f>
        <v>147533.59221066535</v>
      </c>
      <c r="C4" s="14">
        <f>B4*0.37</f>
        <v>54587.42911794618</v>
      </c>
      <c r="D4" s="14">
        <f t="shared" ref="D4:D27" si="2">B4-C4</f>
        <v>92946.163092719158</v>
      </c>
      <c r="E4" s="14">
        <f>D4*(1+(2.75/100))^(-1)</f>
        <v>90458.552888291146</v>
      </c>
    </row>
    <row r="5" spans="1:8" x14ac:dyDescent="0.25">
      <c r="A5" s="14">
        <f>'Inflows &amp; Outflows TD8890'!A5+'Inflows &amp; Outflows TD8890'!H5-('Inflows &amp; Outflows TD8890'!E5+'Inflows &amp; Outflows TD8890'!I5+'Inflows &amp; Outflows TD8890'!J5+'Inflows &amp; Outflows TD8890'!F5+'Inflows &amp; Outflows TD8890'!B5+'Inflows &amp; Outflows TD8890'!C5)</f>
        <v>143726.7888175454</v>
      </c>
      <c r="B5" s="14">
        <f t="shared" ref="B5:B27" si="3">A5*(1+(2.75/100))^(-1)</f>
        <v>139880.08644043346</v>
      </c>
      <c r="C5" s="14">
        <f t="shared" si="0"/>
        <v>51755.631982960382</v>
      </c>
      <c r="D5" s="14">
        <f>B5-C5</f>
        <v>88124.454457473068</v>
      </c>
      <c r="E5" s="14">
        <f>D5*(1+(2.75/100))^(-1)</f>
        <v>85765.892416032177</v>
      </c>
    </row>
    <row r="6" spans="1:8" x14ac:dyDescent="0.25">
      <c r="A6" s="14">
        <f>'Inflows &amp; Outflows TD8890'!A6+'Inflows &amp; Outflows TD8890'!H6-('Inflows &amp; Outflows TD8890'!E6+'Inflows &amp; Outflows TD8890'!I6+'Inflows &amp; Outflows TD8890'!J6+'Inflows &amp; Outflows TD8890'!F6+'Inflows &amp; Outflows TD8890'!B6+'Inflows &amp; Outflows TD8890'!C6)</f>
        <v>136253.92359190978</v>
      </c>
      <c r="B6" s="14">
        <f t="shared" si="3"/>
        <v>132607.22490696816</v>
      </c>
      <c r="C6" s="14">
        <f t="shared" si="0"/>
        <v>49064.673215578216</v>
      </c>
      <c r="D6" s="14">
        <f t="shared" si="2"/>
        <v>83542.551691389934</v>
      </c>
      <c r="E6" s="14">
        <f t="shared" si="1"/>
        <v>81306.619650987763</v>
      </c>
    </row>
    <row r="7" spans="1:8" x14ac:dyDescent="0.25">
      <c r="A7" s="14">
        <f>'Inflows &amp; Outflows TD8890'!A7+'Inflows &amp; Outflows TD8890'!H7-('Inflows &amp; Outflows TD8890'!E7+'Inflows &amp; Outflows TD8890'!I7+'Inflows &amp; Outflows TD8890'!J7+'Inflows &amp; Outflows TD8890'!F7+'Inflows &amp; Outflows TD8890'!B7+'Inflows &amp; Outflows TD8890'!C7)</f>
        <v>129173.91769997041</v>
      </c>
      <c r="B7" s="14">
        <f>A7*(1+(2.75/100))^(-1)</f>
        <v>125716.70822381547</v>
      </c>
      <c r="C7" s="14">
        <f t="shared" si="0"/>
        <v>46515.182042811721</v>
      </c>
      <c r="D7" s="14">
        <f t="shared" si="2"/>
        <v>79201.526181003748</v>
      </c>
      <c r="E7" s="14">
        <f>D7*(1+(2.75/100))^(-1)</f>
        <v>77081.777305113137</v>
      </c>
    </row>
    <row r="8" spans="1:8" ht="15.75" x14ac:dyDescent="0.25">
      <c r="A8" s="14">
        <f>'Inflows &amp; Outflows TD8890'!A8+'Inflows &amp; Outflows TD8890'!H8-('Inflows &amp; Outflows TD8890'!E8+'Inflows &amp; Outflows TD8890'!I8+'Inflows &amp; Outflows TD8890'!J8+'Inflows &amp; Outflows TD8890'!F8+'Inflows &amp; Outflows TD8890'!B8+'Inflows &amp; Outflows TD8890'!C8)</f>
        <v>122456.11653666575</v>
      </c>
      <c r="B8" s="14">
        <f>A8*(1+(2.75/100))^(-1)</f>
        <v>119178.70222546544</v>
      </c>
      <c r="C8" s="14">
        <f>B8*0.37</f>
        <v>44096.11982342221</v>
      </c>
      <c r="D8" s="14">
        <f t="shared" si="2"/>
        <v>75082.582402043234</v>
      </c>
      <c r="E8" s="14">
        <f t="shared" si="1"/>
        <v>73073.072897365666</v>
      </c>
      <c r="G8" s="18" t="s">
        <v>36</v>
      </c>
      <c r="H8" s="17">
        <f>SUM(E2:E26)</f>
        <v>1421305.8974562183</v>
      </c>
    </row>
    <row r="9" spans="1:8" x14ac:dyDescent="0.25">
      <c r="A9" s="14">
        <f>'Inflows &amp; Outflows TD8890'!A9+'Inflows &amp; Outflows TD8890'!H9-('Inflows &amp; Outflows TD8890'!E9+'Inflows &amp; Outflows TD8890'!I9+'Inflows &amp; Outflows TD8890'!J9+'Inflows &amp; Outflows TD8890'!F9+'Inflows &amp; Outflows TD8890'!B9+'Inflows &amp; Outflows TD8890'!C9)</f>
        <v>116066.13545913617</v>
      </c>
      <c r="B9" s="14">
        <f t="shared" si="3"/>
        <v>112959.74253930527</v>
      </c>
      <c r="C9" s="14">
        <f t="shared" si="0"/>
        <v>41795.104739542949</v>
      </c>
      <c r="D9" s="14">
        <f t="shared" si="2"/>
        <v>71164.63779976232</v>
      </c>
      <c r="E9" s="14">
        <f t="shared" si="1"/>
        <v>69259.988126289361</v>
      </c>
    </row>
    <row r="10" spans="1:8" x14ac:dyDescent="0.25">
      <c r="A10" s="14">
        <f>'Inflows &amp; Outflows TD8890'!A10+'Inflows &amp; Outflows TD8890'!H10-('Inflows &amp; Outflows TD8890'!E10+'Inflows &amp; Outflows TD8890'!I10+'Inflows &amp; Outflows TD8890'!J10+'Inflows &amp; Outflows TD8890'!F10+'Inflows &amp; Outflows TD8890'!B10+'Inflows &amp; Outflows TD8890'!C10)</f>
        <v>110024.74001793259</v>
      </c>
      <c r="B10" s="14">
        <f t="shared" si="3"/>
        <v>107080.03894689302</v>
      </c>
      <c r="C10" s="14">
        <f t="shared" si="0"/>
        <v>39619.614410350419</v>
      </c>
      <c r="D10" s="14">
        <f t="shared" si="2"/>
        <v>67460.424536542603</v>
      </c>
      <c r="E10" s="14">
        <f t="shared" si="1"/>
        <v>65654.914390795719</v>
      </c>
    </row>
    <row r="11" spans="1:8" x14ac:dyDescent="0.25">
      <c r="A11" s="14">
        <f>'Inflows &amp; Outflows TD8890'!A11+'Inflows &amp; Outflows TD8890'!H11-('Inflows &amp; Outflows TD8890'!E11+'Inflows &amp; Outflows TD8890'!I11+'Inflows &amp; Outflows TD8890'!J11+'Inflows &amp; Outflows TD8890'!F11+'Inflows &amp; Outflows TD8890'!B11+'Inflows &amp; Outflows TD8890'!C11)</f>
        <v>104262.8507779964</v>
      </c>
      <c r="B11" s="14">
        <f t="shared" si="3"/>
        <v>101472.3608544977</v>
      </c>
      <c r="C11" s="14">
        <f t="shared" si="0"/>
        <v>37544.773516164147</v>
      </c>
      <c r="D11" s="14">
        <f t="shared" si="2"/>
        <v>63927.587338333557</v>
      </c>
      <c r="E11" s="14">
        <f t="shared" si="1"/>
        <v>62216.63001297669</v>
      </c>
    </row>
    <row r="12" spans="1:8" x14ac:dyDescent="0.25">
      <c r="A12" s="14">
        <f>'Inflows &amp; Outflows TD8890'!A12+'Inflows &amp; Outflows TD8890'!H12-('Inflows &amp; Outflows TD8890'!E12+'Inflows &amp; Outflows TD8890'!I12+'Inflows &amp; Outflows TD8890'!J12+'Inflows &amp; Outflows TD8890'!F12+'Inflows &amp; Outflows TD8890'!B12+'Inflows &amp; Outflows TD8890'!C12)</f>
        <v>98781.720102907668</v>
      </c>
      <c r="B12" s="14">
        <f t="shared" si="3"/>
        <v>96137.927107452706</v>
      </c>
      <c r="C12" s="14">
        <f t="shared" si="0"/>
        <v>35571.033029757498</v>
      </c>
      <c r="D12" s="14">
        <f t="shared" si="2"/>
        <v>60566.894077695208</v>
      </c>
      <c r="E12" s="14">
        <f t="shared" si="1"/>
        <v>58945.882314058588</v>
      </c>
    </row>
    <row r="13" spans="1:8" x14ac:dyDescent="0.25">
      <c r="A13" s="14">
        <f>'Inflows &amp; Outflows TD8890'!A13+'Inflows &amp; Outflows TD8890'!H13-('Inflows &amp; Outflows TD8890'!E13+'Inflows &amp; Outflows TD8890'!I13+'Inflows &amp; Outflows TD8890'!J13+'Inflows &amp; Outflows TD8890'!F13+'Inflows &amp; Outflows TD8890'!B13+'Inflows &amp; Outflows TD8890'!C13)</f>
        <v>93580.562689459228</v>
      </c>
      <c r="B13" s="14">
        <f t="shared" si="3"/>
        <v>91075.973420398266</v>
      </c>
      <c r="C13" s="14">
        <f t="shared" si="0"/>
        <v>33698.110165547361</v>
      </c>
      <c r="D13" s="14">
        <f t="shared" si="2"/>
        <v>57377.863254850905</v>
      </c>
      <c r="E13" s="14">
        <f t="shared" si="1"/>
        <v>55842.202681120099</v>
      </c>
    </row>
    <row r="14" spans="1:8" x14ac:dyDescent="0.25">
      <c r="A14" s="14">
        <f>'Inflows &amp; Outflows TD8890'!A14+'Inflows &amp; Outflows TD8890'!H14-('Inflows &amp; Outflows TD8890'!E14+'Inflows &amp; Outflows TD8890'!I14+'Inflows &amp; Outflows TD8890'!J14+'Inflows &amp; Outflows TD8890'!F14+'Inflows &amp; Outflows TD8890'!B14+'Inflows &amp; Outflows TD8890'!C14)</f>
        <v>88647.677744486326</v>
      </c>
      <c r="B14" s="14">
        <f t="shared" si="3"/>
        <v>86275.112160084012</v>
      </c>
      <c r="C14" s="14">
        <f t="shared" si="0"/>
        <v>31921.791499231083</v>
      </c>
      <c r="D14" s="14">
        <f t="shared" si="2"/>
        <v>54353.320660852929</v>
      </c>
      <c r="E14" s="14">
        <f t="shared" si="1"/>
        <v>52898.608915671946</v>
      </c>
    </row>
    <row r="15" spans="1:8" x14ac:dyDescent="0.25">
      <c r="A15" s="14">
        <f>'Inflows &amp; Outflows TD8890'!A15+'Inflows &amp; Outflows TD8890'!H15-('Inflows &amp; Outflows TD8890'!E15+'Inflows &amp; Outflows TD8890'!I15+'Inflows &amp; Outflows TD8890'!J15+'Inflows &amp; Outflows TD8890'!F15+'Inflows &amp; Outflows TD8890'!B15+'Inflows &amp; Outflows TD8890'!C15)</f>
        <v>83974.708694984263</v>
      </c>
      <c r="B15" s="14">
        <f t="shared" si="3"/>
        <v>81727.210408743806</v>
      </c>
      <c r="C15" s="14">
        <f t="shared" si="0"/>
        <v>30239.067851235206</v>
      </c>
      <c r="D15" s="14">
        <f t="shared" si="2"/>
        <v>51488.142557508603</v>
      </c>
      <c r="E15" s="14">
        <f t="shared" si="1"/>
        <v>50110.114411200586</v>
      </c>
    </row>
    <row r="16" spans="1:8" x14ac:dyDescent="0.25">
      <c r="A16" s="14">
        <f>'Inflows &amp; Outflows TD8890'!A16+'Inflows &amp; Outflows TD8890'!H16-('Inflows &amp; Outflows TD8890'!E16+'Inflows &amp; Outflows TD8890'!I16+'Inflows &amp; Outflows TD8890'!J16+'Inflows &amp; Outflows TD8890'!F16+'Inflows &amp; Outflows TD8890'!B16+'Inflows &amp; Outflows TD8890'!C16)</f>
        <v>79551.77424597372</v>
      </c>
      <c r="B16" s="14">
        <f t="shared" si="3"/>
        <v>77422.651334280992</v>
      </c>
      <c r="C16" s="14">
        <f t="shared" si="0"/>
        <v>28646.380993683968</v>
      </c>
      <c r="D16" s="14">
        <f t="shared" si="2"/>
        <v>48776.270340597024</v>
      </c>
      <c r="E16" s="14">
        <f t="shared" si="1"/>
        <v>47470.822715909511</v>
      </c>
    </row>
    <row r="17" spans="1:5" x14ac:dyDescent="0.25">
      <c r="A17" s="14">
        <f>'Inflows &amp; Outflows TD8890'!A17+'Inflows &amp; Outflows TD8890'!H17-('Inflows &amp; Outflows TD8890'!E17+'Inflows &amp; Outflows TD8890'!I17+'Inflows &amp; Outflows TD8890'!J17+'Inflows &amp; Outflows TD8890'!F17+'Inflows &amp; Outflows TD8890'!B17+'Inflows &amp; Outflows TD8890'!C17)</f>
        <v>75346.059451801862</v>
      </c>
      <c r="B17" s="14">
        <f t="shared" si="3"/>
        <v>73329.498249928816</v>
      </c>
      <c r="C17" s="14">
        <f t="shared" si="0"/>
        <v>27131.914352473661</v>
      </c>
      <c r="D17" s="14">
        <f t="shared" si="2"/>
        <v>46197.583897455159</v>
      </c>
      <c r="E17" s="14">
        <f t="shared" si="1"/>
        <v>44961.152211635184</v>
      </c>
    </row>
    <row r="18" spans="1:5" x14ac:dyDescent="0.25">
      <c r="A18" s="14">
        <f>'Inflows &amp; Outflows TD8890'!A18+'Inflows &amp; Outflows TD8890'!H18-('Inflows &amp; Outflows TD8890'!E18+'Inflows &amp; Outflows TD8890'!I18+'Inflows &amp; Outflows TD8890'!J18+'Inflows &amp; Outflows TD8890'!F18+'Inflows &amp; Outflows TD8890'!B18+'Inflows &amp; Outflows TD8890'!C18)</f>
        <v>71349.260535480513</v>
      </c>
      <c r="B18" s="14">
        <f t="shared" si="3"/>
        <v>69439.66962090561</v>
      </c>
      <c r="C18" s="14">
        <f t="shared" si="0"/>
        <v>25692.677759735074</v>
      </c>
      <c r="D18" s="14">
        <f t="shared" si="2"/>
        <v>43746.991861170536</v>
      </c>
      <c r="E18" s="14">
        <f t="shared" si="1"/>
        <v>42576.147796759644</v>
      </c>
    </row>
    <row r="19" spans="1:5" x14ac:dyDescent="0.25">
      <c r="A19" s="14">
        <f>'Inflows &amp; Outflows TD8890'!A19+'Inflows &amp; Outflows TD8890'!H19-('Inflows &amp; Outflows TD8890'!E19+'Inflows &amp; Outflows TD8890'!I19+'Inflows &amp; Outflows TD8890'!J19+'Inflows &amp; Outflows TD8890'!F19+'Inflows &amp; Outflows TD8890'!B19+'Inflows &amp; Outflows TD8890'!C19)</f>
        <v>67561.405181027876</v>
      </c>
      <c r="B19" s="14">
        <f t="shared" si="3"/>
        <v>65753.19239029476</v>
      </c>
      <c r="C19" s="14">
        <f t="shared" si="0"/>
        <v>24328.681184409063</v>
      </c>
      <c r="D19" s="14">
        <f t="shared" si="2"/>
        <v>41424.511205885698</v>
      </c>
      <c r="E19" s="14">
        <f t="shared" si="1"/>
        <v>40315.825991129626</v>
      </c>
    </row>
    <row r="20" spans="1:5" x14ac:dyDescent="0.25">
      <c r="A20" s="14">
        <f>'Inflows &amp; Outflows TD8890'!A20+'Inflows &amp; Outflows TD8890'!H20-('Inflows &amp; Outflows TD8890'!E20+'Inflows &amp; Outflows TD8890'!I20+'Inflows &amp; Outflows TD8890'!J20+'Inflows &amp; Outflows TD8890'!F20+'Inflows &amp; Outflows TD8890'!B20+'Inflows &amp; Outflows TD8890'!C20)</f>
        <v>63964.223715902212</v>
      </c>
      <c r="B20" s="14">
        <f t="shared" si="3"/>
        <v>62252.28585489266</v>
      </c>
      <c r="C20" s="14">
        <f t="shared" si="0"/>
        <v>23033.345766310285</v>
      </c>
      <c r="D20" s="14">
        <f t="shared" si="2"/>
        <v>39218.940088582371</v>
      </c>
      <c r="E20" s="14">
        <f t="shared" si="1"/>
        <v>38169.284757744397</v>
      </c>
    </row>
    <row r="21" spans="1:5" x14ac:dyDescent="0.25">
      <c r="A21" s="14">
        <f>'Inflows &amp; Outflows TD8890'!A21+'Inflows &amp; Outflows TD8890'!H21-('Inflows &amp; Outflows TD8890'!E21+'Inflows &amp; Outflows TD8890'!I21+'Inflows &amp; Outflows TD8890'!J21+'Inflows &amp; Outflows TD8890'!F21+'Inflows &amp; Outflows TD8890'!B21+'Inflows &amp; Outflows TD8890'!C21)</f>
        <v>60557.673403209657</v>
      </c>
      <c r="B21" s="14">
        <f t="shared" si="3"/>
        <v>58936.908421615233</v>
      </c>
      <c r="C21" s="14">
        <f t="shared" si="0"/>
        <v>21806.656115997637</v>
      </c>
      <c r="D21" s="14">
        <f t="shared" si="2"/>
        <v>37130.2523056176</v>
      </c>
      <c r="E21" s="14">
        <f t="shared" si="1"/>
        <v>36136.498594275035</v>
      </c>
    </row>
    <row r="22" spans="1:5" x14ac:dyDescent="0.25">
      <c r="A22" s="14">
        <f>'Inflows &amp; Outflows TD8890'!A22+'Inflows &amp; Outflows TD8890'!H22-('Inflows &amp; Outflows TD8890'!E22+'Inflows &amp; Outflows TD8890'!I22+'Inflows &amp; Outflows TD8890'!J22+'Inflows &amp; Outflows TD8890'!F22+'Inflows &amp; Outflows TD8890'!B22+'Inflows &amp; Outflows TD8890'!C22)</f>
        <v>57340.497187981746</v>
      </c>
      <c r="B22" s="14">
        <f t="shared" si="3"/>
        <v>55805.836679300963</v>
      </c>
      <c r="C22" s="14">
        <f t="shared" si="0"/>
        <v>20648.159571341355</v>
      </c>
      <c r="D22" s="14">
        <f t="shared" si="2"/>
        <v>35157.677107959607</v>
      </c>
      <c r="E22" s="14">
        <f t="shared" si="1"/>
        <v>34216.717380009344</v>
      </c>
    </row>
    <row r="23" spans="1:5" x14ac:dyDescent="0.25">
      <c r="A23" s="14">
        <f>'Inflows &amp; Outflows TD8890'!A23+'Inflows &amp; Outflows TD8890'!H23-('Inflows &amp; Outflows TD8890'!E23+'Inflows &amp; Outflows TD8890'!I23+'Inflows &amp; Outflows TD8890'!J23+'Inflows &amp; Outflows TD8890'!F23+'Inflows &amp; Outflows TD8890'!B23+'Inflows &amp; Outflows TD8890'!C23)</f>
        <v>54269.386310681948</v>
      </c>
      <c r="B23" s="14">
        <f t="shared" si="3"/>
        <v>52816.920983632059</v>
      </c>
      <c r="C23" s="14">
        <f t="shared" si="0"/>
        <v>19542.260763943861</v>
      </c>
      <c r="D23" s="14">
        <f t="shared" si="2"/>
        <v>33274.660219688201</v>
      </c>
      <c r="E23" s="14">
        <f t="shared" si="1"/>
        <v>32384.097537409438</v>
      </c>
    </row>
    <row r="24" spans="1:5" x14ac:dyDescent="0.25">
      <c r="A24" s="14">
        <f>'Inflows &amp; Outflows TD8890'!A24+'Inflows &amp; Outflows TD8890'!H24-('Inflows &amp; Outflows TD8890'!E24+'Inflows &amp; Outflows TD8890'!I24+'Inflows &amp; Outflows TD8890'!J24+'Inflows &amp; Outflows TD8890'!F24+'Inflows &amp; Outflows TD8890'!B24+'Inflows &amp; Outflows TD8890'!C24)</f>
        <v>51361.679525769505</v>
      </c>
      <c r="B24" s="14">
        <f t="shared" si="3"/>
        <v>49987.036034812169</v>
      </c>
      <c r="C24" s="14">
        <f t="shared" si="0"/>
        <v>18495.203332880501</v>
      </c>
      <c r="D24" s="14">
        <f t="shared" si="2"/>
        <v>31491.832701931668</v>
      </c>
      <c r="E24" s="14">
        <f t="shared" si="1"/>
        <v>30648.985597987023</v>
      </c>
    </row>
    <row r="25" spans="1:5" x14ac:dyDescent="0.25">
      <c r="A25" s="14">
        <f>'Inflows &amp; Outflows TD8890'!A25+'Inflows &amp; Outflows TD8890'!H25-('Inflows &amp; Outflows TD8890'!E25+'Inflows &amp; Outflows TD8890'!I25+'Inflows &amp; Outflows TD8890'!J25+'Inflows &amp; Outflows TD8890'!F25+'Inflows &amp; Outflows TD8890'!B25+'Inflows &amp; Outflows TD8890'!C25)</f>
        <v>48641.043898775701</v>
      </c>
      <c r="B25" s="14">
        <f t="shared" si="3"/>
        <v>47339.215473261022</v>
      </c>
      <c r="C25" s="14">
        <f t="shared" si="0"/>
        <v>17515.509725106578</v>
      </c>
      <c r="D25" s="14">
        <f t="shared" si="2"/>
        <v>29823.705748154443</v>
      </c>
      <c r="E25" s="14">
        <f t="shared" si="1"/>
        <v>29025.504377765879</v>
      </c>
    </row>
    <row r="26" spans="1:5" x14ac:dyDescent="0.25">
      <c r="A26" s="14">
        <f>'Inflows &amp; Outflows TD8890'!A26+'Inflows &amp; Outflows TD8890'!H26-('Inflows &amp; Outflows TD8890'!E26+'Inflows &amp; Outflows TD8890'!I26+'Inflows &amp; Outflows TD8890'!J26+'Inflows &amp; Outflows TD8890'!F26+'Inflows &amp; Outflows TD8890'!B26+'Inflows &amp; Outflows TD8890'!C26)</f>
        <v>44824.954133087158</v>
      </c>
      <c r="B26" s="14">
        <f t="shared" si="3"/>
        <v>43625.259496921804</v>
      </c>
      <c r="C26" s="14">
        <f t="shared" si="0"/>
        <v>16141.346013861068</v>
      </c>
      <c r="D26" s="14">
        <f t="shared" si="2"/>
        <v>27483.913483060736</v>
      </c>
      <c r="E26" s="14">
        <f t="shared" si="1"/>
        <v>26748.33429008344</v>
      </c>
    </row>
    <row r="27" spans="1:5" x14ac:dyDescent="0.25">
      <c r="A27" s="14">
        <f>'Inflows &amp; Outflows TD8890'!A27+'Inflows &amp; Outflows TD8890'!H27-('Inflows &amp; Outflows TD8890'!E27+'Inflows &amp; Outflows TD8890'!I27+'Inflows &amp; Outflows TD8890'!J27+'Inflows &amp; Outflows TD8890'!F27+'Inflows &amp; Outflows TD8890'!B27+'Inflows &amp; Outflows TD8890'!C27)</f>
        <v>0</v>
      </c>
      <c r="B27" s="14">
        <f t="shared" si="3"/>
        <v>0</v>
      </c>
      <c r="C27" s="14">
        <f t="shared" si="0"/>
        <v>0</v>
      </c>
      <c r="D27" s="14">
        <f t="shared" si="2"/>
        <v>0</v>
      </c>
      <c r="E27" s="14">
        <f t="shared" si="1"/>
        <v>0</v>
      </c>
    </row>
    <row r="29" spans="1:5" ht="15.75" x14ac:dyDescent="0.25">
      <c r="A29" s="18" t="s">
        <v>36</v>
      </c>
      <c r="B29" s="17">
        <f>SUM(E2:E27)</f>
        <v>1421305.8974562183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6" sqref="F6"/>
    </sheetView>
  </sheetViews>
  <sheetFormatPr baseColWidth="10" defaultRowHeight="15" x14ac:dyDescent="0.25"/>
  <cols>
    <col min="1" max="1" width="16.7109375" customWidth="1"/>
    <col min="2" max="2" width="22.140625" customWidth="1"/>
    <col min="3" max="3" width="18.5703125" customWidth="1"/>
    <col min="4" max="4" width="28.5703125" bestFit="1" customWidth="1"/>
    <col min="5" max="5" width="37.7109375" bestFit="1" customWidth="1"/>
    <col min="6" max="6" width="16.85546875" customWidth="1"/>
  </cols>
  <sheetData>
    <row r="1" spans="1:6" ht="15.75" x14ac:dyDescent="0.25">
      <c r="A1" s="62" t="s">
        <v>37</v>
      </c>
      <c r="B1" s="62" t="s">
        <v>38</v>
      </c>
      <c r="C1" s="62" t="s">
        <v>39</v>
      </c>
      <c r="D1" s="62" t="s">
        <v>40</v>
      </c>
      <c r="E1" s="62" t="s">
        <v>41</v>
      </c>
      <c r="F1" s="62" t="s">
        <v>42</v>
      </c>
    </row>
    <row r="2" spans="1:6" x14ac:dyDescent="0.25">
      <c r="A2" s="7">
        <v>14156.255951208594</v>
      </c>
      <c r="B2" s="19">
        <f>A2*'Projection CF avec TD8890 '!G2</f>
        <v>14156.255951208594</v>
      </c>
      <c r="C2" s="20"/>
      <c r="D2" s="19">
        <f>B2*4.2%</f>
        <v>594.56274995076092</v>
      </c>
      <c r="E2" s="19">
        <f>B2*37%</f>
        <v>5237.8147019471799</v>
      </c>
      <c r="F2" s="7">
        <f>(D2-E2-C2)*(1+'Calculs TD8890'!$B$1)^(-1)</f>
        <v>-4518.9800019429867</v>
      </c>
    </row>
    <row r="3" spans="1:6" x14ac:dyDescent="0.25">
      <c r="A3" s="7">
        <v>14208.940792333144</v>
      </c>
      <c r="B3" s="19">
        <f>A3*'Projection CF avec TD8890 '!G3</f>
        <v>13474.54493409239</v>
      </c>
      <c r="C3" s="19">
        <f>B3-B2</f>
        <v>-681.71101711620395</v>
      </c>
      <c r="D3" s="19">
        <f>B3*4.5%</f>
        <v>606.35452203415753</v>
      </c>
      <c r="E3" s="19">
        <f t="shared" ref="E3:E26" si="0">B3*37%</f>
        <v>4985.5816256141843</v>
      </c>
      <c r="F3" s="7">
        <f>(D3-E3-C3)*(1+'Calculs TD8890'!$B$1)^(-1)</f>
        <v>-3598.5558019112627</v>
      </c>
    </row>
    <row r="4" spans="1:6" x14ac:dyDescent="0.25">
      <c r="A4" s="7">
        <v>14251.772554439</v>
      </c>
      <c r="B4" s="19">
        <f>A4*'Projection CF avec TD8890 '!G4</f>
        <v>12815.334117776512</v>
      </c>
      <c r="C4" s="19">
        <f t="shared" ref="C4:C26" si="1">B4-B3</f>
        <v>-659.21081631587731</v>
      </c>
      <c r="D4" s="19">
        <f>B4*4.7%</f>
        <v>602.32070353549614</v>
      </c>
      <c r="E4" s="19">
        <f>B4*37%</f>
        <v>4741.6736235773096</v>
      </c>
      <c r="F4" s="7">
        <f>(D4-E4-C4)*(1+'Calculs TD8890'!$B$1)^(-1)</f>
        <v>-3386.9996143318108</v>
      </c>
    </row>
    <row r="5" spans="1:6" x14ac:dyDescent="0.25">
      <c r="A5" s="7">
        <v>14283.538477459322</v>
      </c>
      <c r="B5" s="19">
        <f>A5*'Projection CF avec TD8890 '!G5</f>
        <v>12177.37801875146</v>
      </c>
      <c r="C5" s="19">
        <f>B5-B4</f>
        <v>-637.95609902505203</v>
      </c>
      <c r="D5" s="19">
        <f>B5*4.7%</f>
        <v>572.33676688131868</v>
      </c>
      <c r="E5" s="19">
        <f>B5*37%</f>
        <v>4505.6298669380403</v>
      </c>
      <c r="F5" s="7">
        <f>(D5-E5-C5)*(1+'Calculs TD8890'!$B$1)^(-1)</f>
        <v>-3207.1406336074638</v>
      </c>
    </row>
    <row r="6" spans="1:6" x14ac:dyDescent="0.25">
      <c r="A6" s="7">
        <v>14306.3780093475</v>
      </c>
      <c r="B6" s="19">
        <f>A6*'Projection CF avec TD8890 '!G6</f>
        <v>11562.418156583397</v>
      </c>
      <c r="C6" s="19">
        <f>B6-B5</f>
        <v>-614.95986216806341</v>
      </c>
      <c r="D6" s="19">
        <f t="shared" ref="D6:D26" si="2">B6*4.7%</f>
        <v>543.43365335941962</v>
      </c>
      <c r="E6" s="19">
        <f t="shared" si="0"/>
        <v>4278.0947179358573</v>
      </c>
      <c r="F6" s="7">
        <f>(D6-E6-C6)*(1+'Calculs TD8890'!$B$1)^(-1)</f>
        <v>-3036.2055497891715</v>
      </c>
    </row>
    <row r="7" spans="1:6" x14ac:dyDescent="0.25">
      <c r="A7" s="7">
        <v>14313.118018043384</v>
      </c>
      <c r="B7" s="19">
        <f>A7*'Projection CF avec TD8890 '!G7</f>
        <v>10965.020574903585</v>
      </c>
      <c r="C7" s="19">
        <f>B7-B6</f>
        <v>-597.39758167981199</v>
      </c>
      <c r="D7" s="19">
        <f t="shared" si="2"/>
        <v>515.35596702046848</v>
      </c>
      <c r="E7" s="19">
        <f t="shared" si="0"/>
        <v>4057.0576127143263</v>
      </c>
      <c r="F7" s="7">
        <f>(D7-E7-C7)*(1+'Calculs TD8890'!$B$1)^(-1)</f>
        <v>-2865.5027386998008</v>
      </c>
    </row>
    <row r="8" spans="1:6" x14ac:dyDescent="0.25">
      <c r="A8" s="7">
        <v>14298.844722602675</v>
      </c>
      <c r="B8" s="19">
        <f>A8*'Projection CF avec TD8890 '!G8</f>
        <v>10381.408856426549</v>
      </c>
      <c r="C8" s="19">
        <f t="shared" si="1"/>
        <v>-583.61171847703554</v>
      </c>
      <c r="D8" s="19">
        <f t="shared" si="2"/>
        <v>487.92621625204782</v>
      </c>
      <c r="E8" s="19">
        <f t="shared" si="0"/>
        <v>3841.1212768778232</v>
      </c>
      <c r="F8" s="7">
        <f>(D8-E8-C8)*(1+'Calculs TD8890'!$B$1)^(-1)</f>
        <v>-2695.4582405340534</v>
      </c>
    </row>
    <row r="9" spans="1:6" x14ac:dyDescent="0.25">
      <c r="A9" s="7">
        <v>14266.148682084729</v>
      </c>
      <c r="B9" s="19">
        <f>A9*'Projection CF avec TD8890 '!G9</f>
        <v>9814.0013423945056</v>
      </c>
      <c r="C9" s="19">
        <f t="shared" si="1"/>
        <v>-567.40751403204376</v>
      </c>
      <c r="D9" s="19">
        <f t="shared" si="2"/>
        <v>461.25806309254176</v>
      </c>
      <c r="E9" s="19">
        <f t="shared" si="0"/>
        <v>3631.1804966859672</v>
      </c>
      <c r="F9" s="7">
        <f>(D9-E9-C9)*(1+'Calculs TD8890'!$B$1)^(-1)</f>
        <v>-2532.8612355828532</v>
      </c>
    </row>
    <row r="10" spans="1:6" x14ac:dyDescent="0.25">
      <c r="A10" s="7">
        <v>14197.853218343616</v>
      </c>
      <c r="B10" s="19">
        <f>A10*'Projection CF avec TD8890 '!G10</f>
        <v>9252.618040777139</v>
      </c>
      <c r="C10" s="19">
        <f t="shared" si="1"/>
        <v>-561.38330161736667</v>
      </c>
      <c r="D10" s="19">
        <f t="shared" si="2"/>
        <v>434.87304791652554</v>
      </c>
      <c r="E10" s="19">
        <f t="shared" si="0"/>
        <v>3423.4686750875412</v>
      </c>
      <c r="F10" s="7">
        <f>(D10-E10-C10)*(1+'Calculs TD8890'!$B$1)^(-1)</f>
        <v>-2362.2504384950353</v>
      </c>
    </row>
    <row r="11" spans="1:6" x14ac:dyDescent="0.25">
      <c r="A11" s="7">
        <v>14101.079683522721</v>
      </c>
      <c r="B11" s="19">
        <f>A11*'Projection CF avec TD8890 '!G11</f>
        <v>8702.4274055160058</v>
      </c>
      <c r="C11" s="19">
        <f t="shared" si="1"/>
        <v>-550.19063526113314</v>
      </c>
      <c r="D11" s="19">
        <f t="shared" si="2"/>
        <v>409.01408805925229</v>
      </c>
      <c r="E11" s="19">
        <f t="shared" si="0"/>
        <v>3219.898140040922</v>
      </c>
      <c r="F11" s="7">
        <f>(D11-E11-C11)*(1+'Calculs TD8890'!$B$1)^(-1)</f>
        <v>-2200.1882401173107</v>
      </c>
    </row>
    <row r="12" spans="1:6" x14ac:dyDescent="0.25">
      <c r="A12" s="7">
        <v>13978.909512925833</v>
      </c>
      <c r="B12" s="19">
        <f>A12*'Projection CF avec TD8890 '!G12</f>
        <v>8167.4865360759404</v>
      </c>
      <c r="C12" s="19">
        <f t="shared" si="1"/>
        <v>-534.9408694400654</v>
      </c>
      <c r="D12" s="19">
        <f t="shared" si="2"/>
        <v>383.87186719556922</v>
      </c>
      <c r="E12" s="19">
        <f t="shared" si="0"/>
        <v>3021.9700183480977</v>
      </c>
      <c r="F12" s="7">
        <f>(D12-E12-C12)*(1+'Calculs TD8890'!$B$1)^(-1)</f>
        <v>-2046.8684006933945</v>
      </c>
    </row>
    <row r="13" spans="1:6" x14ac:dyDescent="0.25">
      <c r="A13" s="7">
        <v>13828.414318990341</v>
      </c>
      <c r="B13" s="19">
        <f>A13*'Projection CF avec TD8890 '!G13</f>
        <v>7647.4012393935727</v>
      </c>
      <c r="C13" s="19">
        <f t="shared" si="1"/>
        <v>-520.0852966823677</v>
      </c>
      <c r="D13" s="19">
        <f t="shared" si="2"/>
        <v>359.42785825149792</v>
      </c>
      <c r="E13" s="19">
        <f t="shared" si="0"/>
        <v>2829.5384585756219</v>
      </c>
      <c r="F13" s="7">
        <f>(D13-E13-C13)*(1+'Calculs TD8890'!$B$1)^(-1)</f>
        <v>-1897.8348453934366</v>
      </c>
    </row>
    <row r="14" spans="1:6" x14ac:dyDescent="0.25">
      <c r="A14" s="7">
        <v>13644.706473265838</v>
      </c>
      <c r="B14" s="19">
        <f>A14*'Projection CF avec TD8890 '!G14</f>
        <v>7140.3928752451829</v>
      </c>
      <c r="C14" s="7">
        <f t="shared" si="1"/>
        <v>-507.00836414838977</v>
      </c>
      <c r="D14" s="19">
        <f t="shared" si="2"/>
        <v>335.5984651365236</v>
      </c>
      <c r="E14" s="7">
        <f t="shared" si="0"/>
        <v>2641.9453638407176</v>
      </c>
      <c r="F14" s="7">
        <f>(D14-E14-C14)*(1+'Calculs TD8890'!$B$1)^(-1)</f>
        <v>-1751.1810555287634</v>
      </c>
    </row>
    <row r="15" spans="1:6" x14ac:dyDescent="0.25">
      <c r="A15" s="7">
        <v>13418.111405337739</v>
      </c>
      <c r="B15" s="19">
        <f>A15*'Projection CF avec TD8890 '!G15</f>
        <v>6642.6038226015007</v>
      </c>
      <c r="C15" s="7">
        <f t="shared" si="1"/>
        <v>-497.78905264368223</v>
      </c>
      <c r="D15" s="19">
        <f t="shared" si="2"/>
        <v>312.20237966227052</v>
      </c>
      <c r="E15" s="7">
        <f t="shared" si="0"/>
        <v>2457.7634143625551</v>
      </c>
      <c r="F15" s="7">
        <f>(D15-E15-C15)*(1+'Calculs TD8890'!$B$1)^(-1)</f>
        <v>-1603.6710287655494</v>
      </c>
    </row>
    <row r="16" spans="1:6" x14ac:dyDescent="0.25">
      <c r="A16" s="7">
        <v>13133.776807390495</v>
      </c>
      <c r="B16" s="19">
        <f>A16*'Projection CF avec TD8890 '!G16</f>
        <v>6148.375491753095</v>
      </c>
      <c r="C16" s="7">
        <f t="shared" si="1"/>
        <v>-494.22833084840568</v>
      </c>
      <c r="D16" s="19">
        <f t="shared" si="2"/>
        <v>288.97364811239549</v>
      </c>
      <c r="E16" s="7">
        <f t="shared" si="0"/>
        <v>2274.898931948645</v>
      </c>
      <c r="F16" s="7">
        <f>(D16-E16-C16)*(1+'Calculs TD8890'!$B$1)^(-1)</f>
        <v>-1451.7731902558089</v>
      </c>
    </row>
    <row r="17" spans="1:6" x14ac:dyDescent="0.25">
      <c r="A17" s="7">
        <v>12788.486700539866</v>
      </c>
      <c r="B17" s="19">
        <f>A17*'Projection CF avec TD8890 '!G17</f>
        <v>5658.3452050231881</v>
      </c>
      <c r="C17" s="7">
        <f t="shared" si="1"/>
        <v>-490.03028672990695</v>
      </c>
      <c r="D17" s="19">
        <f t="shared" si="2"/>
        <v>265.94222463608986</v>
      </c>
      <c r="E17" s="7">
        <f t="shared" si="0"/>
        <v>2093.5877258585797</v>
      </c>
      <c r="F17" s="7">
        <f>(D17-E17-C17)*(1+'Calculs TD8890'!$B$1)^(-1)</f>
        <v>-1301.8152939100562</v>
      </c>
    </row>
    <row r="18" spans="1:6" x14ac:dyDescent="0.25">
      <c r="A18" s="7">
        <v>12378.679407747935</v>
      </c>
      <c r="B18" s="19">
        <f>A18*'Projection CF avec TD8890 '!G18</f>
        <v>5173.8739403672353</v>
      </c>
      <c r="C18" s="7">
        <f t="shared" si="1"/>
        <v>-484.47126465595284</v>
      </c>
      <c r="D18" s="19">
        <f t="shared" si="2"/>
        <v>243.17207519726006</v>
      </c>
      <c r="E18" s="7">
        <f t="shared" si="0"/>
        <v>1914.3333579358771</v>
      </c>
      <c r="F18" s="7">
        <f>(D18-E18-C18)*(1+'Calculs TD8890'!$B$1)^(-1)</f>
        <v>-1154.9294579879943</v>
      </c>
    </row>
    <row r="19" spans="1:6" x14ac:dyDescent="0.25">
      <c r="A19" s="7">
        <v>11893.861905595902</v>
      </c>
      <c r="B19" s="19">
        <f>A19*'Projection CF avec TD8890 '!G19</f>
        <v>4693.5653394937808</v>
      </c>
      <c r="C19" s="7">
        <f t="shared" si="1"/>
        <v>-480.30860087345445</v>
      </c>
      <c r="D19" s="19">
        <f t="shared" si="2"/>
        <v>220.5975709562077</v>
      </c>
      <c r="E19" s="7">
        <f t="shared" si="0"/>
        <v>1736.6191756126989</v>
      </c>
      <c r="F19" s="7">
        <f>(D19-E19-C19)*(1+'Calculs TD8890'!$B$1)^(-1)</f>
        <v>-1007.9931910297195</v>
      </c>
    </row>
    <row r="20" spans="1:6" x14ac:dyDescent="0.25">
      <c r="A20" s="7">
        <v>11329.172151803863</v>
      </c>
      <c r="B20" s="19">
        <f>A20*'Projection CF avec TD8890 '!G20</f>
        <v>4218.4217002066025</v>
      </c>
      <c r="C20" s="7">
        <f t="shared" si="1"/>
        <v>-475.1436392871783</v>
      </c>
      <c r="D20" s="19">
        <f t="shared" si="2"/>
        <v>198.26581990971033</v>
      </c>
      <c r="E20" s="7">
        <f t="shared" si="0"/>
        <v>1560.8160290764429</v>
      </c>
      <c r="F20" s="7">
        <f>(D20-E20-C20)*(1+'Calculs TD8890'!$B$1)^(-1)</f>
        <v>-863.65602907985817</v>
      </c>
    </row>
    <row r="21" spans="1:6" ht="17.25" customHeight="1" x14ac:dyDescent="0.25">
      <c r="A21" s="7">
        <v>10673.390348010675</v>
      </c>
      <c r="B21" s="19">
        <f>A21*'Projection CF avec TD8890 '!G21</f>
        <v>3747.59910333482</v>
      </c>
      <c r="C21" s="7">
        <f t="shared" si="1"/>
        <v>-470.82259687178248</v>
      </c>
      <c r="D21" s="19">
        <f t="shared" si="2"/>
        <v>176.13715785673654</v>
      </c>
      <c r="E21" s="7">
        <f t="shared" si="0"/>
        <v>1386.6116682338834</v>
      </c>
      <c r="F21" s="7">
        <f>(D21-E21-C21)*(1+'Calculs TD8890'!$B$1)^(-1)</f>
        <v>-719.85587689086549</v>
      </c>
    </row>
    <row r="22" spans="1:6" x14ac:dyDescent="0.25">
      <c r="A22" s="7">
        <v>9908.1350268511524</v>
      </c>
      <c r="B22" s="19">
        <f>A22*'Projection CF avec TD8890 '!G22</f>
        <v>3278.207760600611</v>
      </c>
      <c r="C22" s="7">
        <f t="shared" si="1"/>
        <v>-469.39134273420905</v>
      </c>
      <c r="D22" s="19">
        <f t="shared" si="2"/>
        <v>154.07576474822872</v>
      </c>
      <c r="E22" s="7">
        <f t="shared" si="0"/>
        <v>1212.936871422226</v>
      </c>
      <c r="F22" s="7">
        <f>(D22-E22-C22)*(1+'Calculs TD8890'!$B$1)^(-1)</f>
        <v>-573.69320091463567</v>
      </c>
    </row>
    <row r="23" spans="1:6" x14ac:dyDescent="0.25">
      <c r="A23" s="7">
        <v>9042.0920709869533</v>
      </c>
      <c r="B23" s="19">
        <f>A23*'Projection CF avec TD8890 '!G23</f>
        <v>2816.7144156417407</v>
      </c>
      <c r="C23" s="7">
        <f t="shared" si="1"/>
        <v>-461.49334495887024</v>
      </c>
      <c r="D23" s="19">
        <f t="shared" si="2"/>
        <v>132.38557753516181</v>
      </c>
      <c r="E23" s="7">
        <f t="shared" si="0"/>
        <v>1042.1843337874441</v>
      </c>
      <c r="F23" s="7">
        <f>(D23-E23-C23)*(1+'Calculs TD8890'!$B$1)^(-1)</f>
        <v>-436.30696962862481</v>
      </c>
    </row>
    <row r="24" spans="1:6" x14ac:dyDescent="0.25">
      <c r="A24" s="7">
        <v>8068.4621979097155</v>
      </c>
      <c r="B24" s="19">
        <f>A24*'Projection CF avec TD8890 '!G24</f>
        <v>2364.7812026205065</v>
      </c>
      <c r="C24" s="7">
        <f t="shared" si="1"/>
        <v>-451.93321302123422</v>
      </c>
      <c r="D24" s="19">
        <f t="shared" si="2"/>
        <v>111.14471652316381</v>
      </c>
      <c r="E24" s="7">
        <f t="shared" si="0"/>
        <v>874.96904496958746</v>
      </c>
      <c r="F24" s="7">
        <f>(D24-E24-C24)*(1+'Calculs TD8890'!$B$1)^(-1)</f>
        <v>-303.54366464738632</v>
      </c>
    </row>
    <row r="25" spans="1:6" x14ac:dyDescent="0.25">
      <c r="A25" s="7">
        <v>6954.2284321371426</v>
      </c>
      <c r="B25" s="19">
        <f>A25*'Projection CF avec TD8890 '!G25</f>
        <v>1916.314270589412</v>
      </c>
      <c r="C25" s="7">
        <f t="shared" si="1"/>
        <v>-448.46693203109453</v>
      </c>
      <c r="D25" s="19">
        <f t="shared" si="2"/>
        <v>90.066770717702369</v>
      </c>
      <c r="E25" s="7">
        <f t="shared" si="0"/>
        <v>709.03628011808246</v>
      </c>
      <c r="F25" s="7">
        <f>(D25-E25-C25)*(1+'Calculs TD8890'!$B$1)^(-1)</f>
        <v>-165.93924804796643</v>
      </c>
    </row>
    <row r="26" spans="1:6" x14ac:dyDescent="0.25">
      <c r="A26" s="7">
        <v>5700</v>
      </c>
      <c r="B26" s="19">
        <f>A26*'Projection CF avec TD8890 '!G26</f>
        <v>1475.3314129013809</v>
      </c>
      <c r="C26" s="7">
        <f t="shared" si="1"/>
        <v>-440.98285768803112</v>
      </c>
      <c r="D26" s="19">
        <f t="shared" si="2"/>
        <v>69.340576406364903</v>
      </c>
      <c r="E26" s="7">
        <f t="shared" si="0"/>
        <v>545.8726227735109</v>
      </c>
      <c r="F26" s="7">
        <f>(D26-E26-C26)*(1+'Calculs TD8890'!$B$1)^(-1)</f>
        <v>-34.597750539284547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workbookViewId="0">
      <selection activeCell="S48" sqref="S48"/>
    </sheetView>
  </sheetViews>
  <sheetFormatPr baseColWidth="10" defaultRowHeight="15" x14ac:dyDescent="0.25"/>
  <cols>
    <col min="1" max="2" width="8.5703125" customWidth="1"/>
    <col min="3" max="3" width="11.42578125" bestFit="1" customWidth="1"/>
    <col min="4" max="5" width="13.5703125" customWidth="1"/>
    <col min="6" max="6" width="15" bestFit="1" customWidth="1"/>
    <col min="7" max="7" width="15" customWidth="1"/>
    <col min="8" max="8" width="12" bestFit="1" customWidth="1"/>
    <col min="9" max="9" width="12" customWidth="1"/>
    <col min="10" max="10" width="15.7109375" bestFit="1" customWidth="1"/>
    <col min="11" max="11" width="15.7109375" customWidth="1"/>
    <col min="12" max="12" width="12.85546875" bestFit="1" customWidth="1"/>
    <col min="13" max="13" width="14" customWidth="1"/>
    <col min="14" max="14" width="8" bestFit="1" customWidth="1"/>
    <col min="15" max="15" width="13.42578125" customWidth="1"/>
    <col min="16" max="16" width="12.85546875" bestFit="1" customWidth="1"/>
    <col min="17" max="17" width="12.28515625" customWidth="1"/>
    <col min="18" max="18" width="16.42578125" customWidth="1"/>
    <col min="19" max="19" width="13.42578125" bestFit="1" customWidth="1"/>
    <col min="20" max="20" width="24.28515625" customWidth="1"/>
  </cols>
  <sheetData>
    <row r="1" spans="1:22" s="27" customFormat="1" ht="51" customHeight="1" x14ac:dyDescent="0.25">
      <c r="A1" s="26" t="s">
        <v>52</v>
      </c>
      <c r="B1" s="26" t="s">
        <v>53</v>
      </c>
      <c r="C1" s="26" t="s">
        <v>54</v>
      </c>
      <c r="D1" s="26" t="s">
        <v>43</v>
      </c>
      <c r="E1" s="26" t="s">
        <v>71</v>
      </c>
      <c r="F1" s="26" t="s">
        <v>44</v>
      </c>
      <c r="G1" s="64" t="s">
        <v>72</v>
      </c>
      <c r="H1" s="26" t="s">
        <v>45</v>
      </c>
      <c r="I1" s="64" t="s">
        <v>73</v>
      </c>
      <c r="J1" s="26" t="s">
        <v>46</v>
      </c>
      <c r="K1" s="64" t="s">
        <v>74</v>
      </c>
      <c r="L1" s="26" t="s">
        <v>47</v>
      </c>
      <c r="M1" s="26" t="s">
        <v>48</v>
      </c>
      <c r="N1" s="26" t="s">
        <v>49</v>
      </c>
      <c r="O1" s="26" t="s">
        <v>50</v>
      </c>
      <c r="P1" s="26" t="s">
        <v>51</v>
      </c>
      <c r="Q1" s="26" t="s">
        <v>55</v>
      </c>
      <c r="R1" s="26" t="s">
        <v>56</v>
      </c>
      <c r="S1" s="26" t="s">
        <v>57</v>
      </c>
      <c r="T1" s="26" t="s">
        <v>60</v>
      </c>
    </row>
    <row r="2" spans="1:22" x14ac:dyDescent="0.25">
      <c r="A2" s="23">
        <v>1</v>
      </c>
      <c r="B2" s="22">
        <v>0</v>
      </c>
      <c r="C2" s="63">
        <v>2705452.9766890388</v>
      </c>
      <c r="D2" s="63">
        <v>115705.65434315454</v>
      </c>
      <c r="E2" s="63">
        <v>3810219.273655138</v>
      </c>
      <c r="F2" s="63">
        <v>56585720.566301078</v>
      </c>
      <c r="G2" s="63">
        <v>8665.1904634937709</v>
      </c>
      <c r="H2" s="63">
        <v>112125.21831583488</v>
      </c>
      <c r="I2" s="63">
        <v>13326.219671368624</v>
      </c>
      <c r="J2" s="24">
        <v>158611.934641853</v>
      </c>
      <c r="K2" s="63">
        <v>1788393.2453727303</v>
      </c>
      <c r="L2" s="24">
        <v>4833354.2677969597</v>
      </c>
      <c r="M2" s="24">
        <v>255396.54252260801</v>
      </c>
      <c r="N2" s="63">
        <v>0</v>
      </c>
      <c r="O2" s="63">
        <v>222941.34328056552</v>
      </c>
      <c r="P2" s="63">
        <v>-363258.65465459134</v>
      </c>
      <c r="Q2" s="25">
        <f>B2+C2-D2-E2-F2-G2-H2-I2-J2-K2-L2-M2-N2-O2</f>
        <v>-65199006.47967574</v>
      </c>
      <c r="R2" s="25">
        <f>A2*Q2*V6^$A$2</f>
        <v>-63454020.904793903</v>
      </c>
      <c r="S2" s="25">
        <f t="shared" ref="S2:S43" si="0">Q2*($V$6^(A2))</f>
        <v>-63454020.904793903</v>
      </c>
      <c r="T2" s="25">
        <f t="shared" ref="T2:T43" si="1">(A2)*(A2+1)*(Q2)*($V$6^(A2))</f>
        <v>-126908041.80958781</v>
      </c>
    </row>
    <row r="3" spans="1:22" x14ac:dyDescent="0.25">
      <c r="A3" s="23">
        <v>2</v>
      </c>
      <c r="B3" s="22">
        <v>0</v>
      </c>
      <c r="C3" s="63">
        <v>2434770.6559859291</v>
      </c>
      <c r="D3" s="63">
        <v>103583.92546075232</v>
      </c>
      <c r="E3" s="63">
        <v>3141001.2205874291</v>
      </c>
      <c r="F3" s="63">
        <v>51863028.480297655</v>
      </c>
      <c r="G3" s="63">
        <v>4733.2488327606679</v>
      </c>
      <c r="H3" s="63">
        <v>95618.456079509953</v>
      </c>
      <c r="I3" s="63">
        <v>9195.9398699047397</v>
      </c>
      <c r="J3" s="24">
        <v>138615.77555724641</v>
      </c>
      <c r="K3" s="63">
        <v>777611.73254199664</v>
      </c>
      <c r="L3" s="24">
        <v>4398676.2506995872</v>
      </c>
      <c r="M3" s="24">
        <v>218484.00786237736</v>
      </c>
      <c r="N3" s="63">
        <v>0</v>
      </c>
      <c r="O3" s="63">
        <v>210412.00966288953</v>
      </c>
      <c r="P3" s="63">
        <v>-291479.9518778171</v>
      </c>
      <c r="Q3" s="25">
        <f>B3+C3-D3-E3-F3-G3-H3-I3-J3-K3-L3-M3-N3-O3</f>
        <v>-58526190.391466178</v>
      </c>
      <c r="R3" s="25">
        <f>2*Q3*V6^2</f>
        <v>-110870649.15119597</v>
      </c>
      <c r="S3" s="25">
        <f t="shared" si="0"/>
        <v>-55435324.575597987</v>
      </c>
      <c r="T3" s="25">
        <f t="shared" si="1"/>
        <v>-332611947.45358789</v>
      </c>
    </row>
    <row r="4" spans="1:22" x14ac:dyDescent="0.25">
      <c r="A4" s="23">
        <v>3</v>
      </c>
      <c r="B4" s="22">
        <v>0</v>
      </c>
      <c r="C4" s="63">
        <v>2220568.7513009915</v>
      </c>
      <c r="D4" s="63">
        <v>93840.133424658008</v>
      </c>
      <c r="E4" s="63">
        <v>2674796.0523731532</v>
      </c>
      <c r="F4" s="63">
        <v>47599677.874383062</v>
      </c>
      <c r="G4" s="63">
        <v>3883.7689438598763</v>
      </c>
      <c r="H4" s="63">
        <v>86327.0038751963</v>
      </c>
      <c r="I4" s="63">
        <v>7679.7193005189638</v>
      </c>
      <c r="J4" s="24">
        <v>123003.76853567699</v>
      </c>
      <c r="K4" s="63">
        <v>553413.61280688737</v>
      </c>
      <c r="L4" s="24">
        <v>3989162.5981300198</v>
      </c>
      <c r="M4" s="24">
        <v>202530.23612641334</v>
      </c>
      <c r="N4" s="63">
        <v>0</v>
      </c>
      <c r="O4" s="63">
        <v>190975.55825550685</v>
      </c>
      <c r="P4" s="63">
        <v>-258502.60905109852</v>
      </c>
      <c r="Q4" s="25">
        <f t="shared" ref="Q4:Q43" si="2">B4+C4-D4-E4-F4-G4-H4-I4-J4-K4-L4-M4-N4-O4</f>
        <v>-53304721.574853957</v>
      </c>
      <c r="R4" s="25">
        <f>3*Q4*V6^3</f>
        <v>-147414920.41957211</v>
      </c>
      <c r="S4" s="25">
        <f t="shared" si="0"/>
        <v>-49138306.806524038</v>
      </c>
      <c r="T4" s="25">
        <f t="shared" si="1"/>
        <v>-589659681.67828846</v>
      </c>
    </row>
    <row r="5" spans="1:22" x14ac:dyDescent="0.25">
      <c r="A5" s="23">
        <v>4</v>
      </c>
      <c r="B5" s="22">
        <v>0</v>
      </c>
      <c r="C5" s="63">
        <v>2031394.5455755182</v>
      </c>
      <c r="D5" s="63">
        <v>85241.754883733331</v>
      </c>
      <c r="E5" s="63">
        <v>2347877.4416235844</v>
      </c>
      <c r="F5" s="63">
        <v>42912503.479195803</v>
      </c>
      <c r="G5" s="63">
        <v>3253.6966397328479</v>
      </c>
      <c r="H5" s="63">
        <v>78351.172861453844</v>
      </c>
      <c r="I5" s="63">
        <v>6611.2722710313919</v>
      </c>
      <c r="J5" s="24">
        <v>109293.026905134</v>
      </c>
      <c r="K5" s="63">
        <v>399471.62342228618</v>
      </c>
      <c r="L5" s="24">
        <v>4179892.8346042298</v>
      </c>
      <c r="M5" s="24">
        <v>186342.90542912341</v>
      </c>
      <c r="N5" s="63">
        <v>0</v>
      </c>
      <c r="O5" s="63">
        <v>174363.04698781579</v>
      </c>
      <c r="P5" s="63">
        <v>-268888.03476274089</v>
      </c>
      <c r="Q5" s="25">
        <f t="shared" si="2"/>
        <v>-48451807.709248409</v>
      </c>
      <c r="R5" s="25">
        <f>4*Q5*V6^4</f>
        <v>-173877206.45026523</v>
      </c>
      <c r="S5" s="25">
        <f t="shared" si="0"/>
        <v>-43469301.612566307</v>
      </c>
      <c r="T5" s="25">
        <f t="shared" si="1"/>
        <v>-869386032.2513262</v>
      </c>
    </row>
    <row r="6" spans="1:22" ht="16.5" x14ac:dyDescent="0.25">
      <c r="A6" s="23">
        <v>5</v>
      </c>
      <c r="B6" s="22">
        <v>0</v>
      </c>
      <c r="C6" s="63">
        <v>1829562.8497846918</v>
      </c>
      <c r="D6" s="63">
        <v>76307.035548789368</v>
      </c>
      <c r="E6" s="63">
        <v>1943724.9774830884</v>
      </c>
      <c r="F6" s="63">
        <v>36705500.714779764</v>
      </c>
      <c r="G6" s="63">
        <v>2860.6902759203513</v>
      </c>
      <c r="H6" s="63">
        <v>69667.944989519427</v>
      </c>
      <c r="I6" s="63">
        <v>5857.8620384828118</v>
      </c>
      <c r="J6" s="24">
        <v>95608.893036651134</v>
      </c>
      <c r="K6" s="63">
        <v>470845.52866189205</v>
      </c>
      <c r="L6" s="24">
        <v>5095887.4453499857</v>
      </c>
      <c r="M6" s="24">
        <v>167114.05197965371</v>
      </c>
      <c r="N6" s="63">
        <v>0</v>
      </c>
      <c r="O6" s="63">
        <v>157575.07126273515</v>
      </c>
      <c r="P6" s="63">
        <v>-337785.75947039161</v>
      </c>
      <c r="Q6" s="25">
        <f t="shared" si="2"/>
        <v>-42961387.365621783</v>
      </c>
      <c r="R6" s="25">
        <f>5*Q6*V6^5</f>
        <v>-187559535.8474662</v>
      </c>
      <c r="S6" s="25">
        <f t="shared" si="0"/>
        <v>-37511907.169493243</v>
      </c>
      <c r="T6" s="25">
        <f t="shared" si="1"/>
        <v>-1125357215.0847971</v>
      </c>
      <c r="U6" s="29" t="s">
        <v>61</v>
      </c>
      <c r="V6" s="30">
        <f>1/(1+2.75%)</f>
        <v>0.97323600973236002</v>
      </c>
    </row>
    <row r="7" spans="1:22" x14ac:dyDescent="0.25">
      <c r="A7" s="23">
        <v>6</v>
      </c>
      <c r="B7" s="22">
        <v>0</v>
      </c>
      <c r="C7" s="63">
        <v>1563484.0848986208</v>
      </c>
      <c r="D7" s="63">
        <v>65012.895516021556</v>
      </c>
      <c r="E7" s="63">
        <v>1931525.0441055731</v>
      </c>
      <c r="F7" s="63">
        <v>32640515.945745766</v>
      </c>
      <c r="G7" s="63">
        <v>2392.4502567379282</v>
      </c>
      <c r="H7" s="63">
        <v>57302.886186103417</v>
      </c>
      <c r="I7" s="63">
        <v>5037.7168655480536</v>
      </c>
      <c r="J7" s="24">
        <v>80107.202983851195</v>
      </c>
      <c r="K7" s="63">
        <v>59137.835607363493</v>
      </c>
      <c r="L7" s="24">
        <v>3525758.9339272217</v>
      </c>
      <c r="M7" s="24">
        <v>149173.3464402731</v>
      </c>
      <c r="N7" s="63">
        <v>1.5041472800526918</v>
      </c>
      <c r="O7" s="63">
        <v>132463.13423442072</v>
      </c>
      <c r="P7" s="63">
        <v>-221187.73400348189</v>
      </c>
      <c r="Q7" s="25">
        <f t="shared" si="2"/>
        <v>-37084944.811117545</v>
      </c>
      <c r="R7" s="25">
        <f>6*Q7*V6^6</f>
        <v>-189085359.7354261</v>
      </c>
      <c r="S7" s="25">
        <f t="shared" si="0"/>
        <v>-31514226.622571014</v>
      </c>
      <c r="T7" s="25">
        <f t="shared" si="1"/>
        <v>-1323597518.1479828</v>
      </c>
    </row>
    <row r="8" spans="1:22" x14ac:dyDescent="0.25">
      <c r="A8" s="23">
        <v>7</v>
      </c>
      <c r="B8" s="22">
        <v>0</v>
      </c>
      <c r="C8" s="63">
        <v>1397202.076103579</v>
      </c>
      <c r="D8" s="63">
        <v>57802.236911786225</v>
      </c>
      <c r="E8" s="63">
        <v>1941586.6550343528</v>
      </c>
      <c r="F8" s="63">
        <v>28684223.11373771</v>
      </c>
      <c r="G8" s="63">
        <v>2486.5098859574555</v>
      </c>
      <c r="H8" s="63">
        <v>50677.121381319972</v>
      </c>
      <c r="I8" s="63">
        <v>4862.7158041156317</v>
      </c>
      <c r="J8" s="24">
        <v>69079.084668302414</v>
      </c>
      <c r="K8" s="63">
        <v>35895.990933840199</v>
      </c>
      <c r="L8" s="24">
        <v>3364007.8458495713</v>
      </c>
      <c r="M8" s="24">
        <v>137784.20598892472</v>
      </c>
      <c r="N8" s="63">
        <v>4.8577062843631031</v>
      </c>
      <c r="O8" s="63">
        <v>117743.57125490914</v>
      </c>
      <c r="P8" s="63">
        <v>-215090.1258296883</v>
      </c>
      <c r="Q8" s="25">
        <f t="shared" si="2"/>
        <v>-33068951.833053492</v>
      </c>
      <c r="R8" s="25">
        <f t="shared" ref="R8:R43" si="3">(A8)*(Q8)*($V$6^(A8))</f>
        <v>-191445717.40780661</v>
      </c>
      <c r="S8" s="25">
        <f t="shared" si="0"/>
        <v>-27349388.201115232</v>
      </c>
      <c r="T8" s="25">
        <f t="shared" si="1"/>
        <v>-1531565739.2624528</v>
      </c>
    </row>
    <row r="9" spans="1:22" x14ac:dyDescent="0.25">
      <c r="A9" s="23">
        <v>8</v>
      </c>
      <c r="B9" s="22">
        <v>0</v>
      </c>
      <c r="C9" s="63">
        <v>1236017.9471948596</v>
      </c>
      <c r="D9" s="63">
        <v>50883.580324584007</v>
      </c>
      <c r="E9" s="63">
        <v>1968685.882107819</v>
      </c>
      <c r="F9" s="63">
        <v>24577648.449036699</v>
      </c>
      <c r="G9" s="63">
        <v>2624.5165265656005</v>
      </c>
      <c r="H9" s="63">
        <v>44397.253144057671</v>
      </c>
      <c r="I9" s="63">
        <v>4731.0787095482428</v>
      </c>
      <c r="J9" s="24">
        <v>58922.81924364595</v>
      </c>
      <c r="K9" s="63">
        <v>18527.884954880319</v>
      </c>
      <c r="L9" s="24">
        <v>3377657.0491149817</v>
      </c>
      <c r="M9" s="24">
        <v>127014.02790879391</v>
      </c>
      <c r="N9" s="63">
        <v>5.7165316141914602</v>
      </c>
      <c r="O9" s="63">
        <v>103686.55294039713</v>
      </c>
      <c r="P9" s="63">
        <v>-218966.27841010081</v>
      </c>
      <c r="Q9" s="25">
        <f t="shared" si="2"/>
        <v>-29098766.863348734</v>
      </c>
      <c r="R9" s="25">
        <f t="shared" si="3"/>
        <v>-187374258.67114359</v>
      </c>
      <c r="S9" s="25">
        <f t="shared" si="0"/>
        <v>-23421782.333892949</v>
      </c>
      <c r="T9" s="25">
        <f t="shared" si="1"/>
        <v>-1686368328.040292</v>
      </c>
    </row>
    <row r="10" spans="1:22" x14ac:dyDescent="0.25">
      <c r="A10" s="23">
        <v>9</v>
      </c>
      <c r="B10" s="22">
        <v>0</v>
      </c>
      <c r="C10" s="63">
        <v>1069400.3179830527</v>
      </c>
      <c r="D10" s="63">
        <v>43845.441882136554</v>
      </c>
      <c r="E10" s="63">
        <v>2006960.6648860886</v>
      </c>
      <c r="F10" s="63">
        <v>20836519.481514879</v>
      </c>
      <c r="G10" s="63">
        <v>2721.4639273193261</v>
      </c>
      <c r="H10" s="63">
        <v>37865.327814864424</v>
      </c>
      <c r="I10" s="63">
        <v>4628.538947079277</v>
      </c>
      <c r="J10" s="24">
        <v>49147.530714335968</v>
      </c>
      <c r="K10" s="63">
        <v>7641.8595535698914</v>
      </c>
      <c r="L10" s="24">
        <v>3043172.5674207099</v>
      </c>
      <c r="M10" s="24">
        <v>115654.59227647437</v>
      </c>
      <c r="N10" s="63">
        <v>2119.1588269426384</v>
      </c>
      <c r="O10" s="63">
        <v>88972.582420672319</v>
      </c>
      <c r="P10" s="63">
        <v>-199180.98260495788</v>
      </c>
      <c r="Q10" s="25">
        <f t="shared" si="2"/>
        <v>-25169848.89220202</v>
      </c>
      <c r="R10" s="25">
        <f t="shared" si="3"/>
        <v>-177454347.11518052</v>
      </c>
      <c r="S10" s="25">
        <f t="shared" si="0"/>
        <v>-19717149.6794645</v>
      </c>
      <c r="T10" s="25">
        <f t="shared" si="1"/>
        <v>-1774543471.1518049</v>
      </c>
    </row>
    <row r="11" spans="1:22" x14ac:dyDescent="0.25">
      <c r="A11" s="23">
        <v>10</v>
      </c>
      <c r="B11" s="22">
        <v>0</v>
      </c>
      <c r="C11" s="63">
        <v>918048.97161155613</v>
      </c>
      <c r="D11" s="63">
        <v>37482.709730654053</v>
      </c>
      <c r="E11" s="63">
        <v>4480.0766514008037</v>
      </c>
      <c r="F11" s="63">
        <v>15457269.587687971</v>
      </c>
      <c r="G11" s="63">
        <v>2858.9039619085643</v>
      </c>
      <c r="H11" s="63">
        <v>32123.16616045732</v>
      </c>
      <c r="I11" s="63">
        <v>4543.4899678839165</v>
      </c>
      <c r="J11" s="24">
        <v>40618.15762258014</v>
      </c>
      <c r="K11" s="63">
        <v>2103067.5996881328</v>
      </c>
      <c r="L11" s="24">
        <v>4054671.661047128</v>
      </c>
      <c r="M11" s="24">
        <v>104970.3162386785</v>
      </c>
      <c r="N11" s="63">
        <v>1907.7479107552404</v>
      </c>
      <c r="O11" s="63">
        <v>78772.948681529175</v>
      </c>
      <c r="P11" s="63">
        <v>-367558.69586676417</v>
      </c>
      <c r="Q11" s="25">
        <f t="shared" si="2"/>
        <v>-21004717.393737525</v>
      </c>
      <c r="R11" s="25">
        <f t="shared" si="3"/>
        <v>-160139525.46747941</v>
      </c>
      <c r="S11" s="25">
        <f t="shared" si="0"/>
        <v>-16013952.546747942</v>
      </c>
      <c r="T11" s="25">
        <f t="shared" si="1"/>
        <v>-1761534780.1422737</v>
      </c>
    </row>
    <row r="12" spans="1:22" x14ac:dyDescent="0.25">
      <c r="A12" s="23">
        <v>11</v>
      </c>
      <c r="B12" s="22">
        <v>0</v>
      </c>
      <c r="C12" s="63">
        <v>631430.13011190179</v>
      </c>
      <c r="D12" s="63">
        <v>25523.189707075937</v>
      </c>
      <c r="E12" s="63">
        <v>1842.442140611309</v>
      </c>
      <c r="F12" s="63">
        <v>12558035.018928694</v>
      </c>
      <c r="G12" s="63">
        <v>1.0718319333542059</v>
      </c>
      <c r="H12" s="63">
        <v>21890.398140745187</v>
      </c>
      <c r="I12" s="63">
        <v>5.413304767147082</v>
      </c>
      <c r="J12" s="24">
        <v>28145.062401019299</v>
      </c>
      <c r="K12" s="63">
        <v>713.18473980569934</v>
      </c>
      <c r="L12" s="24">
        <v>2281439.2098323531</v>
      </c>
      <c r="M12" s="24">
        <v>66453.521552567385</v>
      </c>
      <c r="N12" s="63">
        <v>3407.511491280442</v>
      </c>
      <c r="O12" s="63">
        <v>54160.252780152769</v>
      </c>
      <c r="P12" s="63">
        <v>-151288.90465751485</v>
      </c>
      <c r="Q12" s="25">
        <f t="shared" si="2"/>
        <v>-14410186.146739105</v>
      </c>
      <c r="R12" s="25">
        <f t="shared" si="3"/>
        <v>-117614844.86482577</v>
      </c>
      <c r="S12" s="25">
        <f t="shared" si="0"/>
        <v>-10692258.624075072</v>
      </c>
      <c r="T12" s="25">
        <f t="shared" si="1"/>
        <v>-1411378138.3779094</v>
      </c>
    </row>
    <row r="13" spans="1:22" x14ac:dyDescent="0.25">
      <c r="A13" s="23">
        <v>12</v>
      </c>
      <c r="B13" s="22">
        <v>0</v>
      </c>
      <c r="C13" s="63">
        <v>512855.99155213824</v>
      </c>
      <c r="D13" s="63">
        <v>20659.93033339551</v>
      </c>
      <c r="E13" s="63">
        <v>1905.273775021692</v>
      </c>
      <c r="F13" s="63">
        <v>9905243.7158691436</v>
      </c>
      <c r="G13" s="63">
        <v>0.32852538365033696</v>
      </c>
      <c r="H13" s="63">
        <v>17527.285445233378</v>
      </c>
      <c r="I13" s="63">
        <v>4.1647371332259882</v>
      </c>
      <c r="J13" s="24">
        <v>22199.641055499516</v>
      </c>
      <c r="K13" s="63">
        <v>0</v>
      </c>
      <c r="L13" s="24">
        <v>2053345.1103297898</v>
      </c>
      <c r="M13" s="24">
        <v>56643.683804442495</v>
      </c>
      <c r="N13" s="63">
        <v>5293.3363129837071</v>
      </c>
      <c r="O13" s="63">
        <v>44170.13969733064</v>
      </c>
      <c r="P13" s="63">
        <v>-137120.36897120945</v>
      </c>
      <c r="Q13" s="25">
        <f t="shared" si="2"/>
        <v>-11614136.618333219</v>
      </c>
      <c r="R13" s="25">
        <f t="shared" si="3"/>
        <v>-100643610.85719001</v>
      </c>
      <c r="S13" s="25">
        <f t="shared" si="0"/>
        <v>-8386967.571432502</v>
      </c>
      <c r="T13" s="25">
        <f t="shared" si="1"/>
        <v>-1308366941.1434703</v>
      </c>
    </row>
    <row r="14" spans="1:22" x14ac:dyDescent="0.25">
      <c r="A14" s="23">
        <v>13</v>
      </c>
      <c r="B14" s="22">
        <v>0</v>
      </c>
      <c r="C14" s="63">
        <v>404389.20945990691</v>
      </c>
      <c r="D14" s="63">
        <v>16246.768890170704</v>
      </c>
      <c r="E14" s="63">
        <v>1973.3503594942672</v>
      </c>
      <c r="F14" s="63">
        <v>7695842.0669659991</v>
      </c>
      <c r="G14" s="63">
        <v>0.3402251778143997</v>
      </c>
      <c r="H14" s="63">
        <v>13588.194973606553</v>
      </c>
      <c r="I14" s="63">
        <v>4.119804508057225</v>
      </c>
      <c r="J14" s="24">
        <v>17012.288569738121</v>
      </c>
      <c r="K14" s="63">
        <v>0</v>
      </c>
      <c r="L14" s="24">
        <v>1698559.7718852451</v>
      </c>
      <c r="M14" s="24">
        <v>47718.649225098728</v>
      </c>
      <c r="N14" s="63">
        <v>0</v>
      </c>
      <c r="O14" s="63">
        <v>34974.076470991291</v>
      </c>
      <c r="P14" s="63">
        <v>-109479.71629772871</v>
      </c>
      <c r="Q14" s="25">
        <f t="shared" si="2"/>
        <v>-9121530.4179101232</v>
      </c>
      <c r="R14" s="25">
        <f t="shared" si="3"/>
        <v>-83338804.447038651</v>
      </c>
      <c r="S14" s="25">
        <f t="shared" si="0"/>
        <v>-6410677.2651568195</v>
      </c>
      <c r="T14" s="25">
        <f t="shared" si="1"/>
        <v>-1166743262.2585411</v>
      </c>
    </row>
    <row r="15" spans="1:22" x14ac:dyDescent="0.25">
      <c r="A15" s="23">
        <v>14</v>
      </c>
      <c r="B15" s="22">
        <v>0</v>
      </c>
      <c r="C15" s="63">
        <v>314147.09516572097</v>
      </c>
      <c r="D15" s="63">
        <v>12593.883655923932</v>
      </c>
      <c r="E15" s="63">
        <v>2021.622721590632</v>
      </c>
      <c r="F15" s="63">
        <v>5804367.2412306704</v>
      </c>
      <c r="G15" s="63">
        <v>0.35770943832045021</v>
      </c>
      <c r="H15" s="63">
        <v>10374.396014681866</v>
      </c>
      <c r="I15" s="63">
        <v>4.0752042111985087</v>
      </c>
      <c r="J15" s="24">
        <v>12837.203051077162</v>
      </c>
      <c r="K15" s="63">
        <v>0</v>
      </c>
      <c r="L15" s="24">
        <v>1435020.0358036668</v>
      </c>
      <c r="M15" s="24">
        <v>39501.389121083543</v>
      </c>
      <c r="N15" s="63">
        <v>11494.282038734076</v>
      </c>
      <c r="O15" s="63">
        <v>27116.363412561353</v>
      </c>
      <c r="P15" s="63">
        <v>-97063.119329036272</v>
      </c>
      <c r="Q15" s="25">
        <f t="shared" si="2"/>
        <v>-7041183.7547979178</v>
      </c>
      <c r="R15" s="25">
        <f t="shared" si="3"/>
        <v>-67426107.139530554</v>
      </c>
      <c r="S15" s="25">
        <f t="shared" si="0"/>
        <v>-4816150.5099664684</v>
      </c>
      <c r="T15" s="25">
        <f t="shared" si="1"/>
        <v>-1011391607.0929582</v>
      </c>
    </row>
    <row r="16" spans="1:22" x14ac:dyDescent="0.25">
      <c r="A16" s="23">
        <v>15</v>
      </c>
      <c r="B16" s="22">
        <v>0</v>
      </c>
      <c r="C16" s="63">
        <v>236899.49123100383</v>
      </c>
      <c r="D16" s="63">
        <v>9465.5350200357771</v>
      </c>
      <c r="E16" s="63">
        <v>2118.5908641489018</v>
      </c>
      <c r="F16" s="63">
        <v>4351474.2426983463</v>
      </c>
      <c r="G16" s="63">
        <v>0.3893107572051</v>
      </c>
      <c r="H16" s="63">
        <v>7672.5041908358726</v>
      </c>
      <c r="I16" s="63">
        <v>4.03087507470332</v>
      </c>
      <c r="J16" s="24">
        <v>9406.6647267451517</v>
      </c>
      <c r="K16" s="63">
        <v>0</v>
      </c>
      <c r="L16" s="24">
        <v>1105328.9674117786</v>
      </c>
      <c r="M16" s="24">
        <v>32063.630765637765</v>
      </c>
      <c r="N16" s="63">
        <v>2836.3697480942237</v>
      </c>
      <c r="O16" s="63">
        <v>21016.118277545189</v>
      </c>
      <c r="P16" s="63">
        <v>-74052.801526162686</v>
      </c>
      <c r="Q16" s="25">
        <f t="shared" si="2"/>
        <v>-5304487.5526579954</v>
      </c>
      <c r="R16" s="25">
        <f t="shared" si="3"/>
        <v>-52967226.832148477</v>
      </c>
      <c r="S16" s="25">
        <f t="shared" si="0"/>
        <v>-3531148.4554765653</v>
      </c>
      <c r="T16" s="25">
        <f t="shared" si="1"/>
        <v>-847475629.31437564</v>
      </c>
    </row>
    <row r="17" spans="1:20" x14ac:dyDescent="0.25">
      <c r="A17" s="23">
        <v>16</v>
      </c>
      <c r="B17" s="22">
        <v>0</v>
      </c>
      <c r="C17" s="63">
        <v>177345.25276466869</v>
      </c>
      <c r="D17" s="63">
        <v>7079.6447053740694</v>
      </c>
      <c r="E17" s="63">
        <v>2181.7673908847869</v>
      </c>
      <c r="F17" s="63">
        <v>3288159.7928081159</v>
      </c>
      <c r="G17" s="63">
        <v>0.42877499577498102</v>
      </c>
      <c r="H17" s="63">
        <v>5646.1710497670856</v>
      </c>
      <c r="I17" s="63">
        <v>3.9866732163842356</v>
      </c>
      <c r="J17" s="24">
        <v>6842.8399143969636</v>
      </c>
      <c r="K17" s="63">
        <v>0</v>
      </c>
      <c r="L17" s="24">
        <v>806408.11075864441</v>
      </c>
      <c r="M17" s="24">
        <v>25952.405546550115</v>
      </c>
      <c r="N17" s="63">
        <v>1976.294653483958</v>
      </c>
      <c r="O17" s="63">
        <v>15497.439181089883</v>
      </c>
      <c r="P17" s="63">
        <v>-54210.175935382635</v>
      </c>
      <c r="Q17" s="25">
        <f t="shared" si="2"/>
        <v>-3982403.6286918507</v>
      </c>
      <c r="R17" s="25">
        <f t="shared" si="3"/>
        <v>-41281547.478633784</v>
      </c>
      <c r="S17" s="25">
        <f t="shared" si="0"/>
        <v>-2580096.7174146115</v>
      </c>
      <c r="T17" s="25">
        <f t="shared" si="1"/>
        <v>-701786307.13677418</v>
      </c>
    </row>
    <row r="18" spans="1:20" x14ac:dyDescent="0.25">
      <c r="A18" s="23">
        <v>17</v>
      </c>
      <c r="B18" s="22">
        <v>0</v>
      </c>
      <c r="C18" s="63">
        <v>134013.36462344596</v>
      </c>
      <c r="D18" s="63">
        <v>5330.3977760751832</v>
      </c>
      <c r="E18" s="63">
        <v>2273.1984672060967</v>
      </c>
      <c r="F18" s="63">
        <v>2382861.5625803052</v>
      </c>
      <c r="G18" s="63">
        <v>0.45400813602883217</v>
      </c>
      <c r="H18" s="63">
        <v>4216.8909386638943</v>
      </c>
      <c r="I18" s="63">
        <v>3.9425187342626433</v>
      </c>
      <c r="J18" s="24">
        <v>5017.4318805776347</v>
      </c>
      <c r="K18" s="63">
        <v>0</v>
      </c>
      <c r="L18" s="24">
        <v>678843.66201877664</v>
      </c>
      <c r="M18" s="24">
        <v>20750.603573452117</v>
      </c>
      <c r="N18" s="63">
        <v>1611.7830530725096</v>
      </c>
      <c r="O18" s="63">
        <v>11808.789755013382</v>
      </c>
      <c r="P18" s="63">
        <v>-45801.862765779981</v>
      </c>
      <c r="Q18" s="25">
        <f t="shared" si="2"/>
        <v>-2978705.3519465667</v>
      </c>
      <c r="R18" s="25">
        <f t="shared" si="3"/>
        <v>-31929002.273084547</v>
      </c>
      <c r="S18" s="25">
        <f t="shared" si="0"/>
        <v>-1878176.6042990908</v>
      </c>
      <c r="T18" s="25">
        <f t="shared" si="1"/>
        <v>-574722040.91552174</v>
      </c>
    </row>
    <row r="19" spans="1:20" x14ac:dyDescent="0.25">
      <c r="A19" s="23">
        <v>18</v>
      </c>
      <c r="B19" s="22">
        <v>0</v>
      </c>
      <c r="C19" s="63">
        <v>97044.907957994888</v>
      </c>
      <c r="D19" s="63">
        <v>3848.6850668493707</v>
      </c>
      <c r="E19" s="63">
        <v>2357.5708854554168</v>
      </c>
      <c r="F19" s="63">
        <v>1622245.0350108244</v>
      </c>
      <c r="G19" s="63">
        <v>0.47621028869408255</v>
      </c>
      <c r="H19" s="63">
        <v>3012.2483478062336</v>
      </c>
      <c r="I19" s="63">
        <v>3.8985534655597291</v>
      </c>
      <c r="J19" s="24">
        <v>3521.9929899235558</v>
      </c>
      <c r="K19" s="63">
        <v>0</v>
      </c>
      <c r="L19" s="24">
        <v>561934.8629365816</v>
      </c>
      <c r="M19" s="24">
        <v>16178.587025833498</v>
      </c>
      <c r="N19" s="63">
        <v>1198.1313093760359</v>
      </c>
      <c r="O19" s="63">
        <v>8667.1366672569075</v>
      </c>
      <c r="P19" s="63">
        <v>-37965.063181227844</v>
      </c>
      <c r="Q19" s="25">
        <f t="shared" si="2"/>
        <v>-2125923.7170456662</v>
      </c>
      <c r="R19" s="25">
        <f t="shared" si="3"/>
        <v>-23482656.871171329</v>
      </c>
      <c r="S19" s="25">
        <f t="shared" si="0"/>
        <v>-1304592.0483984072</v>
      </c>
      <c r="T19" s="25">
        <f t="shared" si="1"/>
        <v>-446170480.55225527</v>
      </c>
    </row>
    <row r="20" spans="1:20" x14ac:dyDescent="0.25">
      <c r="A20" s="23">
        <v>19</v>
      </c>
      <c r="B20" s="22">
        <v>0</v>
      </c>
      <c r="C20" s="63">
        <v>66051.030835774203</v>
      </c>
      <c r="D20" s="63">
        <v>2611.4929436357957</v>
      </c>
      <c r="E20" s="63">
        <v>2455.6984552880235</v>
      </c>
      <c r="F20" s="63">
        <v>1046634.5735386638</v>
      </c>
      <c r="G20" s="63">
        <v>0.50836170761788346</v>
      </c>
      <c r="H20" s="63">
        <v>2022.6665643635049</v>
      </c>
      <c r="I20" s="63">
        <v>3.8548058280171893</v>
      </c>
      <c r="J20" s="24">
        <v>2329.7565467151844</v>
      </c>
      <c r="K20" s="63">
        <v>0</v>
      </c>
      <c r="L20" s="24">
        <v>421266.5841739949</v>
      </c>
      <c r="M20" s="24">
        <v>12200.668714278434</v>
      </c>
      <c r="N20" s="63">
        <v>851.16108132895693</v>
      </c>
      <c r="O20" s="63">
        <v>5962.1382682997228</v>
      </c>
      <c r="P20" s="63">
        <v>-28485.420633990907</v>
      </c>
      <c r="Q20" s="25">
        <f t="shared" si="2"/>
        <v>-1430288.0726183297</v>
      </c>
      <c r="R20" s="25">
        <f t="shared" si="3"/>
        <v>-16230142.672555238</v>
      </c>
      <c r="S20" s="25">
        <f t="shared" si="0"/>
        <v>-854218.03539764415</v>
      </c>
      <c r="T20" s="25">
        <f t="shared" si="1"/>
        <v>-324602853.45110476</v>
      </c>
    </row>
    <row r="21" spans="1:20" x14ac:dyDescent="0.25">
      <c r="A21" s="23">
        <v>20</v>
      </c>
      <c r="B21" s="22">
        <v>0</v>
      </c>
      <c r="C21" s="63">
        <v>42639.422098359188</v>
      </c>
      <c r="D21" s="63">
        <v>1679.9382378904997</v>
      </c>
      <c r="E21" s="63">
        <v>2556.7445861220103</v>
      </c>
      <c r="F21" s="63">
        <v>623135.54720534896</v>
      </c>
      <c r="G21" s="63">
        <v>0.54141467676971655</v>
      </c>
      <c r="H21" s="63">
        <v>1286.580865137953</v>
      </c>
      <c r="I21" s="63">
        <v>3.8111741526608403</v>
      </c>
      <c r="J21" s="24">
        <v>1461.5305998294077</v>
      </c>
      <c r="K21" s="63">
        <v>0</v>
      </c>
      <c r="L21" s="24">
        <v>306666.27824906993</v>
      </c>
      <c r="M21" s="24">
        <v>8784.9292908043117</v>
      </c>
      <c r="N21" s="63">
        <v>122.5331134708787</v>
      </c>
      <c r="O21" s="63">
        <v>3867.2424577445549</v>
      </c>
      <c r="P21" s="63">
        <v>-20597.819336113604</v>
      </c>
      <c r="Q21" s="25">
        <f t="shared" si="2"/>
        <v>-906926.25509588874</v>
      </c>
      <c r="R21" s="25">
        <f t="shared" si="3"/>
        <v>-10543027.987720467</v>
      </c>
      <c r="S21" s="25">
        <f t="shared" si="0"/>
        <v>-527151.3993860234</v>
      </c>
      <c r="T21" s="25">
        <f t="shared" si="1"/>
        <v>-221403587.74212983</v>
      </c>
    </row>
    <row r="22" spans="1:20" x14ac:dyDescent="0.25">
      <c r="A22" s="23">
        <v>21</v>
      </c>
      <c r="B22" s="22">
        <v>0</v>
      </c>
      <c r="C22" s="63">
        <v>25403.558924514356</v>
      </c>
      <c r="D22" s="63">
        <v>998.52960155279914</v>
      </c>
      <c r="E22" s="63">
        <v>2649.4492773675634</v>
      </c>
      <c r="F22" s="63">
        <v>306571.12606406951</v>
      </c>
      <c r="G22" s="63">
        <v>0.57238080917472201</v>
      </c>
      <c r="H22" s="63">
        <v>758.71004275282144</v>
      </c>
      <c r="I22" s="63">
        <v>3.7676482643665348</v>
      </c>
      <c r="J22" s="24">
        <v>852.08591426117096</v>
      </c>
      <c r="K22" s="63">
        <v>0</v>
      </c>
      <c r="L22" s="24">
        <v>225446.98318695521</v>
      </c>
      <c r="M22" s="24">
        <v>5972.4772081863211</v>
      </c>
      <c r="N22" s="63">
        <v>26.423942537639888</v>
      </c>
      <c r="O22" s="63">
        <v>2320.6535554094103</v>
      </c>
      <c r="P22" s="63">
        <v>-15136.632473111324</v>
      </c>
      <c r="Q22" s="25">
        <f t="shared" si="2"/>
        <v>-520197.21989765164</v>
      </c>
      <c r="R22" s="25">
        <f t="shared" si="3"/>
        <v>-6179721.1697794395</v>
      </c>
      <c r="S22" s="25">
        <f t="shared" si="0"/>
        <v>-294272.43665616383</v>
      </c>
      <c r="T22" s="25">
        <f t="shared" si="1"/>
        <v>-135953865.73514768</v>
      </c>
    </row>
    <row r="23" spans="1:20" x14ac:dyDescent="0.25">
      <c r="A23" s="23">
        <v>22</v>
      </c>
      <c r="B23" s="22">
        <v>0</v>
      </c>
      <c r="C23" s="63">
        <v>12553.968387236324</v>
      </c>
      <c r="D23" s="63">
        <v>492.67930278422239</v>
      </c>
      <c r="E23" s="63">
        <v>2752.9847054063839</v>
      </c>
      <c r="F23" s="63">
        <v>111444.21071381681</v>
      </c>
      <c r="G23" s="63">
        <v>0.60648766068281146</v>
      </c>
      <c r="H23" s="63">
        <v>358.59017057419555</v>
      </c>
      <c r="I23" s="63">
        <v>3.7242479736311216</v>
      </c>
      <c r="J23" s="24">
        <v>405.30591342828882</v>
      </c>
      <c r="K23" s="63">
        <v>0</v>
      </c>
      <c r="L23" s="24">
        <v>137404.34507176449</v>
      </c>
      <c r="M23" s="24">
        <v>3750.1962439432077</v>
      </c>
      <c r="N23" s="63">
        <v>27.275100646556407</v>
      </c>
      <c r="O23" s="63">
        <v>1156.7552136010147</v>
      </c>
      <c r="P23" s="63">
        <v>-9235.8588141706732</v>
      </c>
      <c r="Q23" s="25">
        <f t="shared" si="2"/>
        <v>-245242.70478436319</v>
      </c>
      <c r="R23" s="25">
        <f t="shared" si="3"/>
        <v>-2970424.416549773</v>
      </c>
      <c r="S23" s="25">
        <f t="shared" si="0"/>
        <v>-135019.29166135332</v>
      </c>
      <c r="T23" s="25">
        <f t="shared" si="1"/>
        <v>-68319761.580644786</v>
      </c>
    </row>
    <row r="24" spans="1:20" x14ac:dyDescent="0.25">
      <c r="A24" s="23">
        <v>23</v>
      </c>
      <c r="B24" s="22">
        <v>0</v>
      </c>
      <c r="C24" s="63">
        <v>4629.6433738807418</v>
      </c>
      <c r="D24" s="63">
        <v>182.75862539644788</v>
      </c>
      <c r="E24" s="63">
        <v>2859.6260535643064</v>
      </c>
      <c r="F24" s="63">
        <v>48823.427769672009</v>
      </c>
      <c r="G24" s="63">
        <v>0.65341257760658489</v>
      </c>
      <c r="H24" s="63">
        <v>131.07568841764743</v>
      </c>
      <c r="I24" s="63">
        <v>3.6809406172879831</v>
      </c>
      <c r="J24" s="24">
        <v>156.52642006741365</v>
      </c>
      <c r="K24" s="63">
        <v>0</v>
      </c>
      <c r="L24" s="24">
        <v>44390.957678208244</v>
      </c>
      <c r="M24" s="24">
        <v>2140.8411475632529</v>
      </c>
      <c r="N24" s="63">
        <v>31.270971388720753</v>
      </c>
      <c r="O24" s="63">
        <v>415.80988466488367</v>
      </c>
      <c r="P24" s="63">
        <v>-2991.8378887979329</v>
      </c>
      <c r="Q24" s="25">
        <f t="shared" si="2"/>
        <v>-94506.985218257061</v>
      </c>
      <c r="R24" s="25">
        <f t="shared" si="3"/>
        <v>-1164688.1123313482</v>
      </c>
      <c r="S24" s="25">
        <f t="shared" si="0"/>
        <v>-50638.613579623838</v>
      </c>
      <c r="T24" s="25">
        <f t="shared" si="1"/>
        <v>-27952514.69595236</v>
      </c>
    </row>
    <row r="25" spans="1:20" x14ac:dyDescent="0.25">
      <c r="A25" s="23">
        <v>24</v>
      </c>
      <c r="B25" s="22">
        <v>0</v>
      </c>
      <c r="C25" s="63">
        <v>2082.2412470065178</v>
      </c>
      <c r="D25" s="63">
        <v>82.962541900494671</v>
      </c>
      <c r="E25" s="63">
        <v>2973.9221187594303</v>
      </c>
      <c r="F25" s="63">
        <v>21273.625941859686</v>
      </c>
      <c r="G25" s="63">
        <v>0.70698623391921778</v>
      </c>
      <c r="H25" s="63">
        <v>58.886518741775205</v>
      </c>
      <c r="I25" s="63">
        <v>3.6375970853390367</v>
      </c>
      <c r="J25" s="24">
        <v>76.314916109527559</v>
      </c>
      <c r="K25" s="63">
        <v>0</v>
      </c>
      <c r="L25" s="24">
        <v>19524.955937311774</v>
      </c>
      <c r="M25" s="24">
        <v>1226.3037575662127</v>
      </c>
      <c r="N25" s="63">
        <v>34.071879826516628</v>
      </c>
      <c r="O25" s="63">
        <v>186.91919573156869</v>
      </c>
      <c r="P25" s="63">
        <v>-1311.8680434126366</v>
      </c>
      <c r="Q25" s="25">
        <f t="shared" si="2"/>
        <v>-43360.06614411973</v>
      </c>
      <c r="R25" s="25">
        <f t="shared" si="3"/>
        <v>-542671.78823217796</v>
      </c>
      <c r="S25" s="25">
        <f t="shared" si="0"/>
        <v>-22611.324509674083</v>
      </c>
      <c r="T25" s="25">
        <f t="shared" si="1"/>
        <v>-13566794.70580445</v>
      </c>
    </row>
    <row r="26" spans="1:20" x14ac:dyDescent="0.25">
      <c r="A26" s="23">
        <v>25</v>
      </c>
      <c r="B26" s="22">
        <v>0</v>
      </c>
      <c r="C26" s="63">
        <v>967.79024635012979</v>
      </c>
      <c r="D26" s="63">
        <v>39.200189411495103</v>
      </c>
      <c r="E26" s="63">
        <v>3094.1917356177082</v>
      </c>
      <c r="F26" s="63">
        <v>9884.0082419381761</v>
      </c>
      <c r="G26" s="63">
        <v>0.76123015736347954</v>
      </c>
      <c r="H26" s="63">
        <v>27.78709597663989</v>
      </c>
      <c r="I26" s="63">
        <v>3.594151252146454</v>
      </c>
      <c r="J26" s="24">
        <v>41.364296431784638</v>
      </c>
      <c r="K26" s="63">
        <v>0</v>
      </c>
      <c r="L26" s="24">
        <v>8096.4323783642776</v>
      </c>
      <c r="M26" s="24">
        <v>653.42085670786605</v>
      </c>
      <c r="N26" s="63">
        <v>37.86607281211883</v>
      </c>
      <c r="O26" s="63">
        <v>82.652492836763884</v>
      </c>
      <c r="P26" s="63">
        <v>-542.75859492500842</v>
      </c>
      <c r="Q26" s="25">
        <f t="shared" si="2"/>
        <v>-20993.488495156213</v>
      </c>
      <c r="R26" s="25">
        <f t="shared" si="3"/>
        <v>-266366.04135343502</v>
      </c>
      <c r="S26" s="25">
        <f t="shared" si="0"/>
        <v>-10654.641654137402</v>
      </c>
      <c r="T26" s="25">
        <f t="shared" si="1"/>
        <v>-6925517.0751893111</v>
      </c>
    </row>
    <row r="27" spans="1:20" x14ac:dyDescent="0.25">
      <c r="A27" s="23">
        <v>26</v>
      </c>
      <c r="B27" s="22">
        <v>0</v>
      </c>
      <c r="C27" s="63">
        <v>510.43685993183362</v>
      </c>
      <c r="D27" s="63">
        <v>21.15846728784075</v>
      </c>
      <c r="E27" s="63">
        <v>3221.9365970286508</v>
      </c>
      <c r="F27" s="63">
        <v>6729.768640395182</v>
      </c>
      <c r="G27" s="63">
        <v>0.82282781557910933</v>
      </c>
      <c r="H27" s="63">
        <v>16.147825489873313</v>
      </c>
      <c r="I27" s="63">
        <v>3.5505974380513541</v>
      </c>
      <c r="J27" s="24">
        <v>27.678412472439668</v>
      </c>
      <c r="K27" s="63">
        <v>0</v>
      </c>
      <c r="L27" s="24">
        <v>2329.5710604511455</v>
      </c>
      <c r="M27" s="24">
        <v>362.33649314662773</v>
      </c>
      <c r="N27" s="63">
        <v>38.022777625237381</v>
      </c>
      <c r="O27" s="63">
        <v>38.000504693274685</v>
      </c>
      <c r="P27" s="63">
        <v>-157.1618446348516</v>
      </c>
      <c r="Q27" s="25">
        <f t="shared" si="2"/>
        <v>-12278.557343912071</v>
      </c>
      <c r="R27" s="25">
        <f t="shared" si="3"/>
        <v>-157685.98545129542</v>
      </c>
      <c r="S27" s="25">
        <f t="shared" si="0"/>
        <v>-6064.8455942805931</v>
      </c>
      <c r="T27" s="25">
        <f t="shared" si="1"/>
        <v>-4257521.6071849763</v>
      </c>
    </row>
    <row r="28" spans="1:20" x14ac:dyDescent="0.25">
      <c r="A28" s="23">
        <v>27</v>
      </c>
      <c r="B28" s="22">
        <v>0</v>
      </c>
      <c r="C28" s="63">
        <v>385.27143772103244</v>
      </c>
      <c r="D28" s="63">
        <v>16.275446001917395</v>
      </c>
      <c r="E28" s="63">
        <v>3354.539080185752</v>
      </c>
      <c r="F28" s="63">
        <v>5434.3686334699887</v>
      </c>
      <c r="G28" s="63">
        <v>0.87310641113813281</v>
      </c>
      <c r="H28" s="63">
        <v>13.280401460730396</v>
      </c>
      <c r="I28" s="63">
        <v>3.5068631855150496</v>
      </c>
      <c r="J28" s="24">
        <v>23.478098577378372</v>
      </c>
      <c r="K28" s="63">
        <v>0</v>
      </c>
      <c r="L28" s="24">
        <v>1012.6869435141336</v>
      </c>
      <c r="M28" s="24">
        <v>261.1099144700853</v>
      </c>
      <c r="N28" s="63">
        <v>39.401522235559071</v>
      </c>
      <c r="O28" s="63">
        <v>27.368464707760879</v>
      </c>
      <c r="P28" s="63">
        <v>-66.640469247383606</v>
      </c>
      <c r="Q28" s="25">
        <f t="shared" si="2"/>
        <v>-9801.6170364989266</v>
      </c>
      <c r="R28" s="25">
        <f t="shared" si="3"/>
        <v>-127219.02690559225</v>
      </c>
      <c r="S28" s="25">
        <f t="shared" si="0"/>
        <v>-4711.8158113182317</v>
      </c>
      <c r="T28" s="25">
        <f t="shared" si="1"/>
        <v>-3562132.7533565834</v>
      </c>
    </row>
    <row r="29" spans="1:20" x14ac:dyDescent="0.25">
      <c r="A29" s="23">
        <v>28</v>
      </c>
      <c r="B29" s="22">
        <v>0</v>
      </c>
      <c r="C29" s="63">
        <v>337.50922525678311</v>
      </c>
      <c r="D29" s="63">
        <v>14.324926484346502</v>
      </c>
      <c r="E29" s="63">
        <v>3495.1230929188423</v>
      </c>
      <c r="F29" s="63">
        <v>4293.7558880017459</v>
      </c>
      <c r="G29" s="63">
        <v>0.90493295904149196</v>
      </c>
      <c r="H29" s="63">
        <v>12.504159448459401</v>
      </c>
      <c r="I29" s="63">
        <v>3.4630634895485173</v>
      </c>
      <c r="J29" s="24">
        <v>21.604472201456119</v>
      </c>
      <c r="K29" s="63">
        <v>-1.6169762387602753</v>
      </c>
      <c r="L29" s="24">
        <v>879.92390314893828</v>
      </c>
      <c r="M29" s="24">
        <v>204.19424323506024</v>
      </c>
      <c r="N29" s="63">
        <v>41.609510859356199</v>
      </c>
      <c r="O29" s="63">
        <v>22.406468676856434</v>
      </c>
      <c r="P29" s="63">
        <v>-57.675694659738554</v>
      </c>
      <c r="Q29" s="25">
        <f t="shared" si="2"/>
        <v>-8650.6884599281075</v>
      </c>
      <c r="R29" s="25">
        <f t="shared" si="3"/>
        <v>-113322.83947912599</v>
      </c>
      <c r="S29" s="25">
        <f t="shared" si="0"/>
        <v>-4047.2442671116423</v>
      </c>
      <c r="T29" s="25">
        <f t="shared" si="1"/>
        <v>-3286362.3448946532</v>
      </c>
    </row>
    <row r="30" spans="1:20" x14ac:dyDescent="0.25">
      <c r="A30" s="23">
        <v>29</v>
      </c>
      <c r="B30" s="22">
        <v>0</v>
      </c>
      <c r="C30" s="63">
        <v>296.23040065980086</v>
      </c>
      <c r="D30" s="63">
        <v>12.675779248506334</v>
      </c>
      <c r="E30" s="63">
        <v>3640.5778283389873</v>
      </c>
      <c r="F30" s="63">
        <v>4187.3357828481667</v>
      </c>
      <c r="G30" s="63">
        <v>0.8583094949393355</v>
      </c>
      <c r="H30" s="63">
        <v>11.188038229106379</v>
      </c>
      <c r="I30" s="63">
        <v>3.2804517419618593</v>
      </c>
      <c r="J30" s="24">
        <v>19.234700675772057</v>
      </c>
      <c r="K30" s="63">
        <v>0</v>
      </c>
      <c r="L30" s="24">
        <v>162.72078244177791</v>
      </c>
      <c r="M30" s="24">
        <v>187.44792774367264</v>
      </c>
      <c r="N30" s="63">
        <v>44.912545015571311</v>
      </c>
      <c r="O30" s="63">
        <v>17.76624810249173</v>
      </c>
      <c r="P30" s="63">
        <v>-9.4484178642292402</v>
      </c>
      <c r="Q30" s="25">
        <f t="shared" si="2"/>
        <v>-7991.7679932211531</v>
      </c>
      <c r="R30" s="25">
        <f t="shared" si="3"/>
        <v>-105528.01754172795</v>
      </c>
      <c r="S30" s="25">
        <f t="shared" si="0"/>
        <v>-3638.8971566113087</v>
      </c>
      <c r="T30" s="25">
        <f t="shared" si="1"/>
        <v>-3165840.5262518385</v>
      </c>
    </row>
    <row r="31" spans="1:20" x14ac:dyDescent="0.25">
      <c r="A31" s="23">
        <v>30</v>
      </c>
      <c r="B31" s="22">
        <v>0</v>
      </c>
      <c r="C31" s="63">
        <v>297.01142545760092</v>
      </c>
      <c r="D31" s="63">
        <v>12.652204018244227</v>
      </c>
      <c r="E31" s="63">
        <v>3792.8069200567006</v>
      </c>
      <c r="F31" s="63">
        <v>4273.7518403334034</v>
      </c>
      <c r="G31" s="63">
        <v>0.92363949046467353</v>
      </c>
      <c r="H31" s="63">
        <v>11.248280235618505</v>
      </c>
      <c r="I31" s="63">
        <v>3.2390641295928471</v>
      </c>
      <c r="J31" s="24">
        <v>18.348052731504087</v>
      </c>
      <c r="K31" s="63">
        <v>0</v>
      </c>
      <c r="L31" s="24">
        <v>32.000326259253001</v>
      </c>
      <c r="M31" s="24">
        <v>180.76110894204359</v>
      </c>
      <c r="N31" s="63">
        <v>48.377678150899882</v>
      </c>
      <c r="O31" s="63">
        <v>17.314739840435426</v>
      </c>
      <c r="P31" s="63">
        <v>-0.51250238243245372</v>
      </c>
      <c r="Q31" s="25">
        <f t="shared" si="2"/>
        <v>-8094.4124287305585</v>
      </c>
      <c r="R31" s="25">
        <f t="shared" si="3"/>
        <v>-107609.76108770382</v>
      </c>
      <c r="S31" s="25">
        <f t="shared" si="0"/>
        <v>-3586.9920362567941</v>
      </c>
      <c r="T31" s="25">
        <f t="shared" si="1"/>
        <v>-3335902.5937188189</v>
      </c>
    </row>
    <row r="32" spans="1:20" x14ac:dyDescent="0.25">
      <c r="A32" s="23">
        <v>31</v>
      </c>
      <c r="B32" s="22">
        <v>0</v>
      </c>
      <c r="C32" s="63">
        <v>305.83942116425987</v>
      </c>
      <c r="D32" s="63">
        <v>12.947072579793717</v>
      </c>
      <c r="E32" s="63">
        <v>3951.9828514070282</v>
      </c>
      <c r="F32" s="63">
        <v>4296.2250486783805</v>
      </c>
      <c r="G32" s="63">
        <v>0.99341441435027755</v>
      </c>
      <c r="H32" s="63">
        <v>11.618884094829269</v>
      </c>
      <c r="I32" s="63">
        <v>3.197437093392272</v>
      </c>
      <c r="J32" s="24">
        <v>17.969275748723685</v>
      </c>
      <c r="K32" s="63">
        <v>0</v>
      </c>
      <c r="L32" s="24">
        <v>76.884126425887771</v>
      </c>
      <c r="M32" s="24">
        <v>171.32343036358085</v>
      </c>
      <c r="N32" s="63">
        <v>52.082992577142313</v>
      </c>
      <c r="O32" s="63">
        <v>17.633182819634111</v>
      </c>
      <c r="P32" s="63">
        <v>-3.4153815942025987</v>
      </c>
      <c r="Q32" s="25">
        <f t="shared" si="2"/>
        <v>-8307.0182950384824</v>
      </c>
      <c r="R32" s="25">
        <f t="shared" si="3"/>
        <v>-111063.18245373129</v>
      </c>
      <c r="S32" s="25">
        <f t="shared" si="0"/>
        <v>-3582.6833049590741</v>
      </c>
      <c r="T32" s="25">
        <f t="shared" si="1"/>
        <v>-3554021.8385194014</v>
      </c>
    </row>
    <row r="33" spans="1:20" x14ac:dyDescent="0.25">
      <c r="A33" s="23">
        <v>32</v>
      </c>
      <c r="B33" s="22">
        <v>0</v>
      </c>
      <c r="C33" s="63">
        <v>312.32087448564744</v>
      </c>
      <c r="D33" s="63">
        <v>13.155203806478941</v>
      </c>
      <c r="E33" s="63">
        <v>4118.5085849584138</v>
      </c>
      <c r="F33" s="63">
        <v>4401.3030526337243</v>
      </c>
      <c r="G33" s="63">
        <v>1.0662587024461894</v>
      </c>
      <c r="H33" s="63">
        <v>11.863645264661052</v>
      </c>
      <c r="I33" s="63">
        <v>3.1555285783148461</v>
      </c>
      <c r="J33" s="24">
        <v>17.277903940501979</v>
      </c>
      <c r="K33" s="63">
        <v>0</v>
      </c>
      <c r="L33" s="24">
        <v>22.791873283556374</v>
      </c>
      <c r="M33" s="24">
        <v>164.33176390730824</v>
      </c>
      <c r="N33" s="63">
        <v>55.964468675681189</v>
      </c>
      <c r="O33" s="63">
        <v>17.70050623054442</v>
      </c>
      <c r="P33" s="63">
        <v>0.37862063296834669</v>
      </c>
      <c r="Q33" s="25">
        <f t="shared" si="2"/>
        <v>-8514.797915495983</v>
      </c>
      <c r="R33" s="25">
        <f t="shared" si="3"/>
        <v>-114368.32113498976</v>
      </c>
      <c r="S33" s="25">
        <f t="shared" si="0"/>
        <v>-3574.01003546843</v>
      </c>
      <c r="T33" s="25">
        <f t="shared" si="1"/>
        <v>-3774154.597454662</v>
      </c>
    </row>
    <row r="34" spans="1:20" x14ac:dyDescent="0.25">
      <c r="A34" s="23">
        <v>33</v>
      </c>
      <c r="B34" s="22">
        <v>0</v>
      </c>
      <c r="C34" s="63">
        <v>322.40506836912891</v>
      </c>
      <c r="D34" s="63">
        <v>13.506966799424841</v>
      </c>
      <c r="E34" s="63">
        <v>4292.7098749817142</v>
      </c>
      <c r="F34" s="63">
        <v>4526.7274704992778</v>
      </c>
      <c r="G34" s="63">
        <v>1.1391504378489359</v>
      </c>
      <c r="H34" s="63">
        <v>12.553757204093245</v>
      </c>
      <c r="I34" s="63">
        <v>3.1133107055072355</v>
      </c>
      <c r="J34" s="24">
        <v>16.877770204704614</v>
      </c>
      <c r="K34" s="63">
        <v>0</v>
      </c>
      <c r="L34" s="24">
        <v>11.83953795097473</v>
      </c>
      <c r="M34" s="24">
        <v>162.49135238171272</v>
      </c>
      <c r="N34" s="63">
        <v>60.065095490084218</v>
      </c>
      <c r="O34" s="63">
        <v>18.101197598782665</v>
      </c>
      <c r="P34" s="63">
        <v>1.2548008005461531</v>
      </c>
      <c r="Q34" s="25">
        <f t="shared" si="2"/>
        <v>-8796.7204158849963</v>
      </c>
      <c r="R34" s="25">
        <f t="shared" si="3"/>
        <v>-118586.24593715183</v>
      </c>
      <c r="S34" s="25">
        <f t="shared" si="0"/>
        <v>-3593.5226041561164</v>
      </c>
      <c r="T34" s="25">
        <f t="shared" si="1"/>
        <v>-4031932.3618631624</v>
      </c>
    </row>
    <row r="35" spans="1:20" x14ac:dyDescent="0.25">
      <c r="A35" s="23">
        <v>34</v>
      </c>
      <c r="B35" s="22">
        <v>0</v>
      </c>
      <c r="C35" s="63">
        <v>333.58193997651864</v>
      </c>
      <c r="D35" s="63">
        <v>13.902380784199805</v>
      </c>
      <c r="E35" s="63">
        <v>4346.67273087388</v>
      </c>
      <c r="F35" s="63">
        <v>4036.1756345565477</v>
      </c>
      <c r="G35" s="63">
        <v>1.2121115166930803</v>
      </c>
      <c r="H35" s="63">
        <v>13.277872573743174</v>
      </c>
      <c r="I35" s="63">
        <v>3.0707860940736738</v>
      </c>
      <c r="J35" s="24">
        <v>16.5476927852439</v>
      </c>
      <c r="K35" s="63">
        <v>131.56912172974484</v>
      </c>
      <c r="L35" s="24">
        <v>425.11747187054891</v>
      </c>
      <c r="M35" s="24">
        <v>152.53101806252158</v>
      </c>
      <c r="N35" s="63">
        <v>64.381607646949647</v>
      </c>
      <c r="O35" s="63">
        <v>18.518068921759063</v>
      </c>
      <c r="P35" s="63">
        <v>-32.941385814480661</v>
      </c>
      <c r="Q35" s="25">
        <f t="shared" si="2"/>
        <v>-8889.3945574393892</v>
      </c>
      <c r="R35" s="25">
        <f t="shared" si="3"/>
        <v>-120162.47397943641</v>
      </c>
      <c r="S35" s="25">
        <f t="shared" si="0"/>
        <v>-3534.1904111598942</v>
      </c>
      <c r="T35" s="25">
        <f t="shared" si="1"/>
        <v>-4205686.5892802738</v>
      </c>
    </row>
    <row r="36" spans="1:20" x14ac:dyDescent="0.25">
      <c r="A36" s="23">
        <v>35</v>
      </c>
      <c r="B36" s="22">
        <v>0</v>
      </c>
      <c r="C36" s="63">
        <v>315.60343157664488</v>
      </c>
      <c r="D36" s="63">
        <v>13.157873522267742</v>
      </c>
      <c r="E36" s="63">
        <v>4534.4229535279828</v>
      </c>
      <c r="F36" s="63">
        <v>3930.7497230987792</v>
      </c>
      <c r="G36" s="63">
        <v>1.0861165189875943</v>
      </c>
      <c r="H36" s="63">
        <v>11.45401047208887</v>
      </c>
      <c r="I36" s="63">
        <v>2.7611332910619497</v>
      </c>
      <c r="J36" s="24">
        <v>13.643584950026483</v>
      </c>
      <c r="K36" s="63">
        <v>0</v>
      </c>
      <c r="L36" s="24">
        <v>159.2435601690749</v>
      </c>
      <c r="M36" s="24">
        <v>112.66116926710541</v>
      </c>
      <c r="N36" s="63">
        <v>68.938354635585085</v>
      </c>
      <c r="O36" s="63">
        <v>16.531476334575828</v>
      </c>
      <c r="P36" s="63">
        <v>-8.2924903048587257</v>
      </c>
      <c r="Q36" s="25">
        <f t="shared" si="2"/>
        <v>-8549.0465242108912</v>
      </c>
      <c r="R36" s="25">
        <f t="shared" si="3"/>
        <v>-115776.8303741175</v>
      </c>
      <c r="S36" s="25">
        <f t="shared" si="0"/>
        <v>-3307.9094392605002</v>
      </c>
      <c r="T36" s="25">
        <f t="shared" si="1"/>
        <v>-4167965.89346823</v>
      </c>
    </row>
    <row r="37" spans="1:20" x14ac:dyDescent="0.25">
      <c r="A37" s="23">
        <v>36</v>
      </c>
      <c r="B37" s="22">
        <v>0</v>
      </c>
      <c r="C37" s="63">
        <v>317.90508497053554</v>
      </c>
      <c r="D37" s="63">
        <v>13.232872062522437</v>
      </c>
      <c r="E37" s="63">
        <v>4730.9948830850335</v>
      </c>
      <c r="F37" s="63">
        <v>3791.0167054346925</v>
      </c>
      <c r="G37" s="63">
        <v>1.1308390843743852</v>
      </c>
      <c r="H37" s="63">
        <v>10.981544040827661</v>
      </c>
      <c r="I37" s="63">
        <v>2.7226607929614546</v>
      </c>
      <c r="J37" s="24">
        <v>12.430792261693325</v>
      </c>
      <c r="K37" s="63">
        <v>0</v>
      </c>
      <c r="L37" s="24">
        <v>181.01214020351415</v>
      </c>
      <c r="M37" s="24">
        <v>85.87829373638273</v>
      </c>
      <c r="N37" s="63">
        <v>73.73852520456245</v>
      </c>
      <c r="O37" s="63">
        <v>16.136927542480109</v>
      </c>
      <c r="P37" s="63">
        <v>-9.5511694186112557</v>
      </c>
      <c r="Q37" s="25">
        <f t="shared" si="2"/>
        <v>-8601.3710984785102</v>
      </c>
      <c r="R37" s="25">
        <f t="shared" si="3"/>
        <v>-116606.90982396725</v>
      </c>
      <c r="S37" s="25">
        <f t="shared" si="0"/>
        <v>-3239.0808284435343</v>
      </c>
      <c r="T37" s="25">
        <f t="shared" si="1"/>
        <v>-4314455.663486788</v>
      </c>
    </row>
    <row r="38" spans="1:20" x14ac:dyDescent="0.25">
      <c r="A38" s="23">
        <v>37</v>
      </c>
      <c r="B38" s="22">
        <v>0</v>
      </c>
      <c r="C38" s="63">
        <v>319.1209974780806</v>
      </c>
      <c r="D38" s="63">
        <v>13.273757673464299</v>
      </c>
      <c r="E38" s="63">
        <v>4936.7883834660488</v>
      </c>
      <c r="F38" s="63">
        <v>270.26246769787429</v>
      </c>
      <c r="G38" s="63">
        <v>1.2076181126100407</v>
      </c>
      <c r="H38" s="63">
        <v>10.737853815027691</v>
      </c>
      <c r="I38" s="63">
        <v>2.6841257941880956</v>
      </c>
      <c r="J38" s="24">
        <v>11.407676451677501</v>
      </c>
      <c r="K38" s="63">
        <v>0</v>
      </c>
      <c r="L38" s="24">
        <v>2435.2197017810722</v>
      </c>
      <c r="M38" s="24">
        <v>53.217120134705119</v>
      </c>
      <c r="N38" s="63">
        <v>75.194382651872587</v>
      </c>
      <c r="O38" s="63">
        <v>15.992468342733375</v>
      </c>
      <c r="P38" s="63">
        <v>-161.70330939081293</v>
      </c>
      <c r="Q38" s="25">
        <f t="shared" si="2"/>
        <v>-7506.8645584431943</v>
      </c>
      <c r="R38" s="25">
        <f t="shared" si="3"/>
        <v>-101796.43620273688</v>
      </c>
      <c r="S38" s="25">
        <f t="shared" si="0"/>
        <v>-2751.2550325064021</v>
      </c>
      <c r="T38" s="25">
        <f t="shared" si="1"/>
        <v>-3868264.5757040014</v>
      </c>
    </row>
    <row r="39" spans="1:20" x14ac:dyDescent="0.25">
      <c r="A39" s="23">
        <v>38</v>
      </c>
      <c r="B39" s="22">
        <v>0</v>
      </c>
      <c r="C39" s="63">
        <v>183.41069069179571</v>
      </c>
      <c r="D39" s="63">
        <v>8.0640482036311436</v>
      </c>
      <c r="E39" s="63">
        <v>5152.240543407117</v>
      </c>
      <c r="F39" s="63">
        <v>201.09899884461839</v>
      </c>
      <c r="G39" s="63">
        <v>1.2974324957655892</v>
      </c>
      <c r="H39" s="63">
        <v>0.81989383732534904</v>
      </c>
      <c r="I39" s="63">
        <v>2.645208355120114</v>
      </c>
      <c r="J39" s="24">
        <v>0.91658481909793388</v>
      </c>
      <c r="K39" s="63">
        <v>0</v>
      </c>
      <c r="L39" s="24">
        <v>46.239086731994895</v>
      </c>
      <c r="M39" s="24">
        <v>45.116180969483459</v>
      </c>
      <c r="N39" s="63">
        <v>68.60881759605013</v>
      </c>
      <c r="O39" s="63">
        <v>1.0353701971930618</v>
      </c>
      <c r="P39" s="63">
        <v>-0.36575448807090655</v>
      </c>
      <c r="Q39" s="25">
        <f t="shared" si="2"/>
        <v>-5344.6714747656015</v>
      </c>
      <c r="R39" s="25">
        <f t="shared" si="3"/>
        <v>-72442.770485767513</v>
      </c>
      <c r="S39" s="25">
        <f t="shared" si="0"/>
        <v>-1906.3886969938817</v>
      </c>
      <c r="T39" s="25">
        <f t="shared" si="1"/>
        <v>-2825268.0489449329</v>
      </c>
    </row>
    <row r="40" spans="1:20" x14ac:dyDescent="0.25">
      <c r="A40" s="23">
        <v>39</v>
      </c>
      <c r="B40" s="22">
        <v>0</v>
      </c>
      <c r="C40" s="63">
        <v>188.47292847245575</v>
      </c>
      <c r="D40" s="63">
        <v>8.3252497492060851</v>
      </c>
      <c r="E40" s="63">
        <v>5377.831050766179</v>
      </c>
      <c r="F40" s="63">
        <v>61.393072355195002</v>
      </c>
      <c r="G40" s="63">
        <v>1.3885656886147624</v>
      </c>
      <c r="H40" s="63">
        <v>0.56820530874197261</v>
      </c>
      <c r="I40" s="63">
        <v>2.6057819466112573</v>
      </c>
      <c r="J40" s="24">
        <v>0.61243426365240972</v>
      </c>
      <c r="K40" s="63">
        <v>0</v>
      </c>
      <c r="L40" s="24">
        <v>97.500459010257913</v>
      </c>
      <c r="M40" s="24">
        <v>34.089068999159934</v>
      </c>
      <c r="N40" s="63">
        <v>71.942102026759528</v>
      </c>
      <c r="O40" s="63">
        <v>0.8031618730184078</v>
      </c>
      <c r="P40" s="63">
        <v>-3.6514366734014434</v>
      </c>
      <c r="Q40" s="25">
        <f t="shared" si="2"/>
        <v>-5468.5862235149407</v>
      </c>
      <c r="R40" s="25">
        <f t="shared" si="3"/>
        <v>-74036.909135718481</v>
      </c>
      <c r="S40" s="25">
        <f t="shared" si="0"/>
        <v>-1898.382285531243</v>
      </c>
      <c r="T40" s="25">
        <f t="shared" si="1"/>
        <v>-2961476.3654287388</v>
      </c>
    </row>
    <row r="41" spans="1:20" x14ac:dyDescent="0.25">
      <c r="A41" s="23">
        <v>40</v>
      </c>
      <c r="B41" s="22">
        <v>0</v>
      </c>
      <c r="C41" s="63">
        <v>190.71050620720123</v>
      </c>
      <c r="D41" s="63">
        <v>8.4804609238324176</v>
      </c>
      <c r="E41" s="63">
        <v>5614.0638758521709</v>
      </c>
      <c r="F41" s="63">
        <v>9.8542082568515355</v>
      </c>
      <c r="G41" s="63">
        <v>1.4677357135050437</v>
      </c>
      <c r="H41" s="63">
        <v>0.18566796192562296</v>
      </c>
      <c r="I41" s="63">
        <v>2.5658384702589969</v>
      </c>
      <c r="J41" s="24">
        <v>0.19709211565337828</v>
      </c>
      <c r="K41" s="63">
        <v>0</v>
      </c>
      <c r="L41" s="24">
        <v>35.669549734277332</v>
      </c>
      <c r="M41" s="24">
        <v>25.735792379605968</v>
      </c>
      <c r="N41" s="63">
        <v>75.39792959201823</v>
      </c>
      <c r="O41" s="63">
        <v>0.24467666384782163</v>
      </c>
      <c r="P41" s="63">
        <v>0.68652684456804325</v>
      </c>
      <c r="Q41" s="25">
        <f>B41+C41-D41-E41-F41-G41-H41-I41-J41-K41-L41-M41-N41-O41</f>
        <v>-5583.1523214567469</v>
      </c>
      <c r="R41" s="25">
        <f t="shared" si="3"/>
        <v>-75451.216445625265</v>
      </c>
      <c r="S41" s="25">
        <f t="shared" si="0"/>
        <v>-1886.2804111406317</v>
      </c>
      <c r="T41" s="25">
        <f t="shared" si="1"/>
        <v>-3093499.8742706357</v>
      </c>
    </row>
    <row r="42" spans="1:20" x14ac:dyDescent="0.25">
      <c r="A42" s="23">
        <v>41</v>
      </c>
      <c r="B42" s="22">
        <v>0</v>
      </c>
      <c r="C42" s="63">
        <v>196.89133108922803</v>
      </c>
      <c r="D42" s="63">
        <v>8.7918567794309261</v>
      </c>
      <c r="E42" s="63">
        <v>446.59757529038353</v>
      </c>
      <c r="F42" s="63">
        <v>0</v>
      </c>
      <c r="G42" s="63">
        <v>1.5398119924249001</v>
      </c>
      <c r="H42" s="63">
        <v>2.521189945455337E-2</v>
      </c>
      <c r="I42" s="63">
        <v>2.5255027284213565</v>
      </c>
      <c r="J42" s="24">
        <v>2.6521074195593505E-2</v>
      </c>
      <c r="K42" s="63">
        <v>5563.7787148141142</v>
      </c>
      <c r="L42" s="24">
        <v>6.7896850168670895</v>
      </c>
      <c r="M42" s="24">
        <v>17.265371955045534</v>
      </c>
      <c r="N42" s="63">
        <v>0</v>
      </c>
      <c r="O42" s="63">
        <v>3.9531277919704289E-2</v>
      </c>
      <c r="P42" s="63">
        <v>-273.47640430622022</v>
      </c>
      <c r="Q42" s="25">
        <f t="shared" si="2"/>
        <v>-5850.4884517390301</v>
      </c>
      <c r="R42" s="25">
        <f t="shared" si="3"/>
        <v>-78871.650778835363</v>
      </c>
      <c r="S42" s="25">
        <f t="shared" si="0"/>
        <v>-1923.6987994837891</v>
      </c>
      <c r="T42" s="25">
        <f t="shared" si="1"/>
        <v>-3312609.3327110852</v>
      </c>
    </row>
    <row r="43" spans="1:20" x14ac:dyDescent="0.25">
      <c r="A43" s="23">
        <v>42</v>
      </c>
      <c r="B43" s="22">
        <v>0</v>
      </c>
      <c r="C43" s="63">
        <v>11.74858288720489</v>
      </c>
      <c r="D43" s="63">
        <v>0.52329150481790432</v>
      </c>
      <c r="E43" s="63">
        <v>0</v>
      </c>
      <c r="F43" s="63">
        <v>0</v>
      </c>
      <c r="G43" s="63">
        <v>0.75838594262721926</v>
      </c>
      <c r="H43" s="63">
        <v>0</v>
      </c>
      <c r="I43" s="63">
        <v>1.2042336729141887</v>
      </c>
      <c r="J43" s="24">
        <v>0</v>
      </c>
      <c r="K43" s="63">
        <v>351.40531645963495</v>
      </c>
      <c r="L43" s="24">
        <v>0</v>
      </c>
      <c r="M43" s="24">
        <v>5.7980580215936577</v>
      </c>
      <c r="N43" s="63">
        <v>0</v>
      </c>
      <c r="O43" s="63">
        <v>0</v>
      </c>
      <c r="P43" s="63">
        <v>-17.328302659043665</v>
      </c>
      <c r="Q43" s="25">
        <f t="shared" si="2"/>
        <v>-347.94070271438301</v>
      </c>
      <c r="R43" s="25">
        <f t="shared" si="3"/>
        <v>-4676.4645188693985</v>
      </c>
      <c r="S43" s="25">
        <f t="shared" si="0"/>
        <v>-111.34439330641426</v>
      </c>
      <c r="T43" s="25">
        <f t="shared" si="1"/>
        <v>-201087.97431138414</v>
      </c>
    </row>
    <row r="45" spans="1:20" x14ac:dyDescent="0.25">
      <c r="Q45" s="28" t="s">
        <v>58</v>
      </c>
      <c r="R45" s="25">
        <f>SUM(R2:R43)</f>
        <v>-2146971589.164211</v>
      </c>
      <c r="S45" s="25">
        <f>SUM(S2:S43)</f>
        <v>-408573352.53293937</v>
      </c>
      <c r="T45" s="25">
        <f>SUM(T2:T43)</f>
        <v>-19446210239.74102</v>
      </c>
    </row>
    <row r="47" spans="1:20" x14ac:dyDescent="0.25">
      <c r="Q47" s="28" t="s">
        <v>59</v>
      </c>
      <c r="R47" s="39">
        <f>R45/S45</f>
        <v>5.2548008230446728</v>
      </c>
    </row>
    <row r="48" spans="1:20" x14ac:dyDescent="0.25">
      <c r="Q48" s="28" t="s">
        <v>62</v>
      </c>
      <c r="R48" s="39">
        <f>T45/S45</f>
        <v>47.595395341337777</v>
      </c>
      <c r="S48" s="39">
        <f>U45/T45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Calculs TD8890</vt:lpstr>
      <vt:lpstr>Provisions mathématiques </vt:lpstr>
      <vt:lpstr>Marge de solvabilité</vt:lpstr>
      <vt:lpstr>Projection CF avec TD8890 </vt:lpstr>
      <vt:lpstr>Inflows &amp; Outflows TD8890</vt:lpstr>
      <vt:lpstr>Résultats Projetés TD8890</vt:lpstr>
      <vt:lpstr>Coût de capital TD8890</vt:lpstr>
      <vt:lpstr>Calculs CF_01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2020-11-21T20:15:35Z</dcterms:modified>
</cp:coreProperties>
</file>