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63" activeTab="5"/>
  </bookViews>
  <sheets>
    <sheet name="Данные" sheetId="1" r:id="rId1"/>
    <sheet name="По кварталам" sheetId="2" r:id="rId2"/>
    <sheet name="Регрессия кв - ф-ии Excel" sheetId="4" r:id="rId3"/>
    <sheet name="По месяцам" sheetId="9" r:id="rId4"/>
    <sheet name="По месяцам - без случ. состав." sheetId="11" r:id="rId5"/>
    <sheet name="Регрессия мес - ф-ии Excel" sheetId="10" r:id="rId6"/>
  </sheets>
  <definedNames>
    <definedName name="solver_adj" localSheetId="3" hidden="1">'По месяцам'!$P$2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'По месяцам'!$P$15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12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9" l="1"/>
  <c r="W19" i="9"/>
  <c r="W11" i="9"/>
  <c r="Y79" i="9"/>
  <c r="X79" i="9"/>
  <c r="W79" i="9"/>
  <c r="Y71" i="9"/>
  <c r="Y72" i="9"/>
  <c r="Y73" i="9"/>
  <c r="Y74" i="9"/>
  <c r="Y75" i="9"/>
  <c r="Y76" i="9"/>
  <c r="Y77" i="9"/>
  <c r="Y7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36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7" i="9"/>
  <c r="Y38" i="9"/>
  <c r="Y19" i="9"/>
  <c r="X19" i="9"/>
  <c r="X67" i="9"/>
  <c r="X68" i="9"/>
  <c r="X69" i="9"/>
  <c r="X70" i="9"/>
  <c r="X71" i="9"/>
  <c r="X72" i="9"/>
  <c r="X73" i="9"/>
  <c r="X74" i="9"/>
  <c r="X75" i="9"/>
  <c r="X76" i="9"/>
  <c r="X77" i="9"/>
  <c r="X78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34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5" i="9"/>
  <c r="X36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27" i="9"/>
  <c r="W20" i="9"/>
  <c r="W21" i="9"/>
  <c r="W22" i="9"/>
  <c r="W23" i="9"/>
  <c r="W24" i="9"/>
  <c r="W25" i="9"/>
  <c r="W26" i="9"/>
  <c r="W28" i="9"/>
  <c r="W29" i="9"/>
  <c r="W30" i="9"/>
  <c r="W31" i="9"/>
  <c r="W32" i="9"/>
  <c r="W33" i="9"/>
  <c r="W34" i="9"/>
  <c r="W35" i="9"/>
  <c r="V9" i="9"/>
  <c r="V9" i="11" l="1"/>
  <c r="W9" i="11"/>
  <c r="F77" i="11" l="1"/>
  <c r="F76" i="11"/>
  <c r="F75" i="11"/>
  <c r="F74" i="11"/>
  <c r="F73" i="11"/>
  <c r="G72" i="11"/>
  <c r="I72" i="11" s="1"/>
  <c r="F72" i="11"/>
  <c r="G71" i="11"/>
  <c r="H71" i="11" s="1"/>
  <c r="F71" i="11"/>
  <c r="G70" i="11"/>
  <c r="I70" i="11" s="1"/>
  <c r="F70" i="11"/>
  <c r="G69" i="11"/>
  <c r="I69" i="11" s="1"/>
  <c r="F69" i="11"/>
  <c r="G68" i="11"/>
  <c r="F68" i="11"/>
  <c r="G67" i="11"/>
  <c r="I67" i="11" s="1"/>
  <c r="F67" i="11"/>
  <c r="G66" i="11"/>
  <c r="F66" i="11"/>
  <c r="G65" i="11"/>
  <c r="I65" i="11" s="1"/>
  <c r="F65" i="11"/>
  <c r="G64" i="11"/>
  <c r="F64" i="11"/>
  <c r="G63" i="11"/>
  <c r="I63" i="11" s="1"/>
  <c r="F63" i="11"/>
  <c r="G62" i="11"/>
  <c r="F62" i="11"/>
  <c r="G61" i="11"/>
  <c r="I61" i="11" s="1"/>
  <c r="F61" i="11"/>
  <c r="G60" i="11"/>
  <c r="F60" i="11"/>
  <c r="H59" i="11"/>
  <c r="G59" i="11"/>
  <c r="I59" i="11" s="1"/>
  <c r="F59" i="11"/>
  <c r="G58" i="11"/>
  <c r="F58" i="11"/>
  <c r="H57" i="11"/>
  <c r="G57" i="11"/>
  <c r="I57" i="11" s="1"/>
  <c r="F57" i="11"/>
  <c r="G56" i="11"/>
  <c r="F56" i="11"/>
  <c r="H55" i="11"/>
  <c r="G55" i="11"/>
  <c r="I55" i="11" s="1"/>
  <c r="F55" i="11"/>
  <c r="G54" i="11"/>
  <c r="F54" i="11"/>
  <c r="H53" i="11"/>
  <c r="G53" i="11"/>
  <c r="I53" i="11" s="1"/>
  <c r="F53" i="11"/>
  <c r="G52" i="11"/>
  <c r="F52" i="11"/>
  <c r="H51" i="11"/>
  <c r="G51" i="11"/>
  <c r="I51" i="11" s="1"/>
  <c r="F51" i="11"/>
  <c r="G50" i="11"/>
  <c r="F50" i="11"/>
  <c r="H49" i="11"/>
  <c r="G49" i="11"/>
  <c r="I49" i="11" s="1"/>
  <c r="F49" i="11"/>
  <c r="G48" i="11"/>
  <c r="F48" i="11"/>
  <c r="H47" i="11"/>
  <c r="G47" i="11"/>
  <c r="I47" i="11" s="1"/>
  <c r="F47" i="11"/>
  <c r="G46" i="11"/>
  <c r="F46" i="11"/>
  <c r="H45" i="11"/>
  <c r="G45" i="11"/>
  <c r="I45" i="11" s="1"/>
  <c r="F45" i="11"/>
  <c r="G44" i="11"/>
  <c r="F44" i="11"/>
  <c r="H43" i="11"/>
  <c r="G43" i="11"/>
  <c r="I43" i="11" s="1"/>
  <c r="F43" i="11"/>
  <c r="G42" i="11"/>
  <c r="F42" i="11"/>
  <c r="H41" i="11"/>
  <c r="G41" i="11"/>
  <c r="I41" i="11" s="1"/>
  <c r="F41" i="11"/>
  <c r="G40" i="11"/>
  <c r="F40" i="11"/>
  <c r="H39" i="11"/>
  <c r="G39" i="11"/>
  <c r="I39" i="11" s="1"/>
  <c r="F39" i="11"/>
  <c r="G38" i="11"/>
  <c r="F38" i="11"/>
  <c r="H37" i="11"/>
  <c r="G37" i="11"/>
  <c r="I37" i="11" s="1"/>
  <c r="F37" i="11"/>
  <c r="G36" i="11"/>
  <c r="F36" i="11"/>
  <c r="H35" i="11"/>
  <c r="G35" i="11"/>
  <c r="I35" i="11" s="1"/>
  <c r="F35" i="11"/>
  <c r="G34" i="11"/>
  <c r="F34" i="11"/>
  <c r="H33" i="11"/>
  <c r="G33" i="11"/>
  <c r="I33" i="11" s="1"/>
  <c r="F33" i="11"/>
  <c r="G32" i="11"/>
  <c r="F32" i="11"/>
  <c r="H31" i="11"/>
  <c r="G31" i="11"/>
  <c r="I31" i="11" s="1"/>
  <c r="F31" i="11"/>
  <c r="I30" i="11"/>
  <c r="G30" i="11"/>
  <c r="H30" i="11" s="1"/>
  <c r="F30" i="11"/>
  <c r="G29" i="11"/>
  <c r="F29" i="11"/>
  <c r="I28" i="11"/>
  <c r="H28" i="11"/>
  <c r="G28" i="11"/>
  <c r="F28" i="11"/>
  <c r="G27" i="11"/>
  <c r="I27" i="11" s="1"/>
  <c r="F27" i="11"/>
  <c r="I26" i="11"/>
  <c r="G26" i="11"/>
  <c r="H26" i="11" s="1"/>
  <c r="F26" i="11"/>
  <c r="G25" i="11"/>
  <c r="H25" i="11" s="1"/>
  <c r="F25" i="11"/>
  <c r="F24" i="11"/>
  <c r="F23" i="11"/>
  <c r="F22" i="11"/>
  <c r="F21" i="11"/>
  <c r="F20" i="11"/>
  <c r="Q15" i="11"/>
  <c r="K14" i="11"/>
  <c r="K15" i="11" s="1"/>
  <c r="K12" i="11"/>
  <c r="K12" i="9"/>
  <c r="G25" i="9"/>
  <c r="H25" i="9" s="1"/>
  <c r="G26" i="9"/>
  <c r="H26" i="9" s="1"/>
  <c r="K14" i="9"/>
  <c r="O3" i="11" l="1"/>
  <c r="O11" i="11"/>
  <c r="O5" i="11"/>
  <c r="H27" i="11"/>
  <c r="I29" i="11"/>
  <c r="O13" i="11" s="1"/>
  <c r="H29" i="11"/>
  <c r="H69" i="11"/>
  <c r="I32" i="11"/>
  <c r="O4" i="11" s="1"/>
  <c r="H32" i="11"/>
  <c r="I34" i="11"/>
  <c r="H34" i="11"/>
  <c r="I36" i="11"/>
  <c r="H36" i="11"/>
  <c r="I38" i="11"/>
  <c r="H38" i="11"/>
  <c r="I40" i="11"/>
  <c r="O12" i="11" s="1"/>
  <c r="H40" i="11"/>
  <c r="I42" i="11"/>
  <c r="H42" i="11"/>
  <c r="I44" i="11"/>
  <c r="H44" i="11"/>
  <c r="I46" i="11"/>
  <c r="H46" i="11"/>
  <c r="I48" i="11"/>
  <c r="H48" i="11"/>
  <c r="I50" i="11"/>
  <c r="H50" i="11"/>
  <c r="I52" i="11"/>
  <c r="H52" i="11"/>
  <c r="I54" i="11"/>
  <c r="H54" i="11"/>
  <c r="I56" i="11"/>
  <c r="H56" i="11"/>
  <c r="I58" i="11"/>
  <c r="H58" i="11"/>
  <c r="I60" i="11"/>
  <c r="H60" i="11"/>
  <c r="H61" i="11"/>
  <c r="I62" i="11"/>
  <c r="H62" i="11"/>
  <c r="H63" i="11"/>
  <c r="I64" i="11"/>
  <c r="H64" i="11"/>
  <c r="H65" i="11"/>
  <c r="I66" i="11"/>
  <c r="H66" i="11"/>
  <c r="H67" i="11"/>
  <c r="I68" i="11"/>
  <c r="H68" i="11"/>
  <c r="I25" i="11"/>
  <c r="O9" i="11" s="1"/>
  <c r="I71" i="11"/>
  <c r="O7" i="11" s="1"/>
  <c r="H70" i="11"/>
  <c r="H72" i="11"/>
  <c r="M61" i="11" l="1"/>
  <c r="Q61" i="11" s="1"/>
  <c r="M49" i="11"/>
  <c r="Q49" i="11" s="1"/>
  <c r="M37" i="11"/>
  <c r="Q37" i="11" s="1"/>
  <c r="M85" i="11"/>
  <c r="AB25" i="11" s="1"/>
  <c r="K73" i="11"/>
  <c r="K61" i="11"/>
  <c r="K49" i="11"/>
  <c r="K37" i="11"/>
  <c r="K25" i="11"/>
  <c r="M73" i="11"/>
  <c r="Q73" i="11" s="1"/>
  <c r="M25" i="11"/>
  <c r="Q25" i="11" s="1"/>
  <c r="M71" i="11"/>
  <c r="Q71" i="11" s="1"/>
  <c r="M59" i="11"/>
  <c r="Q59" i="11" s="1"/>
  <c r="M47" i="11"/>
  <c r="Q47" i="11" s="1"/>
  <c r="M35" i="11"/>
  <c r="Q35" i="11" s="1"/>
  <c r="K71" i="11"/>
  <c r="M83" i="11"/>
  <c r="AB23" i="11" s="1"/>
  <c r="K59" i="11"/>
  <c r="K47" i="11"/>
  <c r="K35" i="11"/>
  <c r="K23" i="11"/>
  <c r="M23" i="11"/>
  <c r="Q23" i="11" s="1"/>
  <c r="M77" i="11"/>
  <c r="Q77" i="11" s="1"/>
  <c r="M65" i="11"/>
  <c r="Q65" i="11" s="1"/>
  <c r="M53" i="11"/>
  <c r="Q53" i="11" s="1"/>
  <c r="M41" i="11"/>
  <c r="Q41" i="11" s="1"/>
  <c r="M89" i="11"/>
  <c r="AB29" i="11" s="1"/>
  <c r="K77" i="11"/>
  <c r="K65" i="11"/>
  <c r="K53" i="11"/>
  <c r="K41" i="11"/>
  <c r="K29" i="11"/>
  <c r="M29" i="11"/>
  <c r="Q29" i="11" s="1"/>
  <c r="M76" i="11"/>
  <c r="Q76" i="11" s="1"/>
  <c r="K76" i="11"/>
  <c r="M88" i="11"/>
  <c r="AB28" i="11" s="1"/>
  <c r="M64" i="11"/>
  <c r="Q64" i="11" s="1"/>
  <c r="M52" i="11"/>
  <c r="Q52" i="11" s="1"/>
  <c r="M40" i="11"/>
  <c r="Q40" i="11" s="1"/>
  <c r="K64" i="11"/>
  <c r="K52" i="11"/>
  <c r="K40" i="11"/>
  <c r="M28" i="11"/>
  <c r="Q28" i="11" s="1"/>
  <c r="K28" i="11"/>
  <c r="M67" i="11"/>
  <c r="Q67" i="11" s="1"/>
  <c r="M55" i="11"/>
  <c r="Q55" i="11" s="1"/>
  <c r="M43" i="11"/>
  <c r="Q43" i="11" s="1"/>
  <c r="M31" i="11"/>
  <c r="Q31" i="11" s="1"/>
  <c r="M79" i="11"/>
  <c r="AB19" i="11" s="1"/>
  <c r="K67" i="11"/>
  <c r="K55" i="11"/>
  <c r="K43" i="11"/>
  <c r="K31" i="11"/>
  <c r="M19" i="11"/>
  <c r="Q19" i="11" s="1"/>
  <c r="K19" i="11"/>
  <c r="O10" i="11"/>
  <c r="M69" i="11"/>
  <c r="Q69" i="11" s="1"/>
  <c r="M57" i="11"/>
  <c r="Q57" i="11" s="1"/>
  <c r="M45" i="11"/>
  <c r="Q45" i="11" s="1"/>
  <c r="M33" i="11"/>
  <c r="Q33" i="11" s="1"/>
  <c r="M81" i="11"/>
  <c r="AB21" i="11" s="1"/>
  <c r="K69" i="11"/>
  <c r="K57" i="11"/>
  <c r="K45" i="11"/>
  <c r="K33" i="11"/>
  <c r="M21" i="11"/>
  <c r="Q21" i="11" s="1"/>
  <c r="K21" i="11"/>
  <c r="M80" i="11"/>
  <c r="AB20" i="11" s="1"/>
  <c r="M68" i="11"/>
  <c r="Q68" i="11" s="1"/>
  <c r="M56" i="11"/>
  <c r="Q56" i="11" s="1"/>
  <c r="M44" i="11"/>
  <c r="Q44" i="11" s="1"/>
  <c r="M32" i="11"/>
  <c r="Q32" i="11" s="1"/>
  <c r="M20" i="11"/>
  <c r="Q20" i="11" s="1"/>
  <c r="K68" i="11"/>
  <c r="K56" i="11"/>
  <c r="K44" i="11"/>
  <c r="K32" i="11"/>
  <c r="K20" i="11"/>
  <c r="O8" i="11"/>
  <c r="M63" i="11"/>
  <c r="Q63" i="11" s="1"/>
  <c r="M51" i="11"/>
  <c r="Q51" i="11" s="1"/>
  <c r="M39" i="11"/>
  <c r="Q39" i="11" s="1"/>
  <c r="M75" i="11"/>
  <c r="Q75" i="11" s="1"/>
  <c r="M87" i="11"/>
  <c r="AB27" i="11" s="1"/>
  <c r="K63" i="11"/>
  <c r="K51" i="11"/>
  <c r="K39" i="11"/>
  <c r="M27" i="11"/>
  <c r="Q27" i="11" s="1"/>
  <c r="K75" i="11"/>
  <c r="K27" i="11"/>
  <c r="O14" i="11"/>
  <c r="O6" i="11"/>
  <c r="Q15" i="9"/>
  <c r="I67" i="9"/>
  <c r="H64" i="9"/>
  <c r="I25" i="9"/>
  <c r="G72" i="9"/>
  <c r="I72" i="9" s="1"/>
  <c r="G64" i="9"/>
  <c r="I64" i="9" s="1"/>
  <c r="G65" i="9"/>
  <c r="I65" i="9" s="1"/>
  <c r="G66" i="9"/>
  <c r="I66" i="9" s="1"/>
  <c r="G67" i="9"/>
  <c r="H67" i="9" s="1"/>
  <c r="G68" i="9"/>
  <c r="I68" i="9" s="1"/>
  <c r="G69" i="9"/>
  <c r="I69" i="9" s="1"/>
  <c r="G70" i="9"/>
  <c r="I70" i="9" s="1"/>
  <c r="G71" i="9"/>
  <c r="I71" i="9" s="1"/>
  <c r="G46" i="9"/>
  <c r="I46" i="9" s="1"/>
  <c r="G47" i="9"/>
  <c r="H47" i="9" s="1"/>
  <c r="G48" i="9"/>
  <c r="H48" i="9" s="1"/>
  <c r="G49" i="9"/>
  <c r="I49" i="9" s="1"/>
  <c r="G50" i="9"/>
  <c r="I50" i="9" s="1"/>
  <c r="G51" i="9"/>
  <c r="H51" i="9" s="1"/>
  <c r="G52" i="9"/>
  <c r="H52" i="9" s="1"/>
  <c r="G53" i="9"/>
  <c r="H53" i="9" s="1"/>
  <c r="G54" i="9"/>
  <c r="I54" i="9" s="1"/>
  <c r="G55" i="9"/>
  <c r="H55" i="9" s="1"/>
  <c r="G56" i="9"/>
  <c r="H56" i="9" s="1"/>
  <c r="G57" i="9"/>
  <c r="I57" i="9" s="1"/>
  <c r="G58" i="9"/>
  <c r="I58" i="9" s="1"/>
  <c r="G59" i="9"/>
  <c r="H59" i="9" s="1"/>
  <c r="G60" i="9"/>
  <c r="H60" i="9" s="1"/>
  <c r="G61" i="9"/>
  <c r="I61" i="9" s="1"/>
  <c r="G62" i="9"/>
  <c r="I62" i="9" s="1"/>
  <c r="G63" i="9"/>
  <c r="I63" i="9" s="1"/>
  <c r="G27" i="9"/>
  <c r="I27" i="9" s="1"/>
  <c r="G28" i="9"/>
  <c r="I28" i="9" s="1"/>
  <c r="G29" i="9"/>
  <c r="I29" i="9" s="1"/>
  <c r="G30" i="9"/>
  <c r="H30" i="9" s="1"/>
  <c r="G31" i="9"/>
  <c r="I31" i="9" s="1"/>
  <c r="G32" i="9"/>
  <c r="I32" i="9" s="1"/>
  <c r="G33" i="9"/>
  <c r="H33" i="9" s="1"/>
  <c r="G34" i="9"/>
  <c r="H34" i="9" s="1"/>
  <c r="G35" i="9"/>
  <c r="I35" i="9" s="1"/>
  <c r="G36" i="9"/>
  <c r="I36" i="9" s="1"/>
  <c r="G37" i="9"/>
  <c r="I37" i="9" s="1"/>
  <c r="G38" i="9"/>
  <c r="H38" i="9" s="1"/>
  <c r="G39" i="9"/>
  <c r="I39" i="9" s="1"/>
  <c r="G40" i="9"/>
  <c r="I40" i="9" s="1"/>
  <c r="G41" i="9"/>
  <c r="H41" i="9" s="1"/>
  <c r="G42" i="9"/>
  <c r="H42" i="9" s="1"/>
  <c r="G43" i="9"/>
  <c r="I43" i="9" s="1"/>
  <c r="G44" i="9"/>
  <c r="I44" i="9" s="1"/>
  <c r="G45" i="9"/>
  <c r="I45" i="9" s="1"/>
  <c r="K15" i="9"/>
  <c r="H40" i="9" l="1"/>
  <c r="H46" i="9"/>
  <c r="H72" i="9"/>
  <c r="M84" i="11"/>
  <c r="AB24" i="11" s="1"/>
  <c r="M72" i="11"/>
  <c r="Q72" i="11" s="1"/>
  <c r="M60" i="11"/>
  <c r="Q60" i="11" s="1"/>
  <c r="M48" i="11"/>
  <c r="Q48" i="11" s="1"/>
  <c r="M36" i="11"/>
  <c r="Q36" i="11" s="1"/>
  <c r="K24" i="11"/>
  <c r="K60" i="11"/>
  <c r="K48" i="11"/>
  <c r="K36" i="11"/>
  <c r="K72" i="11"/>
  <c r="M24" i="11"/>
  <c r="Q24" i="11" s="1"/>
  <c r="M82" i="11"/>
  <c r="AB22" i="11" s="1"/>
  <c r="M58" i="11"/>
  <c r="Q58" i="11" s="1"/>
  <c r="M46" i="11"/>
  <c r="Q46" i="11" s="1"/>
  <c r="M34" i="11"/>
  <c r="Q34" i="11" s="1"/>
  <c r="K58" i="11"/>
  <c r="K46" i="11"/>
  <c r="K34" i="11"/>
  <c r="M70" i="11"/>
  <c r="Q70" i="11" s="1"/>
  <c r="K70" i="11"/>
  <c r="M22" i="11"/>
  <c r="Q22" i="11" s="1"/>
  <c r="K22" i="11"/>
  <c r="M90" i="11"/>
  <c r="AB30" i="11" s="1"/>
  <c r="M78" i="11"/>
  <c r="Q78" i="11" s="1"/>
  <c r="K78" i="11"/>
  <c r="M66" i="11"/>
  <c r="Q66" i="11" s="1"/>
  <c r="M54" i="11"/>
  <c r="Q54" i="11" s="1"/>
  <c r="M42" i="11"/>
  <c r="Q42" i="11" s="1"/>
  <c r="K66" i="11"/>
  <c r="K54" i="11"/>
  <c r="K42" i="11"/>
  <c r="M30" i="11"/>
  <c r="Q30" i="11" s="1"/>
  <c r="K30" i="11"/>
  <c r="O15" i="11"/>
  <c r="M86" i="11"/>
  <c r="AB26" i="11" s="1"/>
  <c r="M74" i="11"/>
  <c r="Q74" i="11" s="1"/>
  <c r="K74" i="11"/>
  <c r="M62" i="11"/>
  <c r="Q62" i="11" s="1"/>
  <c r="M50" i="11"/>
  <c r="Q50" i="11" s="1"/>
  <c r="M38" i="11"/>
  <c r="Q38" i="11" s="1"/>
  <c r="M26" i="11"/>
  <c r="Q26" i="11" s="1"/>
  <c r="Q79" i="11" s="1"/>
  <c r="K62" i="11"/>
  <c r="K50" i="11"/>
  <c r="K38" i="11"/>
  <c r="K26" i="11"/>
  <c r="H43" i="9"/>
  <c r="I30" i="9"/>
  <c r="H35" i="9"/>
  <c r="H32" i="9"/>
  <c r="I59" i="9"/>
  <c r="H27" i="9"/>
  <c r="I56" i="9"/>
  <c r="O4" i="9" s="1"/>
  <c r="I51" i="9"/>
  <c r="O11" i="9" s="1"/>
  <c r="H54" i="9"/>
  <c r="I38" i="9"/>
  <c r="I48" i="9"/>
  <c r="O9" i="9"/>
  <c r="N5" i="9"/>
  <c r="P5" i="9" s="1"/>
  <c r="O12" i="9"/>
  <c r="H39" i="9"/>
  <c r="H31" i="9"/>
  <c r="N3" i="9" s="1"/>
  <c r="H58" i="9"/>
  <c r="H50" i="9"/>
  <c r="H71" i="9"/>
  <c r="N7" i="9" s="1"/>
  <c r="P7" i="9" s="1"/>
  <c r="H63" i="9"/>
  <c r="I42" i="9"/>
  <c r="I34" i="9"/>
  <c r="O6" i="9" s="1"/>
  <c r="I26" i="9"/>
  <c r="O10" i="9" s="1"/>
  <c r="I55" i="9"/>
  <c r="O3" i="9" s="1"/>
  <c r="I47" i="9"/>
  <c r="H57" i="9"/>
  <c r="H49" i="9"/>
  <c r="H70" i="9"/>
  <c r="H62" i="9"/>
  <c r="N10" i="9" s="1"/>
  <c r="P10" i="9" s="1"/>
  <c r="I41" i="9"/>
  <c r="I33" i="9"/>
  <c r="O5" i="9" s="1"/>
  <c r="H37" i="9"/>
  <c r="H29" i="9"/>
  <c r="H69" i="9"/>
  <c r="H61" i="9"/>
  <c r="I53" i="9"/>
  <c r="H36" i="9"/>
  <c r="N8" i="9" s="1"/>
  <c r="P8" i="9" s="1"/>
  <c r="H28" i="9"/>
  <c r="N12" i="9" s="1"/>
  <c r="P12" i="9" s="1"/>
  <c r="H68" i="9"/>
  <c r="I60" i="9"/>
  <c r="O8" i="9" s="1"/>
  <c r="I52" i="9"/>
  <c r="H45" i="9"/>
  <c r="H66" i="9"/>
  <c r="N14" i="9" s="1"/>
  <c r="P14" i="9" s="1"/>
  <c r="H44" i="9"/>
  <c r="H65" i="9"/>
  <c r="F77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50" i="9"/>
  <c r="F51" i="9"/>
  <c r="F52" i="9"/>
  <c r="F53" i="9"/>
  <c r="F54" i="9"/>
  <c r="F55" i="9"/>
  <c r="F56" i="9"/>
  <c r="F57" i="9"/>
  <c r="F58" i="9"/>
  <c r="F59" i="9"/>
  <c r="F60" i="9"/>
  <c r="F61" i="9"/>
  <c r="F39" i="9"/>
  <c r="F40" i="9"/>
  <c r="F41" i="9"/>
  <c r="F42" i="9"/>
  <c r="F43" i="9"/>
  <c r="F44" i="9"/>
  <c r="F45" i="9"/>
  <c r="F46" i="9"/>
  <c r="F47" i="9"/>
  <c r="F48" i="9"/>
  <c r="F4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20" i="9"/>
  <c r="L24" i="2"/>
  <c r="P3" i="9" l="1"/>
  <c r="O7" i="9"/>
  <c r="U49" i="11"/>
  <c r="U29" i="11"/>
  <c r="U68" i="11"/>
  <c r="U37" i="11"/>
  <c r="U75" i="11"/>
  <c r="U65" i="11"/>
  <c r="U76" i="11"/>
  <c r="U33" i="11"/>
  <c r="U61" i="11"/>
  <c r="U67" i="11"/>
  <c r="U64" i="11"/>
  <c r="U21" i="11"/>
  <c r="U41" i="11"/>
  <c r="U28" i="11"/>
  <c r="U59" i="11"/>
  <c r="U43" i="11"/>
  <c r="U27" i="11"/>
  <c r="U25" i="11"/>
  <c r="U77" i="11"/>
  <c r="U35" i="11"/>
  <c r="U71" i="11"/>
  <c r="U45" i="11"/>
  <c r="U53" i="11"/>
  <c r="U19" i="11"/>
  <c r="U20" i="11"/>
  <c r="U44" i="11"/>
  <c r="U63" i="11"/>
  <c r="U56" i="11"/>
  <c r="U32" i="11"/>
  <c r="U52" i="11"/>
  <c r="U55" i="11"/>
  <c r="U31" i="11"/>
  <c r="U23" i="11"/>
  <c r="U39" i="11"/>
  <c r="U47" i="11"/>
  <c r="U57" i="11"/>
  <c r="U73" i="11"/>
  <c r="U69" i="11"/>
  <c r="U40" i="11"/>
  <c r="U51" i="11"/>
  <c r="U34" i="11"/>
  <c r="U30" i="11"/>
  <c r="U74" i="11"/>
  <c r="U24" i="11"/>
  <c r="U72" i="11"/>
  <c r="U54" i="11"/>
  <c r="U38" i="11"/>
  <c r="U66" i="11"/>
  <c r="U22" i="11"/>
  <c r="U58" i="11"/>
  <c r="U26" i="11"/>
  <c r="U46" i="11"/>
  <c r="U50" i="11"/>
  <c r="U42" i="11"/>
  <c r="U70" i="11"/>
  <c r="U36" i="11"/>
  <c r="U48" i="11"/>
  <c r="U62" i="11"/>
  <c r="U78" i="11"/>
  <c r="U60" i="11"/>
  <c r="M51" i="9"/>
  <c r="Q51" i="9" s="1"/>
  <c r="M87" i="9"/>
  <c r="AG28" i="9" s="1"/>
  <c r="M39" i="9"/>
  <c r="Q39" i="9" s="1"/>
  <c r="M63" i="9"/>
  <c r="Q63" i="9" s="1"/>
  <c r="M75" i="9"/>
  <c r="Q75" i="9" s="1"/>
  <c r="M27" i="9"/>
  <c r="Q27" i="9" s="1"/>
  <c r="K75" i="9"/>
  <c r="K51" i="9"/>
  <c r="K27" i="9"/>
  <c r="K63" i="9"/>
  <c r="K39" i="9"/>
  <c r="M80" i="9"/>
  <c r="AG21" i="9" s="1"/>
  <c r="M32" i="9"/>
  <c r="Q32" i="9" s="1"/>
  <c r="M20" i="9"/>
  <c r="Q20" i="9" s="1"/>
  <c r="M68" i="9"/>
  <c r="Q68" i="9" s="1"/>
  <c r="M56" i="9"/>
  <c r="Q56" i="9" s="1"/>
  <c r="M44" i="9"/>
  <c r="Q44" i="9" s="1"/>
  <c r="M60" i="9"/>
  <c r="Q60" i="9" s="1"/>
  <c r="M24" i="9"/>
  <c r="Q24" i="9" s="1"/>
  <c r="M48" i="9"/>
  <c r="Q48" i="9" s="1"/>
  <c r="M84" i="9"/>
  <c r="AG25" i="9" s="1"/>
  <c r="M36" i="9"/>
  <c r="Q36" i="9" s="1"/>
  <c r="M72" i="9"/>
  <c r="Q72" i="9" s="1"/>
  <c r="K19" i="9"/>
  <c r="M79" i="9"/>
  <c r="AG20" i="9" s="1"/>
  <c r="M31" i="9"/>
  <c r="Q31" i="9" s="1"/>
  <c r="M67" i="9"/>
  <c r="Q67" i="9" s="1"/>
  <c r="M19" i="9"/>
  <c r="M55" i="9"/>
  <c r="Q55" i="9" s="1"/>
  <c r="M43" i="9"/>
  <c r="Q43" i="9" s="1"/>
  <c r="L19" i="9"/>
  <c r="J19" i="9"/>
  <c r="L55" i="9"/>
  <c r="O55" i="9" s="1"/>
  <c r="L43" i="9"/>
  <c r="O43" i="9" s="1"/>
  <c r="L67" i="9"/>
  <c r="O67" i="9" s="1"/>
  <c r="L79" i="9"/>
  <c r="AC20" i="9" s="1"/>
  <c r="L31" i="9"/>
  <c r="O31" i="9" s="1"/>
  <c r="L88" i="9"/>
  <c r="AC29" i="9" s="1"/>
  <c r="L76" i="9"/>
  <c r="O76" i="9" s="1"/>
  <c r="L64" i="9"/>
  <c r="O64" i="9" s="1"/>
  <c r="L52" i="9"/>
  <c r="O52" i="9" s="1"/>
  <c r="L28" i="9"/>
  <c r="O28" i="9" s="1"/>
  <c r="L40" i="9"/>
  <c r="O40" i="9" s="1"/>
  <c r="M70" i="9"/>
  <c r="Q70" i="9" s="1"/>
  <c r="M22" i="9"/>
  <c r="Q22" i="9" s="1"/>
  <c r="M58" i="9"/>
  <c r="Q58" i="9" s="1"/>
  <c r="M82" i="9"/>
  <c r="AG23" i="9" s="1"/>
  <c r="M34" i="9"/>
  <c r="Q34" i="9" s="1"/>
  <c r="M46" i="9"/>
  <c r="Q46" i="9" s="1"/>
  <c r="M69" i="9"/>
  <c r="Q69" i="9" s="1"/>
  <c r="M21" i="9"/>
  <c r="Q21" i="9" s="1"/>
  <c r="M57" i="9"/>
  <c r="Q57" i="9" s="1"/>
  <c r="M45" i="9"/>
  <c r="Q45" i="9" s="1"/>
  <c r="M81" i="9"/>
  <c r="AG22" i="9" s="1"/>
  <c r="M33" i="9"/>
  <c r="Q33" i="9" s="1"/>
  <c r="L72" i="9"/>
  <c r="O72" i="9" s="1"/>
  <c r="L24" i="9"/>
  <c r="O24" i="9" s="1"/>
  <c r="L84" i="9"/>
  <c r="AC25" i="9" s="1"/>
  <c r="L60" i="9"/>
  <c r="O60" i="9" s="1"/>
  <c r="L36" i="9"/>
  <c r="O36" i="9" s="1"/>
  <c r="L48" i="9"/>
  <c r="O48" i="9" s="1"/>
  <c r="O14" i="9"/>
  <c r="M52" i="9"/>
  <c r="Q52" i="9" s="1"/>
  <c r="M88" i="9"/>
  <c r="AG29" i="9" s="1"/>
  <c r="M40" i="9"/>
  <c r="Q40" i="9" s="1"/>
  <c r="M76" i="9"/>
  <c r="Q76" i="9" s="1"/>
  <c r="M28" i="9"/>
  <c r="Q28" i="9" s="1"/>
  <c r="M64" i="9"/>
  <c r="Q64" i="9" s="1"/>
  <c r="N4" i="9"/>
  <c r="P4" i="9" s="1"/>
  <c r="L45" i="9"/>
  <c r="O45" i="9" s="1"/>
  <c r="L33" i="9"/>
  <c r="O33" i="9" s="1"/>
  <c r="L81" i="9"/>
  <c r="AC22" i="9" s="1"/>
  <c r="L57" i="9"/>
  <c r="O57" i="9" s="1"/>
  <c r="L69" i="9"/>
  <c r="O69" i="9" s="1"/>
  <c r="L21" i="9"/>
  <c r="O21" i="9" s="1"/>
  <c r="L83" i="9"/>
  <c r="AC24" i="9" s="1"/>
  <c r="L35" i="9"/>
  <c r="O35" i="9" s="1"/>
  <c r="L71" i="9"/>
  <c r="O71" i="9" s="1"/>
  <c r="L23" i="9"/>
  <c r="O23" i="9" s="1"/>
  <c r="L47" i="9"/>
  <c r="O47" i="9" s="1"/>
  <c r="L59" i="9"/>
  <c r="O59" i="9" s="1"/>
  <c r="L54" i="9"/>
  <c r="O54" i="9" s="1"/>
  <c r="L30" i="9"/>
  <c r="O30" i="9" s="1"/>
  <c r="L90" i="9"/>
  <c r="AC31" i="9" s="1"/>
  <c r="L42" i="9"/>
  <c r="O42" i="9" s="1"/>
  <c r="L78" i="9"/>
  <c r="O78" i="9" s="1"/>
  <c r="L66" i="9"/>
  <c r="O66" i="9" s="1"/>
  <c r="N13" i="9"/>
  <c r="P13" i="9" s="1"/>
  <c r="M59" i="9"/>
  <c r="Q59" i="9" s="1"/>
  <c r="M71" i="9"/>
  <c r="Q71" i="9" s="1"/>
  <c r="M47" i="9"/>
  <c r="Q47" i="9" s="1"/>
  <c r="M35" i="9"/>
  <c r="Q35" i="9" s="1"/>
  <c r="M23" i="9"/>
  <c r="Q23" i="9" s="1"/>
  <c r="M83" i="9"/>
  <c r="AG24" i="9" s="1"/>
  <c r="N6" i="9"/>
  <c r="P6" i="9" s="1"/>
  <c r="N9" i="9"/>
  <c r="J73" i="9" s="1"/>
  <c r="M37" i="9"/>
  <c r="Q37" i="9" s="1"/>
  <c r="M73" i="9"/>
  <c r="Q73" i="9" s="1"/>
  <c r="M61" i="9"/>
  <c r="Q61" i="9" s="1"/>
  <c r="M25" i="9"/>
  <c r="Q25" i="9" s="1"/>
  <c r="M85" i="9"/>
  <c r="AG26" i="9" s="1"/>
  <c r="M49" i="9"/>
  <c r="Q49" i="9" s="1"/>
  <c r="L86" i="9"/>
  <c r="AC27" i="9" s="1"/>
  <c r="L62" i="9"/>
  <c r="O62" i="9" s="1"/>
  <c r="L38" i="9"/>
  <c r="O38" i="9" s="1"/>
  <c r="L74" i="9"/>
  <c r="O74" i="9" s="1"/>
  <c r="L50" i="9"/>
  <c r="O50" i="9" s="1"/>
  <c r="L26" i="9"/>
  <c r="O26" i="9" s="1"/>
  <c r="M62" i="9"/>
  <c r="Q62" i="9" s="1"/>
  <c r="M38" i="9"/>
  <c r="Q38" i="9" s="1"/>
  <c r="M86" i="9"/>
  <c r="AG27" i="9" s="1"/>
  <c r="M74" i="9"/>
  <c r="Q74" i="9" s="1"/>
  <c r="M50" i="9"/>
  <c r="Q50" i="9" s="1"/>
  <c r="M26" i="9"/>
  <c r="Q26" i="9" s="1"/>
  <c r="J54" i="9"/>
  <c r="J30" i="9"/>
  <c r="J66" i="9"/>
  <c r="J78" i="9"/>
  <c r="J42" i="9"/>
  <c r="J59" i="9"/>
  <c r="J47" i="9"/>
  <c r="J35" i="9"/>
  <c r="J71" i="9"/>
  <c r="J23" i="9"/>
  <c r="J41" i="9"/>
  <c r="K47" i="9"/>
  <c r="K23" i="9"/>
  <c r="K71" i="9"/>
  <c r="K59" i="9"/>
  <c r="K35" i="9"/>
  <c r="J46" i="9"/>
  <c r="J58" i="9"/>
  <c r="K67" i="9"/>
  <c r="K43" i="9"/>
  <c r="K55" i="9"/>
  <c r="K31" i="9"/>
  <c r="K62" i="9"/>
  <c r="K38" i="9"/>
  <c r="K50" i="9"/>
  <c r="K26" i="9"/>
  <c r="K74" i="9"/>
  <c r="K36" i="9"/>
  <c r="K48" i="9"/>
  <c r="K24" i="9"/>
  <c r="K72" i="9"/>
  <c r="K60" i="9"/>
  <c r="J76" i="9"/>
  <c r="J52" i="9"/>
  <c r="J28" i="9"/>
  <c r="J64" i="9"/>
  <c r="J40" i="9"/>
  <c r="J68" i="9"/>
  <c r="J44" i="9"/>
  <c r="J20" i="9"/>
  <c r="J56" i="9"/>
  <c r="J32" i="9"/>
  <c r="K76" i="9"/>
  <c r="K64" i="9"/>
  <c r="K40" i="9"/>
  <c r="K52" i="9"/>
  <c r="K28" i="9"/>
  <c r="J74" i="9"/>
  <c r="J26" i="9"/>
  <c r="J62" i="9"/>
  <c r="J38" i="9"/>
  <c r="J50" i="9"/>
  <c r="J67" i="9"/>
  <c r="J55" i="9"/>
  <c r="J31" i="9"/>
  <c r="J43" i="9"/>
  <c r="K21" i="9"/>
  <c r="K45" i="9"/>
  <c r="K69" i="9"/>
  <c r="K57" i="9"/>
  <c r="K33" i="9"/>
  <c r="N11" i="9"/>
  <c r="P11" i="9" s="1"/>
  <c r="J60" i="9"/>
  <c r="J36" i="9"/>
  <c r="J24" i="9"/>
  <c r="J48" i="9"/>
  <c r="J72" i="9"/>
  <c r="O13" i="9"/>
  <c r="K46" i="9"/>
  <c r="K22" i="9"/>
  <c r="K70" i="9"/>
  <c r="K58" i="9"/>
  <c r="K34" i="9"/>
  <c r="J45" i="9"/>
  <c r="J69" i="9"/>
  <c r="J21" i="9"/>
  <c r="J57" i="9"/>
  <c r="J33" i="9"/>
  <c r="K54" i="9"/>
  <c r="K78" i="9"/>
  <c r="K30" i="9"/>
  <c r="K66" i="9"/>
  <c r="K42" i="9"/>
  <c r="K68" i="9"/>
  <c r="K20" i="9"/>
  <c r="K56" i="9"/>
  <c r="K32" i="9"/>
  <c r="K44" i="9"/>
  <c r="K61" i="9"/>
  <c r="K37" i="9"/>
  <c r="K49" i="9"/>
  <c r="K25" i="9"/>
  <c r="K73" i="9"/>
  <c r="Q24" i="2"/>
  <c r="F28" i="2"/>
  <c r="D29" i="2"/>
  <c r="E29" i="2"/>
  <c r="E27" i="2"/>
  <c r="D27" i="2"/>
  <c r="E26" i="2"/>
  <c r="D26" i="2"/>
  <c r="J65" i="9" l="1"/>
  <c r="O19" i="9"/>
  <c r="J29" i="9"/>
  <c r="J53" i="9"/>
  <c r="Q19" i="9"/>
  <c r="J25" i="9"/>
  <c r="P9" i="9"/>
  <c r="J49" i="9"/>
  <c r="N15" i="9"/>
  <c r="J37" i="9"/>
  <c r="J61" i="9"/>
  <c r="P15" i="9"/>
  <c r="U79" i="11"/>
  <c r="W6" i="11" s="1"/>
  <c r="W8" i="11" s="1"/>
  <c r="L75" i="9"/>
  <c r="O75" i="9" s="1"/>
  <c r="L27" i="9"/>
  <c r="O27" i="9" s="1"/>
  <c r="L63" i="9"/>
  <c r="O63" i="9" s="1"/>
  <c r="L51" i="9"/>
  <c r="O51" i="9" s="1"/>
  <c r="L39" i="9"/>
  <c r="O39" i="9" s="1"/>
  <c r="L87" i="9"/>
  <c r="AC28" i="9" s="1"/>
  <c r="L65" i="9"/>
  <c r="O65" i="9" s="1"/>
  <c r="L53" i="9"/>
  <c r="O53" i="9" s="1"/>
  <c r="L89" i="9"/>
  <c r="AC30" i="9" s="1"/>
  <c r="L77" i="9"/>
  <c r="O77" i="9" s="1"/>
  <c r="L41" i="9"/>
  <c r="O41" i="9" s="1"/>
  <c r="L29" i="9"/>
  <c r="O29" i="9" s="1"/>
  <c r="L82" i="9"/>
  <c r="AC23" i="9" s="1"/>
  <c r="L34" i="9"/>
  <c r="O34" i="9" s="1"/>
  <c r="L70" i="9"/>
  <c r="O70" i="9" s="1"/>
  <c r="L22" i="9"/>
  <c r="O22" i="9" s="1"/>
  <c r="L58" i="9"/>
  <c r="O58" i="9" s="1"/>
  <c r="L46" i="9"/>
  <c r="O46" i="9" s="1"/>
  <c r="J22" i="9"/>
  <c r="M90" i="9"/>
  <c r="AG31" i="9" s="1"/>
  <c r="M42" i="9"/>
  <c r="Q42" i="9" s="1"/>
  <c r="M30" i="9"/>
  <c r="Q30" i="9" s="1"/>
  <c r="M78" i="9"/>
  <c r="Q78" i="9" s="1"/>
  <c r="M54" i="9"/>
  <c r="Q54" i="9" s="1"/>
  <c r="M66" i="9"/>
  <c r="Q66" i="9" s="1"/>
  <c r="M53" i="9"/>
  <c r="Q53" i="9" s="1"/>
  <c r="M89" i="9"/>
  <c r="AG30" i="9" s="1"/>
  <c r="M41" i="9"/>
  <c r="Q41" i="9" s="1"/>
  <c r="M77" i="9"/>
  <c r="Q77" i="9" s="1"/>
  <c r="M29" i="9"/>
  <c r="Q29" i="9" s="1"/>
  <c r="Q79" i="9" s="1"/>
  <c r="U26" i="9" s="1"/>
  <c r="M65" i="9"/>
  <c r="Q65" i="9" s="1"/>
  <c r="J34" i="9"/>
  <c r="L44" i="9"/>
  <c r="O44" i="9" s="1"/>
  <c r="L80" i="9"/>
  <c r="AC21" i="9" s="1"/>
  <c r="L32" i="9"/>
  <c r="O32" i="9" s="1"/>
  <c r="L56" i="9"/>
  <c r="O56" i="9" s="1"/>
  <c r="L68" i="9"/>
  <c r="O68" i="9" s="1"/>
  <c r="L20" i="9"/>
  <c r="O20" i="9" s="1"/>
  <c r="J70" i="9"/>
  <c r="J77" i="9"/>
  <c r="L73" i="9"/>
  <c r="O73" i="9" s="1"/>
  <c r="L37" i="9"/>
  <c r="O37" i="9" s="1"/>
  <c r="L49" i="9"/>
  <c r="O49" i="9" s="1"/>
  <c r="L61" i="9"/>
  <c r="O61" i="9" s="1"/>
  <c r="L25" i="9"/>
  <c r="O25" i="9" s="1"/>
  <c r="L85" i="9"/>
  <c r="AC26" i="9" s="1"/>
  <c r="J75" i="9"/>
  <c r="J27" i="9"/>
  <c r="J63" i="9"/>
  <c r="J51" i="9"/>
  <c r="J39" i="9"/>
  <c r="K53" i="9"/>
  <c r="K29" i="9"/>
  <c r="K77" i="9"/>
  <c r="K65" i="9"/>
  <c r="K41" i="9"/>
  <c r="O15" i="9"/>
  <c r="F26" i="2"/>
  <c r="D28" i="2"/>
  <c r="C15" i="2"/>
  <c r="D15" i="2"/>
  <c r="E15" i="2"/>
  <c r="F15" i="2"/>
  <c r="B15" i="2"/>
  <c r="B17" i="2"/>
  <c r="V10" i="9" l="1"/>
  <c r="W10" i="9"/>
  <c r="AA23" i="11"/>
  <c r="AC20" i="11"/>
  <c r="AA28" i="11"/>
  <c r="AC19" i="11"/>
  <c r="AA19" i="11"/>
  <c r="AA25" i="11"/>
  <c r="AA29" i="11"/>
  <c r="AA21" i="11"/>
  <c r="AC25" i="11"/>
  <c r="AC29" i="11"/>
  <c r="AC21" i="11"/>
  <c r="AC27" i="11"/>
  <c r="AA27" i="11"/>
  <c r="AC23" i="11"/>
  <c r="AA20" i="11"/>
  <c r="AC28" i="11"/>
  <c r="AC22" i="11"/>
  <c r="AC26" i="11"/>
  <c r="AA22" i="11"/>
  <c r="AC30" i="11"/>
  <c r="AA24" i="11"/>
  <c r="AC24" i="11"/>
  <c r="AA30" i="11"/>
  <c r="AA26" i="11"/>
  <c r="U74" i="9"/>
  <c r="U38" i="9"/>
  <c r="U61" i="9"/>
  <c r="U49" i="9"/>
  <c r="U54" i="9"/>
  <c r="U75" i="9"/>
  <c r="U76" i="9"/>
  <c r="U66" i="9"/>
  <c r="U58" i="9"/>
  <c r="U21" i="9"/>
  <c r="U32" i="9"/>
  <c r="U47" i="9"/>
  <c r="U70" i="9"/>
  <c r="U24" i="9"/>
  <c r="U51" i="9"/>
  <c r="U55" i="9"/>
  <c r="U69" i="9"/>
  <c r="U64" i="9"/>
  <c r="U71" i="9"/>
  <c r="U23" i="9"/>
  <c r="U68" i="9"/>
  <c r="U33" i="9"/>
  <c r="U42" i="9"/>
  <c r="U35" i="9"/>
  <c r="U20" i="9"/>
  <c r="U67" i="9"/>
  <c r="U57" i="9"/>
  <c r="U59" i="9"/>
  <c r="U65" i="9"/>
  <c r="U22" i="9"/>
  <c r="U72" i="9"/>
  <c r="U43" i="9"/>
  <c r="U78" i="9"/>
  <c r="U63" i="9"/>
  <c r="U52" i="9"/>
  <c r="U34" i="9"/>
  <c r="U44" i="9"/>
  <c r="U41" i="9"/>
  <c r="U45" i="9"/>
  <c r="U39" i="9"/>
  <c r="U30" i="9"/>
  <c r="U36" i="9"/>
  <c r="U46" i="9"/>
  <c r="U48" i="9"/>
  <c r="U27" i="9"/>
  <c r="U53" i="9"/>
  <c r="U19" i="9"/>
  <c r="U29" i="9"/>
  <c r="U31" i="9"/>
  <c r="U60" i="9"/>
  <c r="U40" i="9"/>
  <c r="U56" i="9"/>
  <c r="U77" i="9"/>
  <c r="U28" i="9"/>
  <c r="O79" i="9"/>
  <c r="S73" i="9" s="1"/>
  <c r="U37" i="9"/>
  <c r="U25" i="9"/>
  <c r="U50" i="9"/>
  <c r="U73" i="9"/>
  <c r="U62" i="9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C44" i="2"/>
  <c r="Q25" i="2"/>
  <c r="S37" i="9" l="1"/>
  <c r="S61" i="9"/>
  <c r="S19" i="9"/>
  <c r="S58" i="9"/>
  <c r="S76" i="9"/>
  <c r="S46" i="9"/>
  <c r="S43" i="9"/>
  <c r="S56" i="9"/>
  <c r="S32" i="9"/>
  <c r="S47" i="9"/>
  <c r="S77" i="9"/>
  <c r="S42" i="9"/>
  <c r="S23" i="9"/>
  <c r="S75" i="9"/>
  <c r="S39" i="9"/>
  <c r="S68" i="9"/>
  <c r="S28" i="9"/>
  <c r="S22" i="9"/>
  <c r="S36" i="9"/>
  <c r="S53" i="9"/>
  <c r="S60" i="9"/>
  <c r="S27" i="9"/>
  <c r="S44" i="9"/>
  <c r="S30" i="9"/>
  <c r="S31" i="9"/>
  <c r="S54" i="9"/>
  <c r="S41" i="9"/>
  <c r="S33" i="9"/>
  <c r="S78" i="9"/>
  <c r="S66" i="9"/>
  <c r="S29" i="9"/>
  <c r="S52" i="9"/>
  <c r="S70" i="9"/>
  <c r="S63" i="9"/>
  <c r="S24" i="9"/>
  <c r="S35" i="9"/>
  <c r="S55" i="9"/>
  <c r="S65" i="9"/>
  <c r="S69" i="9"/>
  <c r="S51" i="9"/>
  <c r="S20" i="9"/>
  <c r="S67" i="9"/>
  <c r="S57" i="9"/>
  <c r="S71" i="9"/>
  <c r="S40" i="9"/>
  <c r="S34" i="9"/>
  <c r="S45" i="9"/>
  <c r="S21" i="9"/>
  <c r="S59" i="9"/>
  <c r="S48" i="9"/>
  <c r="S72" i="9"/>
  <c r="S64" i="9"/>
  <c r="S38" i="9"/>
  <c r="S26" i="9"/>
  <c r="S50" i="9"/>
  <c r="S62" i="9"/>
  <c r="S74" i="9"/>
  <c r="S49" i="9"/>
  <c r="S25" i="9"/>
  <c r="U79" i="9"/>
  <c r="W6" i="9" s="1"/>
  <c r="W8" i="9" s="1"/>
  <c r="Q28" i="2"/>
  <c r="P31" i="2" s="1"/>
  <c r="R24" i="2" s="1"/>
  <c r="Q27" i="2"/>
  <c r="Q26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D33" i="2"/>
  <c r="D42" i="2"/>
  <c r="D30" i="2"/>
  <c r="D31" i="2"/>
  <c r="D32" i="2"/>
  <c r="D34" i="2"/>
  <c r="D35" i="2"/>
  <c r="D36" i="2"/>
  <c r="D37" i="2"/>
  <c r="D38" i="2"/>
  <c r="D39" i="2"/>
  <c r="D40" i="2"/>
  <c r="D41" i="2"/>
  <c r="C27" i="2"/>
  <c r="C43" i="2"/>
  <c r="C42" i="2"/>
  <c r="C41" i="2"/>
  <c r="C40" i="2"/>
  <c r="C39" i="2"/>
  <c r="C38" i="2"/>
  <c r="C37" i="2"/>
  <c r="C36" i="2"/>
  <c r="C35" i="2"/>
  <c r="C34" i="2"/>
  <c r="C33" i="2"/>
  <c r="D18" i="2"/>
  <c r="C32" i="2"/>
  <c r="D17" i="2"/>
  <c r="C31" i="2"/>
  <c r="C20" i="2"/>
  <c r="C30" i="2"/>
  <c r="C29" i="2"/>
  <c r="C18" i="2"/>
  <c r="C28" i="2"/>
  <c r="C17" i="2"/>
  <c r="B20" i="2"/>
  <c r="C26" i="2"/>
  <c r="B19" i="2"/>
  <c r="C25" i="2"/>
  <c r="B18" i="2"/>
  <c r="C24" i="2"/>
  <c r="F20" i="2"/>
  <c r="D20" i="2"/>
  <c r="E20" i="2"/>
  <c r="C19" i="2"/>
  <c r="D19" i="2"/>
  <c r="E19" i="2"/>
  <c r="F19" i="2"/>
  <c r="E18" i="2"/>
  <c r="F18" i="2"/>
  <c r="E17" i="2"/>
  <c r="F17" i="2"/>
  <c r="M28" i="2" l="1"/>
  <c r="M24" i="2"/>
  <c r="M32" i="2"/>
  <c r="M44" i="2"/>
  <c r="M36" i="2"/>
  <c r="M40" i="2"/>
  <c r="K24" i="2"/>
  <c r="AH20" i="9"/>
  <c r="AH23" i="9"/>
  <c r="AF22" i="9"/>
  <c r="AF25" i="9"/>
  <c r="AH29" i="9"/>
  <c r="AF20" i="9"/>
  <c r="AH22" i="9"/>
  <c r="AF21" i="9"/>
  <c r="AH21" i="9"/>
  <c r="AF27" i="9"/>
  <c r="AH27" i="9"/>
  <c r="AH28" i="9"/>
  <c r="AH26" i="9"/>
  <c r="AF28" i="9"/>
  <c r="AH24" i="9"/>
  <c r="AF26" i="9"/>
  <c r="AF23" i="9"/>
  <c r="AF24" i="9"/>
  <c r="AH25" i="9"/>
  <c r="AF29" i="9"/>
  <c r="AH30" i="9"/>
  <c r="AF30" i="9"/>
  <c r="AF31" i="9"/>
  <c r="AH31" i="9"/>
  <c r="S79" i="9"/>
  <c r="V6" i="9" s="1"/>
  <c r="V8" i="9" s="1"/>
  <c r="G24" i="2"/>
  <c r="R26" i="2"/>
  <c r="R25" i="2"/>
  <c r="R27" i="2"/>
  <c r="E17" i="1"/>
  <c r="F17" i="1"/>
  <c r="C17" i="1"/>
  <c r="D17" i="1"/>
  <c r="B17" i="1"/>
  <c r="M43" i="2" l="1"/>
  <c r="M47" i="2"/>
  <c r="M31" i="2"/>
  <c r="M35" i="2"/>
  <c r="M39" i="2"/>
  <c r="M27" i="2"/>
  <c r="M26" i="2"/>
  <c r="M42" i="2"/>
  <c r="M30" i="2"/>
  <c r="M46" i="2"/>
  <c r="M34" i="2"/>
  <c r="M38" i="2"/>
  <c r="M33" i="2"/>
  <c r="K25" i="2"/>
  <c r="M29" i="2"/>
  <c r="M45" i="2"/>
  <c r="M25" i="2"/>
  <c r="M41" i="2"/>
  <c r="M37" i="2"/>
  <c r="AD31" i="9"/>
  <c r="AB29" i="9"/>
  <c r="AB31" i="9"/>
  <c r="AB22" i="9"/>
  <c r="AD29" i="9"/>
  <c r="AB24" i="9"/>
  <c r="AB25" i="9"/>
  <c r="AD22" i="9"/>
  <c r="AD24" i="9"/>
  <c r="AD25" i="9"/>
  <c r="AB27" i="9"/>
  <c r="AD20" i="9"/>
  <c r="AD27" i="9"/>
  <c r="AB20" i="9"/>
  <c r="AB23" i="9"/>
  <c r="AD23" i="9"/>
  <c r="AB21" i="9"/>
  <c r="AB26" i="9"/>
  <c r="AD21" i="9"/>
  <c r="AD28" i="9"/>
  <c r="AD26" i="9"/>
  <c r="AD30" i="9"/>
  <c r="AB30" i="9"/>
  <c r="AB28" i="9"/>
  <c r="K39" i="2"/>
  <c r="K35" i="2"/>
  <c r="K27" i="2"/>
  <c r="K31" i="2"/>
  <c r="K43" i="2"/>
  <c r="K47" i="2"/>
  <c r="G30" i="2"/>
  <c r="K30" i="2"/>
  <c r="K46" i="2"/>
  <c r="K38" i="2"/>
  <c r="K26" i="2"/>
  <c r="K42" i="2"/>
  <c r="K34" i="2"/>
  <c r="K33" i="2"/>
  <c r="K45" i="2"/>
  <c r="K29" i="2"/>
  <c r="K41" i="2"/>
  <c r="K37" i="2"/>
  <c r="K44" i="2"/>
  <c r="K36" i="2"/>
  <c r="K28" i="2"/>
  <c r="K40" i="2"/>
  <c r="K32" i="2"/>
  <c r="G43" i="2"/>
  <c r="G39" i="2"/>
  <c r="G31" i="2"/>
  <c r="G27" i="2"/>
  <c r="Q35" i="2" s="1"/>
  <c r="G35" i="2"/>
  <c r="G36" i="2"/>
  <c r="G32" i="2"/>
  <c r="G28" i="2"/>
  <c r="G40" i="2"/>
  <c r="G29" i="2"/>
  <c r="G25" i="2"/>
  <c r="G41" i="2"/>
  <c r="G33" i="2"/>
  <c r="G37" i="2"/>
  <c r="G38" i="2"/>
  <c r="G34" i="2"/>
  <c r="G26" i="2"/>
  <c r="G42" i="2"/>
  <c r="R28" i="2"/>
  <c r="Q37" i="2" l="1"/>
  <c r="Q42" i="2"/>
  <c r="S42" i="2" s="1"/>
  <c r="Q41" i="2"/>
  <c r="S41" i="2" s="1"/>
  <c r="J67" i="11" l="1"/>
  <c r="J19" i="11"/>
  <c r="N15" i="11"/>
  <c r="J55" i="11"/>
  <c r="J43" i="11"/>
  <c r="J31" i="11"/>
  <c r="J65" i="11"/>
  <c r="J41" i="11"/>
  <c r="J77" i="11"/>
  <c r="J29" i="11"/>
  <c r="J53" i="11"/>
  <c r="J60" i="11"/>
  <c r="J24" i="11"/>
  <c r="J48" i="11"/>
  <c r="J72" i="11"/>
  <c r="J36" i="11"/>
  <c r="J46" i="11"/>
  <c r="J70" i="11"/>
  <c r="J22" i="11"/>
  <c r="J34" i="11"/>
  <c r="J58" i="11"/>
  <c r="J21" i="11"/>
  <c r="J33" i="11"/>
  <c r="J69" i="11"/>
  <c r="J45" i="11"/>
  <c r="J57" i="11"/>
  <c r="J28" i="11"/>
  <c r="J76" i="11"/>
  <c r="J40" i="11"/>
  <c r="J52" i="11"/>
  <c r="J64" i="11"/>
  <c r="J63" i="11"/>
  <c r="J27" i="11"/>
  <c r="J51" i="11"/>
  <c r="J39" i="11"/>
  <c r="J75" i="11"/>
  <c r="J66" i="11"/>
  <c r="J42" i="11"/>
  <c r="J54" i="11"/>
  <c r="J78" i="11"/>
  <c r="J30" i="11"/>
  <c r="J59" i="11"/>
  <c r="J23" i="11"/>
  <c r="J47" i="11"/>
  <c r="J71" i="11"/>
  <c r="J35" i="11"/>
  <c r="J37" i="11"/>
  <c r="J73" i="11"/>
  <c r="J25" i="11"/>
  <c r="J61" i="11"/>
  <c r="J49" i="11"/>
  <c r="L66" i="11"/>
  <c r="O66" i="11" s="1"/>
  <c r="J32" i="11"/>
  <c r="J68" i="11"/>
  <c r="J44" i="11"/>
  <c r="J20" i="11"/>
  <c r="J56" i="11"/>
  <c r="L24" i="11"/>
  <c r="O24" i="11" s="1"/>
  <c r="L76" i="11"/>
  <c r="O76" i="11" s="1"/>
  <c r="L65" i="11"/>
  <c r="O65" i="11" s="1"/>
  <c r="L37" i="11"/>
  <c r="O37" i="11" s="1"/>
  <c r="L68" i="11"/>
  <c r="O68" i="11" s="1"/>
  <c r="L82" i="11"/>
  <c r="X22" i="11" s="1"/>
  <c r="L84" i="11"/>
  <c r="X24" i="11" s="1"/>
  <c r="J50" i="11"/>
  <c r="L50" i="11"/>
  <c r="O50" i="11" s="1"/>
  <c r="J74" i="11"/>
  <c r="J38" i="11"/>
  <c r="J26" i="11"/>
  <c r="L74" i="11"/>
  <c r="O74" i="11" s="1"/>
  <c r="J62" i="11"/>
  <c r="L83" i="11"/>
  <c r="X23" i="11" s="1"/>
  <c r="L61" i="11"/>
  <c r="O61" i="11" s="1"/>
  <c r="L26" i="11"/>
  <c r="O26" i="11" s="1"/>
  <c r="L45" i="11"/>
  <c r="O45" i="11" s="1"/>
  <c r="L78" i="11"/>
  <c r="O78" i="11" s="1"/>
  <c r="L72" i="11"/>
  <c r="O72" i="11"/>
  <c r="L70" i="11"/>
  <c r="O70" i="11" s="1"/>
  <c r="L36" i="11"/>
  <c r="O36" i="11" s="1"/>
  <c r="L63" i="11"/>
  <c r="O63" i="11" s="1"/>
  <c r="L46" i="11"/>
  <c r="O46" i="11" s="1"/>
  <c r="L34" i="11"/>
  <c r="O34" i="11" s="1"/>
  <c r="L88" i="11"/>
  <c r="X28" i="11" s="1"/>
  <c r="L80" i="11"/>
  <c r="X20" i="11" s="1"/>
  <c r="L71" i="11"/>
  <c r="O71" i="11" s="1"/>
  <c r="L77" i="11"/>
  <c r="O77" i="11" s="1"/>
  <c r="L73" i="11"/>
  <c r="O73" i="11" s="1"/>
  <c r="L28" i="11"/>
  <c r="O28" i="11" s="1"/>
  <c r="L20" i="11"/>
  <c r="O20" i="11" s="1"/>
  <c r="L54" i="11"/>
  <c r="O54" i="11" s="1"/>
  <c r="L47" i="11"/>
  <c r="O47" i="11" s="1"/>
  <c r="L87" i="11"/>
  <c r="X27" i="11" s="1"/>
  <c r="L85" i="11"/>
  <c r="X25" i="11" s="1"/>
  <c r="L75" i="11"/>
  <c r="O75" i="11"/>
  <c r="L90" i="11"/>
  <c r="X30" i="11" s="1"/>
  <c r="L81" i="11"/>
  <c r="X21" i="11" s="1"/>
  <c r="L60" i="11"/>
  <c r="O60" i="11" s="1"/>
  <c r="P8" i="11"/>
  <c r="L48" i="11"/>
  <c r="O48" i="11" s="1"/>
  <c r="L21" i="11"/>
  <c r="O21" i="11" s="1"/>
  <c r="L52" i="11"/>
  <c r="O52" i="11" s="1"/>
  <c r="L40" i="11"/>
  <c r="O40" i="11"/>
  <c r="L59" i="11"/>
  <c r="O59" i="11" s="1"/>
  <c r="L69" i="11"/>
  <c r="O69" i="11" s="1"/>
  <c r="L55" i="11"/>
  <c r="O55" i="11" s="1"/>
  <c r="L27" i="11"/>
  <c r="O27" i="11" s="1"/>
  <c r="L79" i="11"/>
  <c r="X19" i="11" s="1"/>
  <c r="L86" i="11"/>
  <c r="X26" i="11" s="1"/>
  <c r="L89" i="11"/>
  <c r="X29" i="11" s="1"/>
  <c r="L19" i="11"/>
  <c r="O19" i="11" s="1"/>
  <c r="L58" i="11"/>
  <c r="O58" i="11" s="1"/>
  <c r="L25" i="11"/>
  <c r="O25" i="11" s="1"/>
  <c r="L62" i="11"/>
  <c r="O62" i="11" s="1"/>
  <c r="P10" i="11"/>
  <c r="L38" i="11"/>
  <c r="O38" i="11" s="1"/>
  <c r="L31" i="11"/>
  <c r="O31" i="11"/>
  <c r="L57" i="11"/>
  <c r="O57" i="11" s="1"/>
  <c r="L35" i="11"/>
  <c r="O35" i="11" s="1"/>
  <c r="L56" i="11"/>
  <c r="O56" i="11" s="1"/>
  <c r="L43" i="11"/>
  <c r="O43" i="11" s="1"/>
  <c r="P3" i="11"/>
  <c r="L67" i="11"/>
  <c r="O67" i="11" s="1"/>
  <c r="P9" i="11"/>
  <c r="L49" i="11"/>
  <c r="O49" i="11" s="1"/>
  <c r="P12" i="11"/>
  <c r="L64" i="11"/>
  <c r="O64" i="11" s="1"/>
  <c r="L32" i="11"/>
  <c r="O32" i="11" s="1"/>
  <c r="L39" i="11"/>
  <c r="O39" i="11" s="1"/>
  <c r="L42" i="11"/>
  <c r="O42" i="11" s="1"/>
  <c r="P11" i="11"/>
  <c r="L51" i="11"/>
  <c r="O51" i="11" s="1"/>
  <c r="P14" i="11"/>
  <c r="L30" i="11"/>
  <c r="O30" i="11" s="1"/>
  <c r="P5" i="11"/>
  <c r="L33" i="11"/>
  <c r="O33" i="11" s="1"/>
  <c r="L41" i="11"/>
  <c r="O41" i="11" s="1"/>
  <c r="P4" i="11"/>
  <c r="L44" i="11"/>
  <c r="O44" i="11"/>
  <c r="P7" i="11"/>
  <c r="L23" i="11"/>
  <c r="O23" i="11" s="1"/>
  <c r="L53" i="11"/>
  <c r="O53" i="11" s="1"/>
  <c r="P13" i="11"/>
  <c r="L29" i="11"/>
  <c r="O29" i="11" s="1"/>
  <c r="P6" i="11"/>
  <c r="L22" i="11"/>
  <c r="O22" i="11"/>
  <c r="P15" i="11" l="1"/>
  <c r="O79" i="11"/>
  <c r="S64" i="11" s="1"/>
  <c r="S50" i="11" l="1"/>
  <c r="S53" i="11"/>
  <c r="S38" i="11"/>
  <c r="S33" i="11"/>
  <c r="S37" i="11"/>
  <c r="S28" i="11"/>
  <c r="S40" i="11"/>
  <c r="S32" i="11"/>
  <c r="S47" i="11"/>
  <c r="S65" i="11"/>
  <c r="S77" i="11"/>
  <c r="S31" i="11"/>
  <c r="S78" i="11"/>
  <c r="S54" i="11"/>
  <c r="S46" i="11"/>
  <c r="S73" i="11"/>
  <c r="S52" i="11"/>
  <c r="S76" i="11"/>
  <c r="S41" i="11"/>
  <c r="S56" i="11"/>
  <c r="S27" i="11"/>
  <c r="S74" i="11"/>
  <c r="S75" i="11"/>
  <c r="S19" i="11"/>
  <c r="S79" i="11" s="1"/>
  <c r="V6" i="11" s="1"/>
  <c r="V8" i="11" s="1"/>
  <c r="S21" i="11"/>
  <c r="S61" i="11"/>
  <c r="S36" i="11"/>
  <c r="S34" i="11"/>
  <c r="S20" i="11"/>
  <c r="S48" i="11"/>
  <c r="S29" i="11"/>
  <c r="S51" i="11"/>
  <c r="S63" i="11"/>
  <c r="S49" i="11"/>
  <c r="S35" i="11"/>
  <c r="S68" i="11"/>
  <c r="S30" i="11"/>
  <c r="S69" i="11"/>
  <c r="S26" i="11"/>
  <c r="S45" i="11"/>
  <c r="S71" i="11"/>
  <c r="S55" i="11"/>
  <c r="S60" i="11"/>
  <c r="S24" i="11"/>
  <c r="S59" i="11"/>
  <c r="S62" i="11"/>
  <c r="S43" i="11"/>
  <c r="S23" i="11"/>
  <c r="S44" i="11"/>
  <c r="S42" i="11"/>
  <c r="S67" i="11"/>
  <c r="S22" i="11"/>
  <c r="S66" i="11"/>
  <c r="S72" i="11"/>
  <c r="S57" i="11"/>
  <c r="S70" i="11"/>
  <c r="S58" i="11"/>
  <c r="S25" i="11"/>
  <c r="S39" i="11"/>
  <c r="Y27" i="11" l="1"/>
  <c r="W27" i="11"/>
  <c r="W20" i="11"/>
  <c r="W21" i="11"/>
  <c r="W29" i="11"/>
  <c r="W19" i="11"/>
  <c r="Y24" i="11"/>
  <c r="W25" i="11"/>
  <c r="W26" i="11"/>
  <c r="Y25" i="11"/>
  <c r="Y26" i="11"/>
  <c r="Y29" i="11"/>
  <c r="Y21" i="11"/>
  <c r="Y28" i="11"/>
  <c r="Y19" i="11"/>
  <c r="Y22" i="11"/>
  <c r="Y23" i="11"/>
  <c r="Y20" i="11"/>
  <c r="W30" i="11"/>
  <c r="Y30" i="11"/>
  <c r="W24" i="11"/>
  <c r="W23" i="11"/>
  <c r="W22" i="11"/>
  <c r="W28" i="11"/>
</calcChain>
</file>

<file path=xl/sharedStrings.xml><?xml version="1.0" encoding="utf-8"?>
<sst xmlns="http://schemas.openxmlformats.org/spreadsheetml/2006/main" count="451" uniqueCount="109">
  <si>
    <t>Производство продукции, млн руб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</si>
  <si>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</si>
  <si>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</si>
  <si>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</si>
  <si>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</si>
  <si>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</si>
  <si>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</si>
  <si>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</si>
  <si>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</si>
  <si>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</si>
  <si>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</si>
  <si>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</si>
  <si>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</si>
  <si>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среднегодовое</t>
  </si>
  <si>
    <t>I</t>
  </si>
  <si>
    <t>II</t>
  </si>
  <si>
    <t>III</t>
  </si>
  <si>
    <t>IV</t>
  </si>
  <si>
    <t>Скользящая средняя за 4 кв</t>
  </si>
  <si>
    <t>Центрированная скользящая средняя</t>
  </si>
  <si>
    <t>Индекс сезонности индивид.</t>
  </si>
  <si>
    <t>Корректирющая составляющая</t>
  </si>
  <si>
    <t>Σ</t>
  </si>
  <si>
    <t>индекс сезонности</t>
  </si>
  <si>
    <t>скорректированный инд.сез.</t>
  </si>
  <si>
    <t>Десезонализированные данные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</si>
  <si>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</si>
  <si>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</si>
  <si>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</si>
  <si>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</si>
  <si>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</si>
  <si>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</si>
  <si>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</si>
  <si>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</si>
  <si>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</si>
  <si>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</si>
  <si>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</si>
  <si>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</si>
  <si>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</si>
  <si>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</si>
  <si>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</si>
  <si>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</si>
  <si>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</si>
  <si>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</si>
  <si>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</si>
  <si>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</si>
  <si>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</si>
  <si>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</si>
  <si>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</si>
  <si>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</si>
  <si>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</si>
  <si>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по (1-4)*5</t>
  </si>
  <si>
    <t>дисперсия по г</t>
  </si>
  <si>
    <t>дисперсия по в</t>
  </si>
  <si>
    <t>ср.квадр</t>
  </si>
  <si>
    <t>параметры уравнения тренда:</t>
  </si>
  <si>
    <t>оценка ошибки:</t>
  </si>
  <si>
    <t>по 1-20 (в книге так)</t>
  </si>
  <si>
    <t>уравнение тренда:</t>
  </si>
  <si>
    <t>y=3,89-0,0034*t</t>
  </si>
  <si>
    <t>Прогноз:</t>
  </si>
  <si>
    <t>по ур. c учетом инд.сез.</t>
  </si>
  <si>
    <t>по ур. без учета</t>
  </si>
  <si>
    <t>ср.знач.</t>
  </si>
  <si>
    <t>Yt</t>
  </si>
  <si>
    <t>m=</t>
  </si>
  <si>
    <t>p=</t>
  </si>
  <si>
    <t>t=</t>
  </si>
  <si>
    <t>+</t>
  </si>
  <si>
    <t>Zt</t>
  </si>
  <si>
    <t>Zt трехзвен.</t>
  </si>
  <si>
    <t>St*Et мульт</t>
  </si>
  <si>
    <t>St+Et адд</t>
  </si>
  <si>
    <t>Регрессия мультипликативная</t>
  </si>
  <si>
    <t>Регрессия аддитивная</t>
  </si>
  <si>
    <t>прогноз</t>
  </si>
  <si>
    <t>y=3,87+0,0012*t</t>
  </si>
  <si>
    <t>y=3,88+0,001*t</t>
  </si>
  <si>
    <t>Xt без сез.сост. Мульт</t>
  </si>
  <si>
    <t>Xt без сез.сост. Адд</t>
  </si>
  <si>
    <t>tꜵ (n-2)=</t>
  </si>
  <si>
    <t>Ut мульт</t>
  </si>
  <si>
    <t>Ut адд</t>
  </si>
  <si>
    <t>Tr(t) мульт</t>
  </si>
  <si>
    <t>Tr(t) адд</t>
  </si>
  <si>
    <t>Uср мульт</t>
  </si>
  <si>
    <t>Uср адд</t>
  </si>
  <si>
    <t xml:space="preserve">Σ </t>
  </si>
  <si>
    <t>n=</t>
  </si>
  <si>
    <t>a=</t>
  </si>
  <si>
    <t>b=</t>
  </si>
  <si>
    <t>Sост=</t>
  </si>
  <si>
    <r>
      <t>(Ut - Uср)</t>
    </r>
    <r>
      <rPr>
        <b/>
        <sz val="14"/>
        <color theme="1"/>
        <rFont val="Calibri"/>
        <family val="2"/>
        <charset val="204"/>
      </rPr>
      <t>²</t>
    </r>
    <r>
      <rPr>
        <b/>
        <sz val="14"/>
        <color theme="1"/>
        <rFont val="Calibri"/>
        <family val="2"/>
        <charset val="204"/>
        <scheme val="minor"/>
      </rPr>
      <t xml:space="preserve"> мульт</t>
    </r>
  </si>
  <si>
    <r>
      <t>(Ut - Uср)</t>
    </r>
    <r>
      <rPr>
        <b/>
        <sz val="14"/>
        <color theme="1"/>
        <rFont val="Calibri"/>
        <family val="2"/>
        <charset val="204"/>
      </rPr>
      <t>²</t>
    </r>
    <r>
      <rPr>
        <b/>
        <sz val="14"/>
        <color theme="1"/>
        <rFont val="Calibri"/>
        <family val="2"/>
        <charset val="204"/>
        <scheme val="minor"/>
      </rPr>
      <t xml:space="preserve"> адд</t>
    </r>
  </si>
  <si>
    <t>мультипликативная</t>
  </si>
  <si>
    <t>аддитивная</t>
  </si>
  <si>
    <t>Δ=</t>
  </si>
  <si>
    <t>≤ больше</t>
  </si>
  <si>
    <t>≤ меньше</t>
  </si>
  <si>
    <t>Прогнозные значения</t>
  </si>
  <si>
    <t>по (1-4)умн5</t>
  </si>
  <si>
    <t>по 1-20</t>
  </si>
  <si>
    <r>
      <t>R</t>
    </r>
    <r>
      <rPr>
        <b/>
        <sz val="12"/>
        <color theme="1"/>
        <rFont val="Calibri"/>
        <family val="2"/>
        <charset val="204"/>
      </rPr>
      <t>²=</t>
    </r>
  </si>
  <si>
    <r>
      <t>(Y-</t>
    </r>
    <r>
      <rPr>
        <b/>
        <sz val="14"/>
        <color theme="1"/>
        <rFont val="Calibri"/>
        <family val="2"/>
        <charset val="204"/>
      </rPr>
      <t>Ῡ)²</t>
    </r>
  </si>
  <si>
    <r>
      <t xml:space="preserve">(Tr м - </t>
    </r>
    <r>
      <rPr>
        <b/>
        <sz val="14"/>
        <color theme="1"/>
        <rFont val="Calibri"/>
        <family val="2"/>
        <charset val="204"/>
      </rPr>
      <t>Ῡ)²</t>
    </r>
  </si>
  <si>
    <r>
      <t xml:space="preserve">(Tr а - </t>
    </r>
    <r>
      <rPr>
        <b/>
        <sz val="14"/>
        <color theme="1"/>
        <rFont val="Calibri"/>
        <family val="2"/>
        <charset val="204"/>
      </rPr>
      <t>Ῡ)²</t>
    </r>
  </si>
  <si>
    <r>
      <t>Для расчета R</t>
    </r>
    <r>
      <rPr>
        <b/>
        <sz val="18"/>
        <color theme="1"/>
        <rFont val="Calibri"/>
        <family val="2"/>
        <charset val="204"/>
      </rPr>
      <t>²</t>
    </r>
  </si>
  <si>
    <t>Ῡ=</t>
  </si>
  <si>
    <r>
      <t>R</t>
    </r>
    <r>
      <rPr>
        <b/>
        <sz val="12"/>
        <color theme="1"/>
        <rFont val="Calibri"/>
        <family val="2"/>
        <charset val="204"/>
      </rPr>
      <t>² ручной расчет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</si>
</sst>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Courier"/>
      <charset val="204"/>
    </font>
    <font>
      <b/>
      <sz val="1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 Cyr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charset val="204"/>
      <scheme val="minor"/>
    </font>
    <font>
      <b/>
      <sz val="16"/>
      <name val="Arial Cyr"/>
      <charset val="204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BFE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/>
      <right style="mediumDashDot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1" xfId="0" applyBorder="1"/>
    <xf numFmtId="0" fontId="3" fillId="0" borderId="1" xfId="0" applyFont="1" applyBorder="1" applyProtection="1"/>
    <xf numFmtId="0" fontId="1" fillId="0" borderId="1" xfId="0" applyFont="1" applyBorder="1" applyAlignment="1" applyProtection="1">
      <alignment horizontal="left"/>
    </xf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 applyProtection="1">
      <alignment horizontal="left"/>
    </xf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Continuous"/>
    </xf>
    <xf numFmtId="0" fontId="8" fillId="0" borderId="1" xfId="0" applyFont="1" applyBorder="1"/>
    <xf numFmtId="0" fontId="8" fillId="0" borderId="0" xfId="0" applyFont="1"/>
    <xf numFmtId="0" fontId="9" fillId="5" borderId="4" xfId="0" applyFont="1" applyFill="1" applyBorder="1" applyProtection="1"/>
    <xf numFmtId="0" fontId="10" fillId="5" borderId="5" xfId="0" applyFont="1" applyFill="1" applyBorder="1" applyAlignment="1" applyProtection="1">
      <alignment horizontal="left"/>
    </xf>
    <xf numFmtId="0" fontId="8" fillId="5" borderId="5" xfId="0" applyFont="1" applyFill="1" applyBorder="1"/>
    <xf numFmtId="0" fontId="8" fillId="5" borderId="9" xfId="0" applyFont="1" applyFill="1" applyBorder="1"/>
    <xf numFmtId="0" fontId="8" fillId="5" borderId="11" xfId="0" applyFont="1" applyFill="1" applyBorder="1"/>
    <xf numFmtId="0" fontId="8" fillId="5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left"/>
    </xf>
    <xf numFmtId="0" fontId="8" fillId="5" borderId="6" xfId="0" applyFont="1" applyFill="1" applyBorder="1"/>
    <xf numFmtId="0" fontId="10" fillId="5" borderId="1" xfId="0" applyFont="1" applyFill="1" applyBorder="1" applyAlignment="1" applyProtection="1">
      <alignment horizontal="left"/>
    </xf>
    <xf numFmtId="0" fontId="8" fillId="5" borderId="1" xfId="0" applyFont="1" applyFill="1" applyBorder="1"/>
    <xf numFmtId="0" fontId="8" fillId="5" borderId="2" xfId="0" applyFont="1" applyFill="1" applyBorder="1"/>
    <xf numFmtId="0" fontId="8" fillId="5" borderId="0" xfId="0" applyFont="1" applyFill="1" applyBorder="1"/>
    <xf numFmtId="0" fontId="8" fillId="2" borderId="1" xfId="0" applyFont="1" applyFill="1" applyBorder="1"/>
    <xf numFmtId="0" fontId="8" fillId="5" borderId="7" xfId="0" applyFont="1" applyFill="1" applyBorder="1"/>
    <xf numFmtId="0" fontId="10" fillId="5" borderId="8" xfId="0" applyFont="1" applyFill="1" applyBorder="1" applyAlignment="1" applyProtection="1">
      <alignment horizontal="left"/>
    </xf>
    <xf numFmtId="0" fontId="8" fillId="5" borderId="8" xfId="0" applyFont="1" applyFill="1" applyBorder="1"/>
    <xf numFmtId="0" fontId="8" fillId="5" borderId="10" xfId="0" applyFont="1" applyFill="1" applyBorder="1"/>
    <xf numFmtId="0" fontId="8" fillId="5" borderId="12" xfId="0" applyFont="1" applyFill="1" applyBorder="1"/>
    <xf numFmtId="0" fontId="9" fillId="3" borderId="4" xfId="0" applyFont="1" applyFill="1" applyBorder="1" applyProtection="1"/>
    <xf numFmtId="0" fontId="10" fillId="3" borderId="5" xfId="0" applyFont="1" applyFill="1" applyBorder="1" applyAlignment="1" applyProtection="1">
      <alignment horizontal="left"/>
    </xf>
    <xf numFmtId="0" fontId="8" fillId="3" borderId="5" xfId="0" applyFont="1" applyFill="1" applyBorder="1"/>
    <xf numFmtId="0" fontId="8" fillId="3" borderId="9" xfId="0" applyFont="1" applyFill="1" applyBorder="1"/>
    <xf numFmtId="0" fontId="8" fillId="3" borderId="1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6" xfId="0" applyFont="1" applyFill="1" applyBorder="1"/>
    <xf numFmtId="0" fontId="10" fillId="3" borderId="1" xfId="0" applyFont="1" applyFill="1" applyBorder="1" applyAlignment="1" applyProtection="1">
      <alignment horizontal="left"/>
    </xf>
    <xf numFmtId="0" fontId="8" fillId="3" borderId="1" xfId="0" applyFont="1" applyFill="1" applyBorder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7" xfId="0" applyFont="1" applyFill="1" applyBorder="1"/>
    <xf numFmtId="0" fontId="10" fillId="3" borderId="8" xfId="0" applyFont="1" applyFill="1" applyBorder="1" applyAlignment="1" applyProtection="1">
      <alignment horizontal="left"/>
    </xf>
    <xf numFmtId="0" fontId="8" fillId="3" borderId="8" xfId="0" applyFont="1" applyFill="1" applyBorder="1"/>
    <xf numFmtId="0" fontId="8" fillId="3" borderId="10" xfId="0" applyFont="1" applyFill="1" applyBorder="1"/>
    <xf numFmtId="0" fontId="8" fillId="3" borderId="12" xfId="0" applyFont="1" applyFill="1" applyBorder="1"/>
    <xf numFmtId="0" fontId="10" fillId="0" borderId="0" xfId="0" applyFont="1"/>
    <xf numFmtId="0" fontId="10" fillId="4" borderId="3" xfId="0" applyFont="1" applyFill="1" applyBorder="1"/>
    <xf numFmtId="0" fontId="8" fillId="0" borderId="18" xfId="0" applyFont="1" applyBorder="1" applyAlignment="1">
      <alignment horizontal="center"/>
    </xf>
    <xf numFmtId="0" fontId="10" fillId="4" borderId="11" xfId="0" applyFont="1" applyFill="1" applyBorder="1"/>
    <xf numFmtId="0" fontId="10" fillId="4" borderId="0" xfId="0" applyFont="1" applyFill="1" applyBorder="1"/>
    <xf numFmtId="0" fontId="10" fillId="4" borderId="12" xfId="0" applyFont="1" applyFill="1" applyBorder="1"/>
    <xf numFmtId="0" fontId="12" fillId="5" borderId="11" xfId="0" applyFont="1" applyFill="1" applyBorder="1"/>
    <xf numFmtId="0" fontId="12" fillId="5" borderId="0" xfId="0" applyFont="1" applyFill="1" applyBorder="1"/>
    <xf numFmtId="0" fontId="12" fillId="3" borderId="11" xfId="0" applyFont="1" applyFill="1" applyBorder="1"/>
    <xf numFmtId="0" fontId="12" fillId="3" borderId="0" xfId="0" applyFont="1" applyFill="1" applyBorder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6" xfId="0" applyFont="1" applyFill="1" applyBorder="1"/>
    <xf numFmtId="0" fontId="12" fillId="5" borderId="12" xfId="0" applyFont="1" applyFill="1" applyBorder="1"/>
    <xf numFmtId="0" fontId="12" fillId="3" borderId="12" xfId="0" applyFont="1" applyFill="1" applyBorder="1"/>
    <xf numFmtId="0" fontId="13" fillId="4" borderId="17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4" fillId="0" borderId="0" xfId="0" applyFont="1"/>
    <xf numFmtId="0" fontId="10" fillId="4" borderId="1" xfId="0" applyFont="1" applyFill="1" applyBorder="1" applyAlignment="1" applyProtection="1">
      <alignment horizontal="left"/>
    </xf>
    <xf numFmtId="0" fontId="8" fillId="0" borderId="18" xfId="0" applyFont="1" applyBorder="1"/>
    <xf numFmtId="0" fontId="8" fillId="0" borderId="19" xfId="0" applyFont="1" applyBorder="1"/>
    <xf numFmtId="0" fontId="10" fillId="4" borderId="21" xfId="0" applyFont="1" applyFill="1" applyBorder="1" applyAlignment="1" applyProtection="1">
      <alignment horizontal="left"/>
    </xf>
    <xf numFmtId="0" fontId="10" fillId="4" borderId="22" xfId="0" applyFont="1" applyFill="1" applyBorder="1" applyAlignment="1" applyProtection="1">
      <alignment horizontal="left"/>
    </xf>
    <xf numFmtId="0" fontId="10" fillId="4" borderId="23" xfId="0" applyFont="1" applyFill="1" applyBorder="1" applyAlignment="1" applyProtection="1">
      <alignment horizontal="left"/>
    </xf>
    <xf numFmtId="0" fontId="8" fillId="0" borderId="24" xfId="0" applyFont="1" applyBorder="1"/>
    <xf numFmtId="0" fontId="9" fillId="4" borderId="20" xfId="0" applyFont="1" applyFill="1" applyBorder="1" applyProtection="1"/>
    <xf numFmtId="0" fontId="8" fillId="0" borderId="28" xfId="0" applyFont="1" applyBorder="1"/>
    <xf numFmtId="0" fontId="9" fillId="4" borderId="24" xfId="0" applyFont="1" applyFill="1" applyBorder="1" applyProtection="1"/>
    <xf numFmtId="0" fontId="10" fillId="0" borderId="1" xfId="0" applyFont="1" applyBorder="1"/>
    <xf numFmtId="0" fontId="11" fillId="4" borderId="1" xfId="0" applyFont="1" applyFill="1" applyBorder="1"/>
    <xf numFmtId="0" fontId="8" fillId="4" borderId="1" xfId="0" applyFont="1" applyFill="1" applyBorder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" fillId="0" borderId="1" xfId="0" applyFont="1" applyBorder="1"/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3" fillId="0" borderId="0" xfId="0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8" fillId="0" borderId="16" xfId="0" applyFont="1" applyBorder="1" applyAlignment="1">
      <alignment horizontal="left"/>
    </xf>
    <xf numFmtId="164" fontId="0" fillId="0" borderId="0" xfId="0" applyNumberFormat="1" applyBorder="1"/>
    <xf numFmtId="164" fontId="0" fillId="6" borderId="0" xfId="0" applyNumberFormat="1" applyFill="1" applyBorder="1"/>
    <xf numFmtId="0" fontId="20" fillId="0" borderId="0" xfId="0" applyFont="1"/>
    <xf numFmtId="0" fontId="22" fillId="0" borderId="0" xfId="0" applyFont="1"/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3" fillId="0" borderId="11" xfId="0" applyFont="1" applyBorder="1" applyProtection="1"/>
    <xf numFmtId="0" fontId="1" fillId="0" borderId="11" xfId="0" applyFont="1" applyBorder="1" applyAlignment="1" applyProtection="1">
      <alignment horizontal="left"/>
    </xf>
    <xf numFmtId="164" fontId="0" fillId="0" borderId="11" xfId="0" applyNumberFormat="1" applyBorder="1"/>
    <xf numFmtId="164" fontId="0" fillId="6" borderId="11" xfId="0" applyNumberFormat="1" applyFill="1" applyBorder="1"/>
    <xf numFmtId="164" fontId="0" fillId="0" borderId="15" xfId="0" applyNumberFormat="1" applyBorder="1"/>
    <xf numFmtId="0" fontId="1" fillId="0" borderId="12" xfId="0" applyFont="1" applyBorder="1" applyAlignment="1" applyProtection="1">
      <alignment horizontal="left"/>
    </xf>
    <xf numFmtId="164" fontId="0" fillId="0" borderId="12" xfId="0" applyNumberFormat="1" applyBorder="1"/>
    <xf numFmtId="164" fontId="0" fillId="6" borderId="12" xfId="0" applyNumberFormat="1" applyFill="1" applyBorder="1"/>
    <xf numFmtId="164" fontId="0" fillId="0" borderId="16" xfId="0" applyNumberFormat="1" applyBorder="1"/>
    <xf numFmtId="0" fontId="0" fillId="0" borderId="30" xfId="0" applyBorder="1"/>
    <xf numFmtId="0" fontId="1" fillId="0" borderId="30" xfId="0" applyFont="1" applyBorder="1" applyAlignment="1" applyProtection="1">
      <alignment horizontal="left"/>
    </xf>
    <xf numFmtId="164" fontId="0" fillId="0" borderId="30" xfId="0" applyNumberFormat="1" applyBorder="1"/>
    <xf numFmtId="0" fontId="20" fillId="0" borderId="0" xfId="0" applyFont="1" applyBorder="1"/>
    <xf numFmtId="0" fontId="0" fillId="0" borderId="34" xfId="0" applyBorder="1"/>
    <xf numFmtId="0" fontId="1" fillId="0" borderId="34" xfId="0" applyFont="1" applyBorder="1" applyAlignment="1" applyProtection="1">
      <alignment horizontal="left"/>
    </xf>
    <xf numFmtId="164" fontId="0" fillId="0" borderId="34" xfId="0" applyNumberFormat="1" applyBorder="1"/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164" fontId="0" fillId="7" borderId="0" xfId="0" applyNumberFormat="1" applyFill="1" applyBorder="1"/>
    <xf numFmtId="164" fontId="0" fillId="7" borderId="12" xfId="0" applyNumberFormat="1" applyFill="1" applyBorder="1"/>
    <xf numFmtId="164" fontId="0" fillId="7" borderId="11" xfId="0" applyNumberFormat="1" applyFill="1" applyBorder="1"/>
    <xf numFmtId="164" fontId="0" fillId="7" borderId="30" xfId="0" applyNumberFormat="1" applyFill="1" applyBorder="1"/>
    <xf numFmtId="164" fontId="0" fillId="7" borderId="34" xfId="0" applyNumberFormat="1" applyFill="1" applyBorder="1"/>
    <xf numFmtId="0" fontId="10" fillId="8" borderId="37" xfId="0" applyFont="1" applyFill="1" applyBorder="1" applyAlignment="1">
      <alignment horizontal="center" vertical="center"/>
    </xf>
    <xf numFmtId="164" fontId="0" fillId="8" borderId="0" xfId="0" applyNumberFormat="1" applyFill="1" applyBorder="1"/>
    <xf numFmtId="164" fontId="0" fillId="8" borderId="12" xfId="0" applyNumberFormat="1" applyFill="1" applyBorder="1"/>
    <xf numFmtId="164" fontId="0" fillId="8" borderId="11" xfId="0" applyNumberFormat="1" applyFill="1" applyBorder="1"/>
    <xf numFmtId="164" fontId="0" fillId="8" borderId="30" xfId="0" applyNumberFormat="1" applyFill="1" applyBorder="1"/>
    <xf numFmtId="164" fontId="0" fillId="8" borderId="34" xfId="0" applyNumberFormat="1" applyFill="1" applyBorder="1"/>
    <xf numFmtId="0" fontId="0" fillId="8" borderId="0" xfId="0" applyFill="1" applyBorder="1"/>
    <xf numFmtId="0" fontId="0" fillId="8" borderId="34" xfId="0" applyFill="1" applyBorder="1"/>
    <xf numFmtId="0" fontId="10" fillId="9" borderId="37" xfId="0" applyFont="1" applyFill="1" applyBorder="1" applyAlignment="1">
      <alignment horizontal="center" vertical="center"/>
    </xf>
    <xf numFmtId="164" fontId="0" fillId="9" borderId="0" xfId="0" applyNumberFormat="1" applyFill="1" applyBorder="1"/>
    <xf numFmtId="164" fontId="0" fillId="9" borderId="30" xfId="0" applyNumberFormat="1" applyFill="1" applyBorder="1"/>
    <xf numFmtId="164" fontId="0" fillId="9" borderId="34" xfId="0" applyNumberFormat="1" applyFill="1" applyBorder="1"/>
    <xf numFmtId="0" fontId="10" fillId="7" borderId="38" xfId="0" applyFont="1" applyFill="1" applyBorder="1" applyAlignment="1">
      <alignment horizontal="center" vertical="center"/>
    </xf>
    <xf numFmtId="164" fontId="0" fillId="7" borderId="15" xfId="0" applyNumberFormat="1" applyFill="1" applyBorder="1"/>
    <xf numFmtId="164" fontId="0" fillId="7" borderId="16" xfId="0" applyNumberFormat="1" applyFill="1" applyBorder="1"/>
    <xf numFmtId="164" fontId="0" fillId="7" borderId="14" xfId="0" applyNumberFormat="1" applyFill="1" applyBorder="1"/>
    <xf numFmtId="164" fontId="0" fillId="7" borderId="32" xfId="0" applyNumberFormat="1" applyFill="1" applyBorder="1"/>
    <xf numFmtId="0" fontId="0" fillId="7" borderId="32" xfId="0" applyFill="1" applyBorder="1"/>
    <xf numFmtId="0" fontId="0" fillId="7" borderId="35" xfId="0" applyFill="1" applyBorder="1"/>
    <xf numFmtId="164" fontId="21" fillId="9" borderId="0" xfId="0" applyNumberFormat="1" applyFont="1" applyFill="1" applyBorder="1"/>
    <xf numFmtId="164" fontId="21" fillId="9" borderId="12" xfId="0" applyNumberFormat="1" applyFont="1" applyFill="1" applyBorder="1"/>
    <xf numFmtId="164" fontId="21" fillId="9" borderId="11" xfId="0" applyNumberFormat="1" applyFont="1" applyFill="1" applyBorder="1"/>
    <xf numFmtId="0" fontId="21" fillId="0" borderId="42" xfId="0" applyFont="1" applyBorder="1" applyAlignment="1">
      <alignment horizontal="center" vertical="center"/>
    </xf>
    <xf numFmtId="0" fontId="0" fillId="0" borderId="43" xfId="0" applyBorder="1"/>
    <xf numFmtId="0" fontId="1" fillId="0" borderId="43" xfId="0" applyFont="1" applyBorder="1" applyAlignment="1" applyProtection="1">
      <alignment horizontal="left"/>
    </xf>
    <xf numFmtId="164" fontId="21" fillId="9" borderId="43" xfId="0" applyNumberFormat="1" applyFont="1" applyFill="1" applyBorder="1"/>
    <xf numFmtId="164" fontId="0" fillId="6" borderId="43" xfId="0" applyNumberFormat="1" applyFill="1" applyBorder="1"/>
    <xf numFmtId="164" fontId="0" fillId="0" borderId="43" xfId="0" applyNumberFormat="1" applyBorder="1"/>
    <xf numFmtId="164" fontId="0" fillId="8" borderId="43" xfId="0" applyNumberFormat="1" applyFill="1" applyBorder="1"/>
    <xf numFmtId="164" fontId="0" fillId="7" borderId="43" xfId="0" applyNumberFormat="1" applyFill="1" applyBorder="1"/>
    <xf numFmtId="164" fontId="0" fillId="7" borderId="44" xfId="0" applyNumberFormat="1" applyFill="1" applyBorder="1"/>
    <xf numFmtId="0" fontId="21" fillId="0" borderId="45" xfId="0" applyFont="1" applyBorder="1" applyAlignment="1">
      <alignment horizontal="center" vertical="center"/>
    </xf>
    <xf numFmtId="164" fontId="0" fillId="9" borderId="43" xfId="0" applyNumberFormat="1" applyFill="1" applyBorder="1"/>
    <xf numFmtId="0" fontId="0" fillId="8" borderId="43" xfId="0" applyFill="1" applyBorder="1"/>
    <xf numFmtId="0" fontId="0" fillId="7" borderId="46" xfId="0" applyFill="1" applyBorder="1"/>
    <xf numFmtId="164" fontId="0" fillId="7" borderId="47" xfId="0" applyNumberFormat="1" applyFill="1" applyBorder="1"/>
    <xf numFmtId="164" fontId="0" fillId="8" borderId="27" xfId="0" applyNumberFormat="1" applyFill="1" applyBorder="1"/>
    <xf numFmtId="164" fontId="0" fillId="7" borderId="27" xfId="0" applyNumberFormat="1" applyFill="1" applyBorder="1"/>
    <xf numFmtId="164" fontId="21" fillId="0" borderId="25" xfId="0" applyNumberFormat="1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0" fillId="0" borderId="1" xfId="0" applyFont="1" applyBorder="1"/>
    <xf numFmtId="0" fontId="0" fillId="6" borderId="1" xfId="0" applyFill="1" applyBorder="1"/>
    <xf numFmtId="0" fontId="8" fillId="0" borderId="12" xfId="0" applyFont="1" applyBorder="1" applyAlignment="1">
      <alignment horizontal="left"/>
    </xf>
    <xf numFmtId="0" fontId="10" fillId="8" borderId="11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23" fillId="8" borderId="0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23" fillId="7" borderId="15" xfId="0" applyFont="1" applyFill="1" applyBorder="1" applyAlignment="1">
      <alignment horizontal="left"/>
    </xf>
    <xf numFmtId="0" fontId="8" fillId="7" borderId="16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20" fillId="0" borderId="0" xfId="0" applyFont="1" applyBorder="1" applyAlignment="1">
      <alignment horizontal="right"/>
    </xf>
    <xf numFmtId="164" fontId="0" fillId="10" borderId="6" xfId="0" applyNumberFormat="1" applyFill="1" applyBorder="1"/>
    <xf numFmtId="164" fontId="0" fillId="10" borderId="7" xfId="0" applyNumberFormat="1" applyFill="1" applyBorder="1"/>
    <xf numFmtId="164" fontId="0" fillId="10" borderId="15" xfId="0" applyNumberFormat="1" applyFill="1" applyBorder="1"/>
    <xf numFmtId="164" fontId="0" fillId="10" borderId="16" xfId="0" applyNumberFormat="1" applyFill="1" applyBorder="1"/>
    <xf numFmtId="164" fontId="0" fillId="11" borderId="6" xfId="0" applyNumberFormat="1" applyFill="1" applyBorder="1"/>
    <xf numFmtId="164" fontId="0" fillId="11" borderId="7" xfId="0" applyNumberFormat="1" applyFill="1" applyBorder="1"/>
    <xf numFmtId="164" fontId="0" fillId="11" borderId="15" xfId="0" applyNumberFormat="1" applyFill="1" applyBorder="1"/>
    <xf numFmtId="164" fontId="0" fillId="11" borderId="16" xfId="0" applyNumberFormat="1" applyFill="1" applyBorder="1"/>
    <xf numFmtId="0" fontId="0" fillId="0" borderId="0" xfId="0" applyFill="1"/>
    <xf numFmtId="164" fontId="19" fillId="7" borderId="30" xfId="0" applyNumberFormat="1" applyFont="1" applyFill="1" applyBorder="1" applyAlignment="1">
      <alignment horizontal="right"/>
    </xf>
    <xf numFmtId="0" fontId="24" fillId="2" borderId="39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10" fillId="7" borderId="4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left"/>
    </xf>
    <xf numFmtId="0" fontId="22" fillId="0" borderId="12" xfId="0" applyFont="1" applyBorder="1" applyAlignment="1">
      <alignment horizontal="right"/>
    </xf>
    <xf numFmtId="0" fontId="25" fillId="0" borderId="0" xfId="0" applyFont="1" applyAlignment="1">
      <alignment horizontal="right"/>
    </xf>
    <xf numFmtId="164" fontId="0" fillId="0" borderId="6" xfId="0" applyNumberFormat="1" applyBorder="1"/>
    <xf numFmtId="164" fontId="0" fillId="0" borderId="7" xfId="0" applyNumberFormat="1" applyBorder="1"/>
    <xf numFmtId="0" fontId="10" fillId="4" borderId="4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5" fillId="0" borderId="25" xfId="0" applyFont="1" applyBorder="1" applyAlignment="1" applyProtection="1">
      <alignment horizontal="center" vertical="center"/>
    </xf>
    <xf numFmtId="0" fontId="15" fillId="0" borderId="26" xfId="0" applyFont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6" fillId="0" borderId="6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22" fillId="0" borderId="12" xfId="0" applyFont="1" applyBorder="1" applyAlignment="1">
      <alignment horizontal="right"/>
    </xf>
    <xf numFmtId="0" fontId="2" fillId="0" borderId="0" xfId="0" applyFont="1" applyAlignment="1" applyProtection="1">
      <alignment horizontal="center" vertical="center"/>
    </xf>
    <xf numFmtId="167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BFEE8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Производство продукции, млн руб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491107198847717E-2"/>
          <c:y val="0.12972474426454164"/>
          <c:w val="0.92958819777698221"/>
          <c:h val="0.70913052147340638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Данные!$B$4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Данные!$A$5:$A$16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Данные!$B$5:$B$16</c:f>
              <c:numCache>
                <c:formatCode>General</c:formatCode>
                <c:ptCount val="12"/>
                <c:pt idx="0">
                  <c:v>4.43</c:v>
                </c:pt>
                <c:pt idx="1">
                  <c:v>3.05</c:v>
                </c:pt>
                <c:pt idx="2">
                  <c:v>2.63</c:v>
                </c:pt>
                <c:pt idx="3">
                  <c:v>4.43</c:v>
                </c:pt>
                <c:pt idx="4">
                  <c:v>5.27</c:v>
                </c:pt>
                <c:pt idx="5">
                  <c:v>4.1900000000000004</c:v>
                </c:pt>
                <c:pt idx="6">
                  <c:v>4.67</c:v>
                </c:pt>
                <c:pt idx="7">
                  <c:v>4.01</c:v>
                </c:pt>
                <c:pt idx="8">
                  <c:v>4.3099999999999996</c:v>
                </c:pt>
                <c:pt idx="9">
                  <c:v>2.95</c:v>
                </c:pt>
                <c:pt idx="10">
                  <c:v>3.11</c:v>
                </c:pt>
                <c:pt idx="11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A6F-BDA3-18A3D7F2EDDF}"/>
            </c:ext>
          </c:extLst>
        </c:ser>
        <c:ser>
          <c:idx val="1"/>
          <c:order val="1"/>
          <c:tx>
            <c:strRef>
              <c:f>Данные!$C$4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Данные!$A$5:$A$16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Данные!$C$5:$C$16</c:f>
              <c:numCache>
                <c:formatCode>General</c:formatCode>
                <c:ptCount val="12"/>
                <c:pt idx="0">
                  <c:v>3.6</c:v>
                </c:pt>
                <c:pt idx="1">
                  <c:v>3.23</c:v>
                </c:pt>
                <c:pt idx="2">
                  <c:v>3.59</c:v>
                </c:pt>
                <c:pt idx="3">
                  <c:v>4.38</c:v>
                </c:pt>
                <c:pt idx="4">
                  <c:v>4.62</c:v>
                </c:pt>
                <c:pt idx="5">
                  <c:v>4.4400000000000004</c:v>
                </c:pt>
                <c:pt idx="6">
                  <c:v>4.08</c:v>
                </c:pt>
                <c:pt idx="7">
                  <c:v>3.78</c:v>
                </c:pt>
                <c:pt idx="8">
                  <c:v>3.72</c:v>
                </c:pt>
                <c:pt idx="9">
                  <c:v>3.66</c:v>
                </c:pt>
                <c:pt idx="10">
                  <c:v>3.24</c:v>
                </c:pt>
                <c:pt idx="11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3-4A6F-BDA3-18A3D7F2EDDF}"/>
            </c:ext>
          </c:extLst>
        </c:ser>
        <c:ser>
          <c:idx val="2"/>
          <c:order val="2"/>
          <c:tx>
            <c:strRef>
              <c:f>Данные!$D$4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Данные!$A$5:$A$16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Данные!$D$5:$D$16</c:f>
              <c:numCache>
                <c:formatCode>General</c:formatCode>
                <c:ptCount val="12"/>
                <c:pt idx="0">
                  <c:v>5.33</c:v>
                </c:pt>
                <c:pt idx="1">
                  <c:v>3.78</c:v>
                </c:pt>
                <c:pt idx="2">
                  <c:v>2.8</c:v>
                </c:pt>
                <c:pt idx="3">
                  <c:v>4.08</c:v>
                </c:pt>
                <c:pt idx="4">
                  <c:v>4.93</c:v>
                </c:pt>
                <c:pt idx="5">
                  <c:v>4.32</c:v>
                </c:pt>
                <c:pt idx="6">
                  <c:v>4.42</c:v>
                </c:pt>
                <c:pt idx="7">
                  <c:v>3.82</c:v>
                </c:pt>
                <c:pt idx="8">
                  <c:v>3.72</c:v>
                </c:pt>
                <c:pt idx="9">
                  <c:v>3.41</c:v>
                </c:pt>
                <c:pt idx="10">
                  <c:v>3.4</c:v>
                </c:pt>
                <c:pt idx="11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3-4A6F-BDA3-18A3D7F2EDDF}"/>
            </c:ext>
          </c:extLst>
        </c:ser>
        <c:ser>
          <c:idx val="3"/>
          <c:order val="3"/>
          <c:tx>
            <c:strRef>
              <c:f>Данные!$E$4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Данные!$A$5:$A$16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Данные!$E$5:$E$16</c:f>
              <c:numCache>
                <c:formatCode>General</c:formatCode>
                <c:ptCount val="12"/>
                <c:pt idx="0">
                  <c:v>4.25</c:v>
                </c:pt>
                <c:pt idx="1">
                  <c:v>3.34</c:v>
                </c:pt>
                <c:pt idx="2">
                  <c:v>2.94</c:v>
                </c:pt>
                <c:pt idx="3">
                  <c:v>4.46</c:v>
                </c:pt>
                <c:pt idx="4">
                  <c:v>5.04</c:v>
                </c:pt>
                <c:pt idx="5">
                  <c:v>4.38</c:v>
                </c:pt>
                <c:pt idx="6">
                  <c:v>3.39</c:v>
                </c:pt>
                <c:pt idx="7">
                  <c:v>3.85</c:v>
                </c:pt>
                <c:pt idx="8">
                  <c:v>4.01</c:v>
                </c:pt>
                <c:pt idx="9">
                  <c:v>3.34</c:v>
                </c:pt>
                <c:pt idx="10">
                  <c:v>3.17</c:v>
                </c:pt>
                <c:pt idx="11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3-4A6F-BDA3-18A3D7F2EDDF}"/>
            </c:ext>
          </c:extLst>
        </c:ser>
        <c:ser>
          <c:idx val="4"/>
          <c:order val="4"/>
          <c:tx>
            <c:strRef>
              <c:f>Данные!$F$4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Данные!$A$5:$A$16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Данные!$F$5:$F$16</c:f>
              <c:numCache>
                <c:formatCode>General</c:formatCode>
                <c:ptCount val="12"/>
                <c:pt idx="0">
                  <c:v>4.62</c:v>
                </c:pt>
                <c:pt idx="1">
                  <c:v>3.42</c:v>
                </c:pt>
                <c:pt idx="2">
                  <c:v>3.34</c:v>
                </c:pt>
                <c:pt idx="3">
                  <c:v>4.58</c:v>
                </c:pt>
                <c:pt idx="4">
                  <c:v>5.18</c:v>
                </c:pt>
                <c:pt idx="5">
                  <c:v>4.3</c:v>
                </c:pt>
                <c:pt idx="6">
                  <c:v>4.49</c:v>
                </c:pt>
                <c:pt idx="7">
                  <c:v>3.98</c:v>
                </c:pt>
                <c:pt idx="8">
                  <c:v>3.9</c:v>
                </c:pt>
                <c:pt idx="9">
                  <c:v>3.17</c:v>
                </c:pt>
                <c:pt idx="10">
                  <c:v>3.25</c:v>
                </c:pt>
                <c:pt idx="11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3-4A6F-BDA3-18A3D7F2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16208"/>
        <c:axId val="880622448"/>
      </c:lineChart>
      <c:catAx>
        <c:axId val="8806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622448"/>
        <c:crosses val="autoZero"/>
        <c:auto val="1"/>
        <c:lblAlgn val="ctr"/>
        <c:lblOffset val="100"/>
        <c:noMultiLvlLbl val="0"/>
      </c:catAx>
      <c:valAx>
        <c:axId val="8806224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6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Данные!$A$17</c:f>
              <c:strCache>
                <c:ptCount val="1"/>
                <c:pt idx="0">
                  <c:v>среднегодовое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30019832430888E-2"/>
                  <c:y val="-0.3071890115890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Данные!$B$4:$F$4</c:f>
              <c:numCache>
                <c:formatCode>General</c:formatCode>
                <c:ptCount val="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</c:numCache>
            </c:numRef>
          </c:cat>
          <c:val>
            <c:numRef>
              <c:f>Данные!$B$17:$F$17</c:f>
              <c:numCache>
                <c:formatCode>General</c:formatCode>
                <c:ptCount val="5"/>
                <c:pt idx="0">
                  <c:v>3.9466666666666672</c:v>
                </c:pt>
                <c:pt idx="1">
                  <c:v>3.8433333333333342</c:v>
                </c:pt>
                <c:pt idx="2">
                  <c:v>3.9866666666666664</c:v>
                </c:pt>
                <c:pt idx="3">
                  <c:v>3.84</c:v>
                </c:pt>
                <c:pt idx="4">
                  <c:v>4.0041666666666664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B-4582-B46A-C118349B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21840"/>
        <c:axId val="977807280"/>
      </c:lineChart>
      <c:catAx>
        <c:axId val="9778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807280"/>
        <c:crosses val="autoZero"/>
        <c:auto val="1"/>
        <c:lblAlgn val="ctr"/>
        <c:lblOffset val="100"/>
        <c:noMultiLvlLbl val="0"/>
      </c:catAx>
      <c:valAx>
        <c:axId val="9778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8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'По кварталам'!$B$16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'По кварталам'!$A$17:$A$20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'По кварталам'!$B$17:$B$20</c:f>
              <c:numCache>
                <c:formatCode>General</c:formatCode>
                <c:ptCount val="4"/>
                <c:pt idx="0">
                  <c:v>3.3699999999999997</c:v>
                </c:pt>
                <c:pt idx="1">
                  <c:v>4.63</c:v>
                </c:pt>
                <c:pt idx="2">
                  <c:v>4.3299999999999992</c:v>
                </c:pt>
                <c:pt idx="3">
                  <c:v>3.456666666666667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9-4F7B-A569-046150E7E348}"/>
            </c:ext>
          </c:extLst>
        </c:ser>
        <c:ser>
          <c:idx val="1"/>
          <c:order val="1"/>
          <c:tx>
            <c:strRef>
              <c:f>'По кварталам'!$C$16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'По кварталам'!$A$17:$A$20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'По кварталам'!$C$17:$C$20</c:f>
              <c:numCache>
                <c:formatCode>General</c:formatCode>
                <c:ptCount val="4"/>
                <c:pt idx="0">
                  <c:v>3.4733333333333332</c:v>
                </c:pt>
                <c:pt idx="1">
                  <c:v>4.4800000000000004</c:v>
                </c:pt>
                <c:pt idx="2">
                  <c:v>3.86</c:v>
                </c:pt>
                <c:pt idx="3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9-4F7B-A569-046150E7E348}"/>
            </c:ext>
          </c:extLst>
        </c:ser>
        <c:ser>
          <c:idx val="2"/>
          <c:order val="2"/>
          <c:tx>
            <c:strRef>
              <c:f>'По кварталам'!$D$16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'По кварталам'!$A$17:$A$20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'По кварталам'!$D$17:$D$20</c:f>
              <c:numCache>
                <c:formatCode>General</c:formatCode>
                <c:ptCount val="4"/>
                <c:pt idx="0">
                  <c:v>3.97</c:v>
                </c:pt>
                <c:pt idx="1">
                  <c:v>4.4433333333333334</c:v>
                </c:pt>
                <c:pt idx="2">
                  <c:v>3.9866666666666668</c:v>
                </c:pt>
                <c:pt idx="3">
                  <c:v>3.5466666666666669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9-4F7B-A569-046150E7E348}"/>
            </c:ext>
          </c:extLst>
        </c:ser>
        <c:ser>
          <c:idx val="3"/>
          <c:order val="3"/>
          <c:tx>
            <c:strRef>
              <c:f>'По кварталам'!$E$16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'По кварталам'!$A$17:$A$20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'По кварталам'!$E$17:$E$20</c:f>
              <c:numCache>
                <c:formatCode>General</c:formatCode>
                <c:ptCount val="4"/>
                <c:pt idx="0">
                  <c:v>3.51</c:v>
                </c:pt>
                <c:pt idx="1">
                  <c:v>4.626666666666666</c:v>
                </c:pt>
                <c:pt idx="2">
                  <c:v>3.75</c:v>
                </c:pt>
                <c:pt idx="3">
                  <c:v>3.4733333333333332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9-4F7B-A569-046150E7E348}"/>
            </c:ext>
          </c:extLst>
        </c:ser>
        <c:ser>
          <c:idx val="4"/>
          <c:order val="4"/>
          <c:tx>
            <c:strRef>
              <c:f>'По кварталам'!$F$16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'По кварталам'!$A$17:$A$20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'По кварталам'!$F$17:$F$20</c:f>
              <c:numCache>
                <c:formatCode>General</c:formatCode>
                <c:ptCount val="4"/>
                <c:pt idx="0">
                  <c:v>3.793333333333333</c:v>
                </c:pt>
                <c:pt idx="1">
                  <c:v>4.6866666666666665</c:v>
                </c:pt>
                <c:pt idx="2">
                  <c:v>4.123333333333334</c:v>
                </c:pt>
                <c:pt idx="3">
                  <c:v>3.4133333333333336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9-4F7B-A569-046150E7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84368"/>
        <c:axId val="1114291440"/>
      </c:lineChart>
      <c:catAx>
        <c:axId val="1114284368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91440"/>
        <c:crosses val="autoZero"/>
        <c:auto val="1"/>
        <c:lblAlgn val="ctr"/>
        <c:lblOffset val="100"/>
        <c:noMultiLvlLbl val="0"/>
      </c:catAx>
      <c:valAx>
        <c:axId val="111429144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2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кварталам'!$C$24:$C$43</c:f>
              <c:numCache>
                <c:formatCode>General</c:formatCode>
                <c:ptCount val="20"/>
                <c:pt idx="0">
                  <c:v>3.3699999999999997</c:v>
                </c:pt>
                <c:pt idx="1">
                  <c:v>4.63</c:v>
                </c:pt>
                <c:pt idx="2">
                  <c:v>4.3299999999999992</c:v>
                </c:pt>
                <c:pt idx="3">
                  <c:v>3.456666666666667</c:v>
                </c:pt>
                <c:pt idx="4">
                  <c:v>3.4733333333333332</c:v>
                </c:pt>
                <c:pt idx="5">
                  <c:v>4.4800000000000004</c:v>
                </c:pt>
                <c:pt idx="6">
                  <c:v>3.86</c:v>
                </c:pt>
                <c:pt idx="7">
                  <c:v>3.56</c:v>
                </c:pt>
                <c:pt idx="8">
                  <c:v>3.97</c:v>
                </c:pt>
                <c:pt idx="9">
                  <c:v>4.4433333333333334</c:v>
                </c:pt>
                <c:pt idx="10">
                  <c:v>3.9866666666666668</c:v>
                </c:pt>
                <c:pt idx="11">
                  <c:v>3.5466666666666669</c:v>
                </c:pt>
                <c:pt idx="12">
                  <c:v>3.51</c:v>
                </c:pt>
                <c:pt idx="13">
                  <c:v>4.626666666666666</c:v>
                </c:pt>
                <c:pt idx="14">
                  <c:v>3.75</c:v>
                </c:pt>
                <c:pt idx="15">
                  <c:v>3.4733333333333332</c:v>
                </c:pt>
                <c:pt idx="16">
                  <c:v>3.793333333333333</c:v>
                </c:pt>
                <c:pt idx="17">
                  <c:v>4.6866666666666665</c:v>
                </c:pt>
                <c:pt idx="18">
                  <c:v>4.123333333333334</c:v>
                </c:pt>
                <c:pt idx="19">
                  <c:v>3.4133333333333336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4F83-94DD-DEADBB625E57}"/>
            </c:ext>
          </c:extLst>
        </c:ser>
        <c:ser>
          <c:idx val="1"/>
          <c:order val="1"/>
          <c:tx>
            <c:v>Yt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'По кварталам'!$K$24:$K$47</c:f>
              <c:numCache>
                <c:formatCode>General</c:formatCode>
                <c:ptCount val="24"/>
                <c:pt idx="0">
                  <c:v>3.6371030231066541</c:v>
                </c:pt>
                <c:pt idx="1">
                  <c:v>4.5066132371380343</c:v>
                </c:pt>
                <c:pt idx="2">
                  <c:v>3.9321064470094647</c:v>
                </c:pt>
                <c:pt idx="3">
                  <c:v>3.4506600298879002</c:v>
                </c:pt>
                <c:pt idx="4">
                  <c:v>3.6243760635239215</c:v>
                </c:pt>
                <c:pt idx="5">
                  <c:v>4.4908298780462861</c:v>
                </c:pt>
                <c:pt idx="6">
                  <c:v>3.9183230953729558</c:v>
                </c:pt>
                <c:pt idx="7">
                  <c:v>3.4385537001988906</c:v>
                </c:pt>
                <c:pt idx="8">
                  <c:v>3.611649103941188</c:v>
                </c:pt>
                <c:pt idx="9">
                  <c:v>4.4750465189545379</c:v>
                </c:pt>
                <c:pt idx="10">
                  <c:v>3.9045397437364464</c:v>
                </c:pt>
                <c:pt idx="11">
                  <c:v>3.4264473705098819</c:v>
                </c:pt>
                <c:pt idx="12">
                  <c:v>3.5989221443584549</c:v>
                </c:pt>
                <c:pt idx="13">
                  <c:v>4.4592631598627896</c:v>
                </c:pt>
                <c:pt idx="14">
                  <c:v>3.8907563920999371</c:v>
                </c:pt>
                <c:pt idx="15">
                  <c:v>3.4143410408208728</c:v>
                </c:pt>
                <c:pt idx="16">
                  <c:v>3.5861951847757219</c:v>
                </c:pt>
                <c:pt idx="17">
                  <c:v>4.4434798007710414</c:v>
                </c:pt>
                <c:pt idx="18">
                  <c:v>3.8769730404634277</c:v>
                </c:pt>
                <c:pt idx="19">
                  <c:v>3.4022347111318632</c:v>
                </c:pt>
                <c:pt idx="20">
                  <c:v>3.5734682251929888</c:v>
                </c:pt>
                <c:pt idx="21">
                  <c:v>4.4276964416792923</c:v>
                </c:pt>
                <c:pt idx="22">
                  <c:v>3.8631896888269188</c:v>
                </c:pt>
                <c:pt idx="23">
                  <c:v>3.390128381442854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A-4F83-94DD-DEADBB62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077600"/>
        <c:axId val="921078432"/>
      </c:lineChart>
      <c:catAx>
        <c:axId val="92107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078432"/>
        <c:crosses val="autoZero"/>
        <c:auto val="1"/>
        <c:lblAlgn val="ctr"/>
        <c:lblOffset val="100"/>
        <c:noMultiLvlLbl val="0"/>
      </c:catAx>
      <c:valAx>
        <c:axId val="921078432"/>
        <c:scaling>
          <c:orientation val="minMax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0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Сравнение графиков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месяцам'!$E$18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месяцам'!$E$19:$E$78</c:f>
              <c:numCache>
                <c:formatCode>0.000</c:formatCode>
                <c:ptCount val="60"/>
                <c:pt idx="0">
                  <c:v>4.43</c:v>
                </c:pt>
                <c:pt idx="1">
                  <c:v>3.05</c:v>
                </c:pt>
                <c:pt idx="2">
                  <c:v>2.63</c:v>
                </c:pt>
                <c:pt idx="3">
                  <c:v>4.43</c:v>
                </c:pt>
                <c:pt idx="4">
                  <c:v>5.27</c:v>
                </c:pt>
                <c:pt idx="5">
                  <c:v>4.1900000000000004</c:v>
                </c:pt>
                <c:pt idx="6">
                  <c:v>4.67</c:v>
                </c:pt>
                <c:pt idx="7">
                  <c:v>4.01</c:v>
                </c:pt>
                <c:pt idx="8">
                  <c:v>4.3099999999999996</c:v>
                </c:pt>
                <c:pt idx="9">
                  <c:v>2.95</c:v>
                </c:pt>
                <c:pt idx="10">
                  <c:v>3.11</c:v>
                </c:pt>
                <c:pt idx="11">
                  <c:v>4.3099999999999996</c:v>
                </c:pt>
                <c:pt idx="12">
                  <c:v>3.6</c:v>
                </c:pt>
                <c:pt idx="13">
                  <c:v>3.23</c:v>
                </c:pt>
                <c:pt idx="14">
                  <c:v>3.59</c:v>
                </c:pt>
                <c:pt idx="15">
                  <c:v>4.38</c:v>
                </c:pt>
                <c:pt idx="16">
                  <c:v>4.62</c:v>
                </c:pt>
                <c:pt idx="17">
                  <c:v>4.4400000000000004</c:v>
                </c:pt>
                <c:pt idx="18">
                  <c:v>4.08</c:v>
                </c:pt>
                <c:pt idx="19">
                  <c:v>3.78</c:v>
                </c:pt>
                <c:pt idx="20">
                  <c:v>3.72</c:v>
                </c:pt>
                <c:pt idx="21">
                  <c:v>3.66</c:v>
                </c:pt>
                <c:pt idx="22">
                  <c:v>3.24</c:v>
                </c:pt>
                <c:pt idx="23">
                  <c:v>3.78</c:v>
                </c:pt>
                <c:pt idx="24">
                  <c:v>5.33</c:v>
                </c:pt>
                <c:pt idx="25">
                  <c:v>3.78</c:v>
                </c:pt>
                <c:pt idx="26">
                  <c:v>2.8</c:v>
                </c:pt>
                <c:pt idx="27">
                  <c:v>4.08</c:v>
                </c:pt>
                <c:pt idx="28">
                  <c:v>4.93</c:v>
                </c:pt>
                <c:pt idx="29">
                  <c:v>4.32</c:v>
                </c:pt>
                <c:pt idx="30">
                  <c:v>4.42</c:v>
                </c:pt>
                <c:pt idx="31">
                  <c:v>3.82</c:v>
                </c:pt>
                <c:pt idx="32">
                  <c:v>3.72</c:v>
                </c:pt>
                <c:pt idx="33">
                  <c:v>3.41</c:v>
                </c:pt>
                <c:pt idx="34">
                  <c:v>3.4</c:v>
                </c:pt>
                <c:pt idx="35">
                  <c:v>3.83</c:v>
                </c:pt>
                <c:pt idx="36">
                  <c:v>4.25</c:v>
                </c:pt>
                <c:pt idx="37">
                  <c:v>3.34</c:v>
                </c:pt>
                <c:pt idx="38">
                  <c:v>2.94</c:v>
                </c:pt>
                <c:pt idx="39">
                  <c:v>4.46</c:v>
                </c:pt>
                <c:pt idx="40">
                  <c:v>5.04</c:v>
                </c:pt>
                <c:pt idx="41">
                  <c:v>4.38</c:v>
                </c:pt>
                <c:pt idx="42">
                  <c:v>3.39</c:v>
                </c:pt>
                <c:pt idx="43">
                  <c:v>3.85</c:v>
                </c:pt>
                <c:pt idx="44">
                  <c:v>4.01</c:v>
                </c:pt>
                <c:pt idx="45">
                  <c:v>3.34</c:v>
                </c:pt>
                <c:pt idx="46">
                  <c:v>3.17</c:v>
                </c:pt>
                <c:pt idx="47">
                  <c:v>3.91</c:v>
                </c:pt>
                <c:pt idx="48">
                  <c:v>4.62</c:v>
                </c:pt>
                <c:pt idx="49">
                  <c:v>3.42</c:v>
                </c:pt>
                <c:pt idx="50">
                  <c:v>3.34</c:v>
                </c:pt>
                <c:pt idx="51">
                  <c:v>4.58</c:v>
                </c:pt>
                <c:pt idx="52">
                  <c:v>5.18</c:v>
                </c:pt>
                <c:pt idx="53">
                  <c:v>4.3</c:v>
                </c:pt>
                <c:pt idx="54">
                  <c:v>4.49</c:v>
                </c:pt>
                <c:pt idx="55">
                  <c:v>3.98</c:v>
                </c:pt>
                <c:pt idx="56">
                  <c:v>3.9</c:v>
                </c:pt>
                <c:pt idx="57">
                  <c:v>3.17</c:v>
                </c:pt>
                <c:pt idx="58">
                  <c:v>3.25</c:v>
                </c:pt>
                <c:pt idx="59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F-46DF-A234-DA19982BA25E}"/>
            </c:ext>
          </c:extLst>
        </c:ser>
        <c:ser>
          <c:idx val="1"/>
          <c:order val="1"/>
          <c:tx>
            <c:strRef>
              <c:f>'По месяцам'!$L$18</c:f>
              <c:strCache>
                <c:ptCount val="1"/>
                <c:pt idx="0">
                  <c:v>Tr(t) мульт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'По месяцам'!$V$8</c:f>
                <c:numCache>
                  <c:formatCode>General</c:formatCode>
                  <c:ptCount val="1"/>
                  <c:pt idx="0">
                    <c:v>0.57466219715011924</c:v>
                  </c:pt>
                </c:numCache>
              </c:numRef>
            </c:plus>
            <c:minus>
              <c:numRef>
                <c:f>'По месяцам'!$V$8</c:f>
                <c:numCache>
                  <c:formatCode>General</c:formatCode>
                  <c:ptCount val="1"/>
                  <c:pt idx="0">
                    <c:v>0.57466219715011924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'По месяцам'!$L$19:$L$90</c:f>
              <c:numCache>
                <c:formatCode>0.000</c:formatCode>
                <c:ptCount val="72"/>
                <c:pt idx="0">
                  <c:v>4.3768504487589004</c:v>
                </c:pt>
                <c:pt idx="1">
                  <c:v>3.3908403709561297</c:v>
                </c:pt>
                <c:pt idx="2">
                  <c:v>3.1285088004586257</c:v>
                </c:pt>
                <c:pt idx="3">
                  <c:v>4.3224589236767814</c:v>
                </c:pt>
                <c:pt idx="4">
                  <c:v>4.8778353421594876</c:v>
                </c:pt>
                <c:pt idx="5">
                  <c:v>4.3107857072058549</c:v>
                </c:pt>
                <c:pt idx="6">
                  <c:v>4.1076207164424181</c:v>
                </c:pt>
                <c:pt idx="7">
                  <c:v>3.8344431639939058</c:v>
                </c:pt>
                <c:pt idx="8">
                  <c:v>3.8981857390549992</c:v>
                </c:pt>
                <c:pt idx="9">
                  <c:v>3.2982673417205053</c:v>
                </c:pt>
                <c:pt idx="10">
                  <c:v>3.1896109090315559</c:v>
                </c:pt>
                <c:pt idx="11">
                  <c:v>3.9090261053630275</c:v>
                </c:pt>
                <c:pt idx="12">
                  <c:v>4.3931313555738747</c:v>
                </c:pt>
                <c:pt idx="13">
                  <c:v>3.4034496317096075</c:v>
                </c:pt>
                <c:pt idx="14">
                  <c:v>3.1401389446982488</c:v>
                </c:pt>
                <c:pt idx="15">
                  <c:v>4.3385225678651125</c:v>
                </c:pt>
                <c:pt idx="16">
                  <c:v>4.8959573310467679</c:v>
                </c:pt>
                <c:pt idx="17">
                  <c:v>4.3267960533793213</c:v>
                </c:pt>
                <c:pt idx="18">
                  <c:v>4.1228717834589119</c:v>
                </c:pt>
                <c:pt idx="19">
                  <c:v>3.8486755543335058</c:v>
                </c:pt>
                <c:pt idx="20">
                  <c:v>3.9126502501461125</c:v>
                </c:pt>
                <c:pt idx="21">
                  <c:v>3.3105020273775829</c:v>
                </c:pt>
                <c:pt idx="22">
                  <c:v>3.2014388852084346</c:v>
                </c:pt>
                <c:pt idx="23">
                  <c:v>3.9235173976906013</c:v>
                </c:pt>
                <c:pt idx="24">
                  <c:v>4.409412262388849</c:v>
                </c:pt>
                <c:pt idx="25">
                  <c:v>3.4160588924630857</c:v>
                </c:pt>
                <c:pt idx="26">
                  <c:v>3.151769088937872</c:v>
                </c:pt>
                <c:pt idx="27">
                  <c:v>4.3545862120534435</c:v>
                </c:pt>
                <c:pt idx="28">
                  <c:v>4.9140793199340482</c:v>
                </c:pt>
                <c:pt idx="29">
                  <c:v>4.3428063995527877</c:v>
                </c:pt>
                <c:pt idx="30">
                  <c:v>4.1381228504754057</c:v>
                </c:pt>
                <c:pt idx="31">
                  <c:v>3.8629079446731063</c:v>
                </c:pt>
                <c:pt idx="32">
                  <c:v>3.9271147612372257</c:v>
                </c:pt>
                <c:pt idx="33">
                  <c:v>3.3227367130346606</c:v>
                </c:pt>
                <c:pt idx="34">
                  <c:v>3.2132668613853128</c:v>
                </c:pt>
                <c:pt idx="35">
                  <c:v>3.9380086900181754</c:v>
                </c:pt>
                <c:pt idx="36">
                  <c:v>4.4256931692038233</c:v>
                </c:pt>
                <c:pt idx="37">
                  <c:v>3.4286681532165635</c:v>
                </c:pt>
                <c:pt idx="38">
                  <c:v>3.1633992331774952</c:v>
                </c:pt>
                <c:pt idx="39">
                  <c:v>4.3706498562417746</c:v>
                </c:pt>
                <c:pt idx="40">
                  <c:v>4.9322013088213277</c:v>
                </c:pt>
                <c:pt idx="41">
                  <c:v>4.3588167457262541</c:v>
                </c:pt>
                <c:pt idx="42">
                  <c:v>4.1533739174919004</c:v>
                </c:pt>
                <c:pt idx="43">
                  <c:v>3.8771403350127058</c:v>
                </c:pt>
                <c:pt idx="44">
                  <c:v>3.9415792723283385</c:v>
                </c:pt>
                <c:pt idx="45">
                  <c:v>3.3349713986917382</c:v>
                </c:pt>
                <c:pt idx="46">
                  <c:v>3.2250948375621911</c:v>
                </c:pt>
                <c:pt idx="47">
                  <c:v>3.9524999823457487</c:v>
                </c:pt>
                <c:pt idx="48">
                  <c:v>4.4419740760187976</c:v>
                </c:pt>
                <c:pt idx="49">
                  <c:v>3.4412774139700417</c:v>
                </c:pt>
                <c:pt idx="50">
                  <c:v>3.1750293774171183</c:v>
                </c:pt>
                <c:pt idx="51">
                  <c:v>4.3867135004301057</c:v>
                </c:pt>
                <c:pt idx="52">
                  <c:v>4.950323297708608</c:v>
                </c:pt>
                <c:pt idx="53">
                  <c:v>4.3748270918997214</c:v>
                </c:pt>
                <c:pt idx="54">
                  <c:v>4.1686249845083942</c:v>
                </c:pt>
                <c:pt idx="55">
                  <c:v>3.8913727253523058</c:v>
                </c:pt>
                <c:pt idx="56">
                  <c:v>3.9560437834194517</c:v>
                </c:pt>
                <c:pt idx="57">
                  <c:v>3.3472060843488154</c:v>
                </c:pt>
                <c:pt idx="58">
                  <c:v>3.2369228137390698</c:v>
                </c:pt>
                <c:pt idx="59">
                  <c:v>3.9669912746733229</c:v>
                </c:pt>
                <c:pt idx="60">
                  <c:v>4.4582549828337719</c:v>
                </c:pt>
                <c:pt idx="61">
                  <c:v>3.4538866747235195</c:v>
                </c:pt>
                <c:pt idx="62">
                  <c:v>3.1866595216567415</c:v>
                </c:pt>
                <c:pt idx="63">
                  <c:v>4.4027771446184376</c:v>
                </c:pt>
                <c:pt idx="64">
                  <c:v>4.9684452865958875</c:v>
                </c:pt>
                <c:pt idx="65">
                  <c:v>4.3908374380731878</c:v>
                </c:pt>
                <c:pt idx="66">
                  <c:v>4.183876051524889</c:v>
                </c:pt>
                <c:pt idx="67">
                  <c:v>3.9056051156919058</c:v>
                </c:pt>
                <c:pt idx="68">
                  <c:v>3.9705082945105654</c:v>
                </c:pt>
                <c:pt idx="69">
                  <c:v>3.3594407700058935</c:v>
                </c:pt>
                <c:pt idx="70">
                  <c:v>3.248750789915948</c:v>
                </c:pt>
                <c:pt idx="71">
                  <c:v>3.9814825670008962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F-46DF-A234-DA19982BA25E}"/>
            </c:ext>
          </c:extLst>
        </c:ser>
        <c:ser>
          <c:idx val="2"/>
          <c:order val="2"/>
          <c:tx>
            <c:strRef>
              <c:f>'По месяцам'!$M$18</c:f>
              <c:strCache>
                <c:ptCount val="1"/>
                <c:pt idx="0">
                  <c:v>Tr(t) адд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месяцам'!$M$19:$M$90</c:f>
              <c:numCache>
                <c:formatCode>0.000</c:formatCode>
                <c:ptCount val="72"/>
                <c:pt idx="0">
                  <c:v>4.3987083333333334</c:v>
                </c:pt>
                <c:pt idx="1">
                  <c:v>3.3943958333333333</c:v>
                </c:pt>
                <c:pt idx="2">
                  <c:v>3.124979166666666</c:v>
                </c:pt>
                <c:pt idx="3">
                  <c:v>4.3354583333333334</c:v>
                </c:pt>
                <c:pt idx="4">
                  <c:v>4.9002083333333335</c:v>
                </c:pt>
                <c:pt idx="5">
                  <c:v>4.3223541666666669</c:v>
                </c:pt>
                <c:pt idx="6">
                  <c:v>4.1208541666666667</c:v>
                </c:pt>
                <c:pt idx="7">
                  <c:v>3.8410208333333333</c:v>
                </c:pt>
                <c:pt idx="8">
                  <c:v>3.9057708333333334</c:v>
                </c:pt>
                <c:pt idx="9">
                  <c:v>3.2978125</c:v>
                </c:pt>
                <c:pt idx="10">
                  <c:v>3.1881874999999997</c:v>
                </c:pt>
                <c:pt idx="11">
                  <c:v>3.9164791666666665</c:v>
                </c:pt>
                <c:pt idx="12">
                  <c:v>4.410708333333333</c:v>
                </c:pt>
                <c:pt idx="13">
                  <c:v>3.4063958333333328</c:v>
                </c:pt>
                <c:pt idx="14">
                  <c:v>3.1369791666666664</c:v>
                </c:pt>
                <c:pt idx="15">
                  <c:v>4.3474583333333339</c:v>
                </c:pt>
                <c:pt idx="16">
                  <c:v>4.9122083333333331</c:v>
                </c:pt>
                <c:pt idx="17">
                  <c:v>4.3343541666666665</c:v>
                </c:pt>
                <c:pt idx="18">
                  <c:v>4.1328541666666663</c:v>
                </c:pt>
                <c:pt idx="19">
                  <c:v>3.8530208333333333</c:v>
                </c:pt>
                <c:pt idx="20">
                  <c:v>3.917770833333333</c:v>
                </c:pt>
                <c:pt idx="21">
                  <c:v>3.3098125</c:v>
                </c:pt>
                <c:pt idx="22">
                  <c:v>3.2001874999999997</c:v>
                </c:pt>
                <c:pt idx="23">
                  <c:v>3.9284791666666665</c:v>
                </c:pt>
                <c:pt idx="24">
                  <c:v>4.4227083333333335</c:v>
                </c:pt>
                <c:pt idx="25">
                  <c:v>3.4183958333333333</c:v>
                </c:pt>
                <c:pt idx="26">
                  <c:v>3.148979166666666</c:v>
                </c:pt>
                <c:pt idx="27">
                  <c:v>4.3594583333333334</c:v>
                </c:pt>
                <c:pt idx="28">
                  <c:v>4.9242083333333326</c:v>
                </c:pt>
                <c:pt idx="29">
                  <c:v>4.3463541666666661</c:v>
                </c:pt>
                <c:pt idx="30">
                  <c:v>4.1448541666666667</c:v>
                </c:pt>
                <c:pt idx="31">
                  <c:v>3.8650208333333333</c:v>
                </c:pt>
                <c:pt idx="32">
                  <c:v>3.9297708333333334</c:v>
                </c:pt>
                <c:pt idx="33">
                  <c:v>3.3218125000000001</c:v>
                </c:pt>
                <c:pt idx="34">
                  <c:v>3.2121874999999998</c:v>
                </c:pt>
                <c:pt idx="35">
                  <c:v>3.9404791666666665</c:v>
                </c:pt>
                <c:pt idx="36">
                  <c:v>4.434708333333333</c:v>
                </c:pt>
                <c:pt idx="37">
                  <c:v>3.4303958333333329</c:v>
                </c:pt>
                <c:pt idx="38">
                  <c:v>3.1609791666666665</c:v>
                </c:pt>
                <c:pt idx="39">
                  <c:v>4.371458333333333</c:v>
                </c:pt>
                <c:pt idx="40">
                  <c:v>4.9362083333333331</c:v>
                </c:pt>
                <c:pt idx="41">
                  <c:v>4.3583541666666665</c:v>
                </c:pt>
                <c:pt idx="42">
                  <c:v>4.1568541666666663</c:v>
                </c:pt>
                <c:pt idx="43">
                  <c:v>3.8770208333333334</c:v>
                </c:pt>
                <c:pt idx="44">
                  <c:v>3.941770833333333</c:v>
                </c:pt>
                <c:pt idx="45">
                  <c:v>3.3338125000000001</c:v>
                </c:pt>
                <c:pt idx="46">
                  <c:v>3.2241874999999998</c:v>
                </c:pt>
                <c:pt idx="47">
                  <c:v>3.9524791666666665</c:v>
                </c:pt>
                <c:pt idx="48">
                  <c:v>4.4467083333333335</c:v>
                </c:pt>
                <c:pt idx="49">
                  <c:v>3.4423958333333333</c:v>
                </c:pt>
                <c:pt idx="50">
                  <c:v>3.172979166666666</c:v>
                </c:pt>
                <c:pt idx="51">
                  <c:v>4.3834583333333335</c:v>
                </c:pt>
                <c:pt idx="52">
                  <c:v>4.9482083333333335</c:v>
                </c:pt>
                <c:pt idx="53">
                  <c:v>4.370354166666667</c:v>
                </c:pt>
                <c:pt idx="54">
                  <c:v>4.1688541666666667</c:v>
                </c:pt>
                <c:pt idx="55">
                  <c:v>3.8890208333333334</c:v>
                </c:pt>
                <c:pt idx="56">
                  <c:v>3.9537708333333335</c:v>
                </c:pt>
                <c:pt idx="57">
                  <c:v>3.3458125000000001</c:v>
                </c:pt>
                <c:pt idx="58">
                  <c:v>3.2361874999999998</c:v>
                </c:pt>
                <c:pt idx="59">
                  <c:v>3.9644791666666666</c:v>
                </c:pt>
                <c:pt idx="60">
                  <c:v>4.4587083333333331</c:v>
                </c:pt>
                <c:pt idx="61">
                  <c:v>3.4543958333333329</c:v>
                </c:pt>
                <c:pt idx="62">
                  <c:v>3.1849791666666665</c:v>
                </c:pt>
                <c:pt idx="63">
                  <c:v>4.3954583333333339</c:v>
                </c:pt>
                <c:pt idx="64">
                  <c:v>4.9602083333333331</c:v>
                </c:pt>
                <c:pt idx="65">
                  <c:v>4.3823541666666666</c:v>
                </c:pt>
                <c:pt idx="66">
                  <c:v>4.1808541666666663</c:v>
                </c:pt>
                <c:pt idx="67">
                  <c:v>3.9010208333333334</c:v>
                </c:pt>
                <c:pt idx="68">
                  <c:v>3.965770833333333</c:v>
                </c:pt>
                <c:pt idx="69">
                  <c:v>3.3578125000000001</c:v>
                </c:pt>
                <c:pt idx="70">
                  <c:v>3.2481874999999998</c:v>
                </c:pt>
                <c:pt idx="71">
                  <c:v>3.9764791666666666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F-46DF-A234-DA19982B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75776"/>
        <c:axId val="869277024"/>
      </c:lineChart>
      <c:catAx>
        <c:axId val="869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77024"/>
        <c:crosses val="autoZero"/>
        <c:auto val="1"/>
        <c:lblAlgn val="ctr"/>
        <c:lblOffset val="100"/>
        <c:tickMarkSkip val="5"/>
        <c:noMultiLvlLbl val="0"/>
      </c:catAx>
      <c:valAx>
        <c:axId val="86927702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Сравнение графиков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 месяцам'!$E$18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'По месяцам'!$E$19:$E$78</c:f>
              <c:numCache>
                <c:formatCode>0.000</c:formatCode>
                <c:ptCount val="60"/>
                <c:pt idx="0">
                  <c:v>4.43</c:v>
                </c:pt>
                <c:pt idx="1">
                  <c:v>3.05</c:v>
                </c:pt>
                <c:pt idx="2">
                  <c:v>2.63</c:v>
                </c:pt>
                <c:pt idx="3">
                  <c:v>4.43</c:v>
                </c:pt>
                <c:pt idx="4">
                  <c:v>5.27</c:v>
                </c:pt>
                <c:pt idx="5">
                  <c:v>4.1900000000000004</c:v>
                </c:pt>
                <c:pt idx="6">
                  <c:v>4.67</c:v>
                </c:pt>
                <c:pt idx="7">
                  <c:v>4.01</c:v>
                </c:pt>
                <c:pt idx="8">
                  <c:v>4.3099999999999996</c:v>
                </c:pt>
                <c:pt idx="9">
                  <c:v>2.95</c:v>
                </c:pt>
                <c:pt idx="10">
                  <c:v>3.11</c:v>
                </c:pt>
                <c:pt idx="11">
                  <c:v>4.3099999999999996</c:v>
                </c:pt>
                <c:pt idx="12">
                  <c:v>3.6</c:v>
                </c:pt>
                <c:pt idx="13">
                  <c:v>3.23</c:v>
                </c:pt>
                <c:pt idx="14">
                  <c:v>3.59</c:v>
                </c:pt>
                <c:pt idx="15">
                  <c:v>4.38</c:v>
                </c:pt>
                <c:pt idx="16">
                  <c:v>4.62</c:v>
                </c:pt>
                <c:pt idx="17">
                  <c:v>4.4400000000000004</c:v>
                </c:pt>
                <c:pt idx="18">
                  <c:v>4.08</c:v>
                </c:pt>
                <c:pt idx="19">
                  <c:v>3.78</c:v>
                </c:pt>
                <c:pt idx="20">
                  <c:v>3.72</c:v>
                </c:pt>
                <c:pt idx="21">
                  <c:v>3.66</c:v>
                </c:pt>
                <c:pt idx="22">
                  <c:v>3.24</c:v>
                </c:pt>
                <c:pt idx="23">
                  <c:v>3.78</c:v>
                </c:pt>
                <c:pt idx="24">
                  <c:v>5.33</c:v>
                </c:pt>
                <c:pt idx="25">
                  <c:v>3.78</c:v>
                </c:pt>
                <c:pt idx="26">
                  <c:v>2.8</c:v>
                </c:pt>
                <c:pt idx="27">
                  <c:v>4.08</c:v>
                </c:pt>
                <c:pt idx="28">
                  <c:v>4.93</c:v>
                </c:pt>
                <c:pt idx="29">
                  <c:v>4.32</c:v>
                </c:pt>
                <c:pt idx="30">
                  <c:v>4.42</c:v>
                </c:pt>
                <c:pt idx="31">
                  <c:v>3.82</c:v>
                </c:pt>
                <c:pt idx="32">
                  <c:v>3.72</c:v>
                </c:pt>
                <c:pt idx="33">
                  <c:v>3.41</c:v>
                </c:pt>
                <c:pt idx="34">
                  <c:v>3.4</c:v>
                </c:pt>
                <c:pt idx="35">
                  <c:v>3.83</c:v>
                </c:pt>
                <c:pt idx="36">
                  <c:v>4.25</c:v>
                </c:pt>
                <c:pt idx="37">
                  <c:v>3.34</c:v>
                </c:pt>
                <c:pt idx="38">
                  <c:v>2.94</c:v>
                </c:pt>
                <c:pt idx="39">
                  <c:v>4.46</c:v>
                </c:pt>
                <c:pt idx="40">
                  <c:v>5.04</c:v>
                </c:pt>
                <c:pt idx="41">
                  <c:v>4.38</c:v>
                </c:pt>
                <c:pt idx="42">
                  <c:v>3.39</c:v>
                </c:pt>
                <c:pt idx="43">
                  <c:v>3.85</c:v>
                </c:pt>
                <c:pt idx="44">
                  <c:v>4.01</c:v>
                </c:pt>
                <c:pt idx="45">
                  <c:v>3.34</c:v>
                </c:pt>
                <c:pt idx="46">
                  <c:v>3.17</c:v>
                </c:pt>
                <c:pt idx="47">
                  <c:v>3.91</c:v>
                </c:pt>
                <c:pt idx="48">
                  <c:v>4.62</c:v>
                </c:pt>
                <c:pt idx="49">
                  <c:v>3.42</c:v>
                </c:pt>
                <c:pt idx="50">
                  <c:v>3.34</c:v>
                </c:pt>
                <c:pt idx="51">
                  <c:v>4.58</c:v>
                </c:pt>
                <c:pt idx="52">
                  <c:v>5.18</c:v>
                </c:pt>
                <c:pt idx="53">
                  <c:v>4.3</c:v>
                </c:pt>
                <c:pt idx="54">
                  <c:v>4.49</c:v>
                </c:pt>
                <c:pt idx="55">
                  <c:v>3.98</c:v>
                </c:pt>
                <c:pt idx="56">
                  <c:v>3.9</c:v>
                </c:pt>
                <c:pt idx="57">
                  <c:v>3.17</c:v>
                </c:pt>
                <c:pt idx="58">
                  <c:v>3.25</c:v>
                </c:pt>
                <c:pt idx="59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B-4203-BA45-868E8715109F}"/>
            </c:ext>
          </c:extLst>
        </c:ser>
        <c:ser>
          <c:idx val="1"/>
          <c:order val="1"/>
          <c:tx>
            <c:strRef>
              <c:f>'По месяцам'!$L$18</c:f>
              <c:strCache>
                <c:ptCount val="1"/>
                <c:pt idx="0">
                  <c:v>Tr(t) мульт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'По месяцам'!$V$8</c:f>
                <c:numCache>
                  <c:formatCode>General</c:formatCode>
                  <c:ptCount val="1"/>
                  <c:pt idx="0">
                    <c:v>0.57466219715011924</c:v>
                  </c:pt>
                </c:numCache>
              </c:numRef>
            </c:plus>
            <c:minus>
              <c:numRef>
                <c:f>'По месяцам'!$V$8</c:f>
                <c:numCache>
                  <c:formatCode>General</c:formatCode>
                  <c:ptCount val="1"/>
                  <c:pt idx="0">
                    <c:v>0.57466219715011924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'По месяцам'!$L$19:$L$90</c:f>
              <c:numCache>
                <c:formatCode>0.000</c:formatCode>
                <c:ptCount val="72"/>
                <c:pt idx="0">
                  <c:v>4.3768504487589004</c:v>
                </c:pt>
                <c:pt idx="1">
                  <c:v>3.3908403709561297</c:v>
                </c:pt>
                <c:pt idx="2">
                  <c:v>3.1285088004586257</c:v>
                </c:pt>
                <c:pt idx="3">
                  <c:v>4.3224589236767814</c:v>
                </c:pt>
                <c:pt idx="4">
                  <c:v>4.8778353421594876</c:v>
                </c:pt>
                <c:pt idx="5">
                  <c:v>4.3107857072058549</c:v>
                </c:pt>
                <c:pt idx="6">
                  <c:v>4.1076207164424181</c:v>
                </c:pt>
                <c:pt idx="7">
                  <c:v>3.8344431639939058</c:v>
                </c:pt>
                <c:pt idx="8">
                  <c:v>3.8981857390549992</c:v>
                </c:pt>
                <c:pt idx="9">
                  <c:v>3.2982673417205053</c:v>
                </c:pt>
                <c:pt idx="10">
                  <c:v>3.1896109090315559</c:v>
                </c:pt>
                <c:pt idx="11">
                  <c:v>3.9090261053630275</c:v>
                </c:pt>
                <c:pt idx="12">
                  <c:v>4.3931313555738747</c:v>
                </c:pt>
                <c:pt idx="13">
                  <c:v>3.4034496317096075</c:v>
                </c:pt>
                <c:pt idx="14">
                  <c:v>3.1401389446982488</c:v>
                </c:pt>
                <c:pt idx="15">
                  <c:v>4.3385225678651125</c:v>
                </c:pt>
                <c:pt idx="16">
                  <c:v>4.8959573310467679</c:v>
                </c:pt>
                <c:pt idx="17">
                  <c:v>4.3267960533793213</c:v>
                </c:pt>
                <c:pt idx="18">
                  <c:v>4.1228717834589119</c:v>
                </c:pt>
                <c:pt idx="19">
                  <c:v>3.8486755543335058</c:v>
                </c:pt>
                <c:pt idx="20">
                  <c:v>3.9126502501461125</c:v>
                </c:pt>
                <c:pt idx="21">
                  <c:v>3.3105020273775829</c:v>
                </c:pt>
                <c:pt idx="22">
                  <c:v>3.2014388852084346</c:v>
                </c:pt>
                <c:pt idx="23">
                  <c:v>3.9235173976906013</c:v>
                </c:pt>
                <c:pt idx="24">
                  <c:v>4.409412262388849</c:v>
                </c:pt>
                <c:pt idx="25">
                  <c:v>3.4160588924630857</c:v>
                </c:pt>
                <c:pt idx="26">
                  <c:v>3.151769088937872</c:v>
                </c:pt>
                <c:pt idx="27">
                  <c:v>4.3545862120534435</c:v>
                </c:pt>
                <c:pt idx="28">
                  <c:v>4.9140793199340482</c:v>
                </c:pt>
                <c:pt idx="29">
                  <c:v>4.3428063995527877</c:v>
                </c:pt>
                <c:pt idx="30">
                  <c:v>4.1381228504754057</c:v>
                </c:pt>
                <c:pt idx="31">
                  <c:v>3.8629079446731063</c:v>
                </c:pt>
                <c:pt idx="32">
                  <c:v>3.9271147612372257</c:v>
                </c:pt>
                <c:pt idx="33">
                  <c:v>3.3227367130346606</c:v>
                </c:pt>
                <c:pt idx="34">
                  <c:v>3.2132668613853128</c:v>
                </c:pt>
                <c:pt idx="35">
                  <c:v>3.9380086900181754</c:v>
                </c:pt>
                <c:pt idx="36">
                  <c:v>4.4256931692038233</c:v>
                </c:pt>
                <c:pt idx="37">
                  <c:v>3.4286681532165635</c:v>
                </c:pt>
                <c:pt idx="38">
                  <c:v>3.1633992331774952</c:v>
                </c:pt>
                <c:pt idx="39">
                  <c:v>4.3706498562417746</c:v>
                </c:pt>
                <c:pt idx="40">
                  <c:v>4.9322013088213277</c:v>
                </c:pt>
                <c:pt idx="41">
                  <c:v>4.3588167457262541</c:v>
                </c:pt>
                <c:pt idx="42">
                  <c:v>4.1533739174919004</c:v>
                </c:pt>
                <c:pt idx="43">
                  <c:v>3.8771403350127058</c:v>
                </c:pt>
                <c:pt idx="44">
                  <c:v>3.9415792723283385</c:v>
                </c:pt>
                <c:pt idx="45">
                  <c:v>3.3349713986917382</c:v>
                </c:pt>
                <c:pt idx="46">
                  <c:v>3.2250948375621911</c:v>
                </c:pt>
                <c:pt idx="47">
                  <c:v>3.9524999823457487</c:v>
                </c:pt>
                <c:pt idx="48">
                  <c:v>4.4419740760187976</c:v>
                </c:pt>
                <c:pt idx="49">
                  <c:v>3.4412774139700417</c:v>
                </c:pt>
                <c:pt idx="50">
                  <c:v>3.1750293774171183</c:v>
                </c:pt>
                <c:pt idx="51">
                  <c:v>4.3867135004301057</c:v>
                </c:pt>
                <c:pt idx="52">
                  <c:v>4.950323297708608</c:v>
                </c:pt>
                <c:pt idx="53">
                  <c:v>4.3748270918997214</c:v>
                </c:pt>
                <c:pt idx="54">
                  <c:v>4.1686249845083942</c:v>
                </c:pt>
                <c:pt idx="55">
                  <c:v>3.8913727253523058</c:v>
                </c:pt>
                <c:pt idx="56">
                  <c:v>3.9560437834194517</c:v>
                </c:pt>
                <c:pt idx="57">
                  <c:v>3.3472060843488154</c:v>
                </c:pt>
                <c:pt idx="58">
                  <c:v>3.2369228137390698</c:v>
                </c:pt>
                <c:pt idx="59">
                  <c:v>3.9669912746733229</c:v>
                </c:pt>
                <c:pt idx="60">
                  <c:v>4.4582549828337719</c:v>
                </c:pt>
                <c:pt idx="61">
                  <c:v>3.4538866747235195</c:v>
                </c:pt>
                <c:pt idx="62">
                  <c:v>3.1866595216567415</c:v>
                </c:pt>
                <c:pt idx="63">
                  <c:v>4.4027771446184376</c:v>
                </c:pt>
                <c:pt idx="64">
                  <c:v>4.9684452865958875</c:v>
                </c:pt>
                <c:pt idx="65">
                  <c:v>4.3908374380731878</c:v>
                </c:pt>
                <c:pt idx="66">
                  <c:v>4.183876051524889</c:v>
                </c:pt>
                <c:pt idx="67">
                  <c:v>3.9056051156919058</c:v>
                </c:pt>
                <c:pt idx="68">
                  <c:v>3.9705082945105654</c:v>
                </c:pt>
                <c:pt idx="69">
                  <c:v>3.3594407700058935</c:v>
                </c:pt>
                <c:pt idx="70">
                  <c:v>3.248750789915948</c:v>
                </c:pt>
                <c:pt idx="71">
                  <c:v>3.9814825670008962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B-4203-BA45-868E8715109F}"/>
            </c:ext>
          </c:extLst>
        </c:ser>
        <c:ser>
          <c:idx val="2"/>
          <c:order val="2"/>
          <c:tx>
            <c:strRef>
              <c:f>'По месяцам'!$M$18</c:f>
              <c:strCache>
                <c:ptCount val="1"/>
                <c:pt idx="0">
                  <c:v>Tr(t) адд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'По месяцам'!$M$19:$M$90</c:f>
              <c:numCache>
                <c:formatCode>0.000</c:formatCode>
                <c:ptCount val="72"/>
                <c:pt idx="0">
                  <c:v>4.3987083333333334</c:v>
                </c:pt>
                <c:pt idx="1">
                  <c:v>3.3943958333333333</c:v>
                </c:pt>
                <c:pt idx="2">
                  <c:v>3.124979166666666</c:v>
                </c:pt>
                <c:pt idx="3">
                  <c:v>4.3354583333333334</c:v>
                </c:pt>
                <c:pt idx="4">
                  <c:v>4.9002083333333335</c:v>
                </c:pt>
                <c:pt idx="5">
                  <c:v>4.3223541666666669</c:v>
                </c:pt>
                <c:pt idx="6">
                  <c:v>4.1208541666666667</c:v>
                </c:pt>
                <c:pt idx="7">
                  <c:v>3.8410208333333333</c:v>
                </c:pt>
                <c:pt idx="8">
                  <c:v>3.9057708333333334</c:v>
                </c:pt>
                <c:pt idx="9">
                  <c:v>3.2978125</c:v>
                </c:pt>
                <c:pt idx="10">
                  <c:v>3.1881874999999997</c:v>
                </c:pt>
                <c:pt idx="11">
                  <c:v>3.9164791666666665</c:v>
                </c:pt>
                <c:pt idx="12">
                  <c:v>4.410708333333333</c:v>
                </c:pt>
                <c:pt idx="13">
                  <c:v>3.4063958333333328</c:v>
                </c:pt>
                <c:pt idx="14">
                  <c:v>3.1369791666666664</c:v>
                </c:pt>
                <c:pt idx="15">
                  <c:v>4.3474583333333339</c:v>
                </c:pt>
                <c:pt idx="16">
                  <c:v>4.9122083333333331</c:v>
                </c:pt>
                <c:pt idx="17">
                  <c:v>4.3343541666666665</c:v>
                </c:pt>
                <c:pt idx="18">
                  <c:v>4.1328541666666663</c:v>
                </c:pt>
                <c:pt idx="19">
                  <c:v>3.8530208333333333</c:v>
                </c:pt>
                <c:pt idx="20">
                  <c:v>3.917770833333333</c:v>
                </c:pt>
                <c:pt idx="21">
                  <c:v>3.3098125</c:v>
                </c:pt>
                <c:pt idx="22">
                  <c:v>3.2001874999999997</c:v>
                </c:pt>
                <c:pt idx="23">
                  <c:v>3.9284791666666665</c:v>
                </c:pt>
                <c:pt idx="24">
                  <c:v>4.4227083333333335</c:v>
                </c:pt>
                <c:pt idx="25">
                  <c:v>3.4183958333333333</c:v>
                </c:pt>
                <c:pt idx="26">
                  <c:v>3.148979166666666</c:v>
                </c:pt>
                <c:pt idx="27">
                  <c:v>4.3594583333333334</c:v>
                </c:pt>
                <c:pt idx="28">
                  <c:v>4.9242083333333326</c:v>
                </c:pt>
                <c:pt idx="29">
                  <c:v>4.3463541666666661</c:v>
                </c:pt>
                <c:pt idx="30">
                  <c:v>4.1448541666666667</c:v>
                </c:pt>
                <c:pt idx="31">
                  <c:v>3.8650208333333333</c:v>
                </c:pt>
                <c:pt idx="32">
                  <c:v>3.9297708333333334</c:v>
                </c:pt>
                <c:pt idx="33">
                  <c:v>3.3218125000000001</c:v>
                </c:pt>
                <c:pt idx="34">
                  <c:v>3.2121874999999998</c:v>
                </c:pt>
                <c:pt idx="35">
                  <c:v>3.9404791666666665</c:v>
                </c:pt>
                <c:pt idx="36">
                  <c:v>4.434708333333333</c:v>
                </c:pt>
                <c:pt idx="37">
                  <c:v>3.4303958333333329</c:v>
                </c:pt>
                <c:pt idx="38">
                  <c:v>3.1609791666666665</c:v>
                </c:pt>
                <c:pt idx="39">
                  <c:v>4.371458333333333</c:v>
                </c:pt>
                <c:pt idx="40">
                  <c:v>4.9362083333333331</c:v>
                </c:pt>
                <c:pt idx="41">
                  <c:v>4.3583541666666665</c:v>
                </c:pt>
                <c:pt idx="42">
                  <c:v>4.1568541666666663</c:v>
                </c:pt>
                <c:pt idx="43">
                  <c:v>3.8770208333333334</c:v>
                </c:pt>
                <c:pt idx="44">
                  <c:v>3.941770833333333</c:v>
                </c:pt>
                <c:pt idx="45">
                  <c:v>3.3338125000000001</c:v>
                </c:pt>
                <c:pt idx="46">
                  <c:v>3.2241874999999998</c:v>
                </c:pt>
                <c:pt idx="47">
                  <c:v>3.9524791666666665</c:v>
                </c:pt>
                <c:pt idx="48">
                  <c:v>4.4467083333333335</c:v>
                </c:pt>
                <c:pt idx="49">
                  <c:v>3.4423958333333333</c:v>
                </c:pt>
                <c:pt idx="50">
                  <c:v>3.172979166666666</c:v>
                </c:pt>
                <c:pt idx="51">
                  <c:v>4.3834583333333335</c:v>
                </c:pt>
                <c:pt idx="52">
                  <c:v>4.9482083333333335</c:v>
                </c:pt>
                <c:pt idx="53">
                  <c:v>4.370354166666667</c:v>
                </c:pt>
                <c:pt idx="54">
                  <c:v>4.1688541666666667</c:v>
                </c:pt>
                <c:pt idx="55">
                  <c:v>3.8890208333333334</c:v>
                </c:pt>
                <c:pt idx="56">
                  <c:v>3.9537708333333335</c:v>
                </c:pt>
                <c:pt idx="57">
                  <c:v>3.3458125000000001</c:v>
                </c:pt>
                <c:pt idx="58">
                  <c:v>3.2361874999999998</c:v>
                </c:pt>
                <c:pt idx="59">
                  <c:v>3.9644791666666666</c:v>
                </c:pt>
                <c:pt idx="60">
                  <c:v>4.4587083333333331</c:v>
                </c:pt>
                <c:pt idx="61">
                  <c:v>3.4543958333333329</c:v>
                </c:pt>
                <c:pt idx="62">
                  <c:v>3.1849791666666665</c:v>
                </c:pt>
                <c:pt idx="63">
                  <c:v>4.3954583333333339</c:v>
                </c:pt>
                <c:pt idx="64">
                  <c:v>4.9602083333333331</c:v>
                </c:pt>
                <c:pt idx="65">
                  <c:v>4.3823541666666666</c:v>
                </c:pt>
                <c:pt idx="66">
                  <c:v>4.1808541666666663</c:v>
                </c:pt>
                <c:pt idx="67">
                  <c:v>3.9010208333333334</c:v>
                </c:pt>
                <c:pt idx="68">
                  <c:v>3.965770833333333</c:v>
                </c:pt>
                <c:pt idx="69">
                  <c:v>3.3578125000000001</c:v>
                </c:pt>
                <c:pt idx="70">
                  <c:v>3.2481874999999998</c:v>
                </c:pt>
                <c:pt idx="71">
                  <c:v>3.9764791666666666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B-4203-BA45-868E871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75776"/>
        <c:axId val="869277024"/>
      </c:lineChart>
      <c:catAx>
        <c:axId val="869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77024"/>
        <c:crosses val="autoZero"/>
        <c:auto val="1"/>
        <c:lblAlgn val="ctr"/>
        <c:lblOffset val="100"/>
        <c:tickMarkSkip val="5"/>
        <c:noMultiLvlLbl val="0"/>
      </c:catAx>
      <c:valAx>
        <c:axId val="86927702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2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openxmlformats.org/officeDocument/2006/relationships/image" Target="../media/image7.png"/><Relationship Id="rId10" Type="http://schemas.openxmlformats.org/officeDocument/2006/relationships/image" Target="../media/image11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</xdr:row>
      <xdr:rowOff>13253</xdr:rowOff>
    </xdr:from>
    <xdr:to>
      <xdr:col>18</xdr:col>
      <xdr:colOff>6626</xdr:colOff>
      <xdr:row>23</xdr:row>
      <xdr:rowOff>119271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19879</xdr:colOff>
      <xdr:row>1</xdr:row>
      <xdr:rowOff>6626</xdr:rowOff>
    </xdr:from>
    <xdr:ext cx="5466521" cy="503582"/>
    <xdr:sp macro="" textlink="">
      <xdr:nvSpPr>
        <xdr:cNvPr id="5" name="TextBox 4"/>
        <xdr:cNvSpPr txBox="1"/>
      </xdr:nvSpPr>
      <xdr:spPr>
        <a:xfrm>
          <a:off x="4287079" y="205409"/>
          <a:ext cx="5466521" cy="5035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Постройте по данным линейный график и убедитесь, что уровни ряда, кроме тренда,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содержат сезонную составляющую.</a:t>
          </a:r>
        </a:p>
        <a:p>
          <a:endParaRPr lang="ru-RU" sz="1100"/>
        </a:p>
      </xdr:txBody>
    </xdr:sp>
    <xdr:clientData/>
  </xdr:oneCellAnchor>
  <xdr:twoCellAnchor>
    <xdr:from>
      <xdr:col>0</xdr:col>
      <xdr:colOff>361318</xdr:colOff>
      <xdr:row>18</xdr:row>
      <xdr:rowOff>22218</xdr:rowOff>
    </xdr:from>
    <xdr:to>
      <xdr:col>5</xdr:col>
      <xdr:colOff>599856</xdr:colOff>
      <xdr:row>29</xdr:row>
      <xdr:rowOff>55738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838547</xdr:colOff>
      <xdr:row>0</xdr:row>
      <xdr:rowOff>4213</xdr:rowOff>
    </xdr:from>
    <xdr:to>
      <xdr:col>14</xdr:col>
      <xdr:colOff>645459</xdr:colOff>
      <xdr:row>20</xdr:row>
      <xdr:rowOff>161365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</xdr:colOff>
      <xdr:row>44</xdr:row>
      <xdr:rowOff>69037</xdr:rowOff>
    </xdr:from>
    <xdr:to>
      <xdr:col>4</xdr:col>
      <xdr:colOff>986641</xdr:colOff>
      <xdr:row>51</xdr:row>
      <xdr:rowOff>173472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" y="11457473"/>
          <a:ext cx="6386946" cy="1988654"/>
        </a:xfrm>
        <a:prstGeom prst="rect">
          <a:avLst/>
        </a:prstGeom>
      </xdr:spPr>
    </xdr:pic>
    <xdr:clientData/>
  </xdr:twoCellAnchor>
  <xdr:oneCellAnchor>
    <xdr:from>
      <xdr:col>5</xdr:col>
      <xdr:colOff>1524000</xdr:colOff>
      <xdr:row>44</xdr:row>
      <xdr:rowOff>69272</xdr:rowOff>
    </xdr:from>
    <xdr:ext cx="3352800" cy="843693"/>
    <xdr:sp macro="" textlink="">
      <xdr:nvSpPr>
        <xdr:cNvPr id="2" name="TextBox 1"/>
        <xdr:cNvSpPr txBox="1"/>
      </xdr:nvSpPr>
      <xdr:spPr>
        <a:xfrm>
          <a:off x="10252364" y="11457708"/>
          <a:ext cx="3352800" cy="8436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Десезонализированные данные </a:t>
          </a:r>
          <a:r>
            <a:rPr lang="ru-RU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«очищенные» данные от фактора сезонности</a:t>
          </a:r>
          <a:endParaRPr lang="ru-RU" sz="1600"/>
        </a:p>
      </xdr:txBody>
    </xdr:sp>
    <xdr:clientData/>
  </xdr:oneCellAnchor>
  <xdr:twoCellAnchor editAs="oneCell">
    <xdr:from>
      <xdr:col>7</xdr:col>
      <xdr:colOff>101930</xdr:colOff>
      <xdr:row>47</xdr:row>
      <xdr:rowOff>50049</xdr:rowOff>
    </xdr:from>
    <xdr:to>
      <xdr:col>12</xdr:col>
      <xdr:colOff>1098990</xdr:colOff>
      <xdr:row>52</xdr:row>
      <xdr:rowOff>193964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8434"/>
        <a:stretch/>
      </xdr:blipFill>
      <xdr:spPr>
        <a:xfrm>
          <a:off x="13277603" y="12380594"/>
          <a:ext cx="6954514" cy="1321552"/>
        </a:xfrm>
        <a:prstGeom prst="rect">
          <a:avLst/>
        </a:prstGeom>
      </xdr:spPr>
    </xdr:pic>
    <xdr:clientData/>
  </xdr:twoCellAnchor>
  <xdr:twoCellAnchor>
    <xdr:from>
      <xdr:col>0</xdr:col>
      <xdr:colOff>350520</xdr:colOff>
      <xdr:row>52</xdr:row>
      <xdr:rowOff>201930</xdr:rowOff>
    </xdr:from>
    <xdr:to>
      <xdr:col>7</xdr:col>
      <xdr:colOff>19050</xdr:colOff>
      <xdr:row>84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608255</xdr:colOff>
      <xdr:row>1</xdr:row>
      <xdr:rowOff>28016</xdr:rowOff>
    </xdr:from>
    <xdr:to>
      <xdr:col>43</xdr:col>
      <xdr:colOff>243680</xdr:colOff>
      <xdr:row>6</xdr:row>
      <xdr:rowOff>161034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7505" y="218516"/>
          <a:ext cx="5121825" cy="1276018"/>
        </a:xfrm>
        <a:prstGeom prst="rect">
          <a:avLst/>
        </a:prstGeom>
      </xdr:spPr>
    </xdr:pic>
    <xdr:clientData/>
  </xdr:twoCellAnchor>
  <xdr:twoCellAnchor editAs="oneCell">
    <xdr:from>
      <xdr:col>34</xdr:col>
      <xdr:colOff>593015</xdr:colOff>
      <xdr:row>7</xdr:row>
      <xdr:rowOff>225094</xdr:rowOff>
    </xdr:from>
    <xdr:to>
      <xdr:col>43</xdr:col>
      <xdr:colOff>98805</xdr:colOff>
      <xdr:row>12</xdr:row>
      <xdr:rowOff>23301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92265" y="1749094"/>
          <a:ext cx="4992190" cy="941207"/>
        </a:xfrm>
        <a:prstGeom prst="rect">
          <a:avLst/>
        </a:prstGeom>
      </xdr:spPr>
    </xdr:pic>
    <xdr:clientData/>
  </xdr:twoCellAnchor>
  <xdr:twoCellAnchor editAs="oneCell">
    <xdr:from>
      <xdr:col>34</xdr:col>
      <xdr:colOff>591111</xdr:colOff>
      <xdr:row>13</xdr:row>
      <xdr:rowOff>157107</xdr:rowOff>
    </xdr:from>
    <xdr:to>
      <xdr:col>43</xdr:col>
      <xdr:colOff>482300</xdr:colOff>
      <xdr:row>26</xdr:row>
      <xdr:rowOff>62273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90361" y="3052707"/>
          <a:ext cx="5377589" cy="2819816"/>
        </a:xfrm>
        <a:prstGeom prst="rect">
          <a:avLst/>
        </a:prstGeom>
      </xdr:spPr>
    </xdr:pic>
    <xdr:clientData/>
  </xdr:twoCellAnchor>
  <xdr:twoCellAnchor editAs="oneCell">
    <xdr:from>
      <xdr:col>35</xdr:col>
      <xdr:colOff>51279</xdr:colOff>
      <xdr:row>27</xdr:row>
      <xdr:rowOff>166313</xdr:rowOff>
    </xdr:from>
    <xdr:to>
      <xdr:col>43</xdr:col>
      <xdr:colOff>401088</xdr:colOff>
      <xdr:row>40</xdr:row>
      <xdr:rowOff>24373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0129" y="6281363"/>
          <a:ext cx="5226609" cy="2372660"/>
        </a:xfrm>
        <a:prstGeom prst="rect">
          <a:avLst/>
        </a:prstGeom>
      </xdr:spPr>
    </xdr:pic>
    <xdr:clientData/>
  </xdr:twoCellAnchor>
  <xdr:twoCellAnchor editAs="oneCell">
    <xdr:from>
      <xdr:col>23</xdr:col>
      <xdr:colOff>60832</xdr:colOff>
      <xdr:row>7</xdr:row>
      <xdr:rowOff>153043</xdr:rowOff>
    </xdr:from>
    <xdr:to>
      <xdr:col>27</xdr:col>
      <xdr:colOff>564778</xdr:colOff>
      <xdr:row>10</xdr:row>
      <xdr:rowOff>74783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65020" y="1694972"/>
          <a:ext cx="4313946" cy="599856"/>
        </a:xfrm>
        <a:prstGeom prst="rect">
          <a:avLst/>
        </a:prstGeom>
      </xdr:spPr>
    </xdr:pic>
    <xdr:clientData/>
  </xdr:twoCellAnchor>
  <xdr:twoCellAnchor editAs="oneCell">
    <xdr:from>
      <xdr:col>23</xdr:col>
      <xdr:colOff>68166</xdr:colOff>
      <xdr:row>0</xdr:row>
      <xdr:rowOff>168990</xdr:rowOff>
    </xdr:from>
    <xdr:to>
      <xdr:col>26</xdr:col>
      <xdr:colOff>1091771</xdr:colOff>
      <xdr:row>5</xdr:row>
      <xdr:rowOff>23813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72354" y="168990"/>
          <a:ext cx="3713017" cy="1002305"/>
        </a:xfrm>
        <a:prstGeom prst="rect">
          <a:avLst/>
        </a:prstGeom>
      </xdr:spPr>
    </xdr:pic>
    <xdr:clientData/>
  </xdr:twoCellAnchor>
  <xdr:twoCellAnchor editAs="oneCell">
    <xdr:from>
      <xdr:col>17</xdr:col>
      <xdr:colOff>26821</xdr:colOff>
      <xdr:row>12</xdr:row>
      <xdr:rowOff>200578</xdr:rowOff>
    </xdr:from>
    <xdr:to>
      <xdr:col>20</xdr:col>
      <xdr:colOff>1288472</xdr:colOff>
      <xdr:row>16</xdr:row>
      <xdr:rowOff>249980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22239" y="2805233"/>
          <a:ext cx="3672342" cy="946978"/>
        </a:xfrm>
        <a:prstGeom prst="rect">
          <a:avLst/>
        </a:prstGeom>
      </xdr:spPr>
    </xdr:pic>
    <xdr:clientData/>
  </xdr:twoCellAnchor>
  <xdr:oneCellAnchor>
    <xdr:from>
      <xdr:col>23</xdr:col>
      <xdr:colOff>432750</xdr:colOff>
      <xdr:row>5</xdr:row>
      <xdr:rowOff>114098</xdr:rowOff>
    </xdr:from>
    <xdr:ext cx="3843416" cy="436786"/>
    <xdr:sp macro="" textlink="">
      <xdr:nvSpPr>
        <xdr:cNvPr id="9" name="TextBox 8"/>
        <xdr:cNvSpPr txBox="1"/>
      </xdr:nvSpPr>
      <xdr:spPr>
        <a:xfrm>
          <a:off x="22736938" y="1261580"/>
          <a:ext cx="384341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Табл.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зн. расп. Стьюдента при заданном уровне значимости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95%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числе степеней свободы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n-2</a:t>
          </a:r>
          <a:r>
            <a:rPr lang="en-US"/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ru-RU" sz="1100"/>
        </a:p>
      </xdr:txBody>
    </xdr:sp>
    <xdr:clientData/>
  </xdr:oneCellAnchor>
  <xdr:twoCellAnchor>
    <xdr:from>
      <xdr:col>22</xdr:col>
      <xdr:colOff>1416424</xdr:colOff>
      <xdr:row>6</xdr:row>
      <xdr:rowOff>89647</xdr:rowOff>
    </xdr:from>
    <xdr:to>
      <xdr:col>23</xdr:col>
      <xdr:colOff>432750</xdr:colOff>
      <xdr:row>6</xdr:row>
      <xdr:rowOff>135267</xdr:rowOff>
    </xdr:to>
    <xdr:cxnSp macro="">
      <xdr:nvCxnSpPr>
        <xdr:cNvPr id="11" name="Прямая со стрелкой 10"/>
        <xdr:cNvCxnSpPr>
          <a:stCxn id="9" idx="1"/>
        </xdr:cNvCxnSpPr>
      </xdr:nvCxnSpPr>
      <xdr:spPr>
        <a:xfrm flipH="1" flipV="1">
          <a:off x="22071106" y="1434353"/>
          <a:ext cx="665832" cy="45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138546</xdr:colOff>
      <xdr:row>14</xdr:row>
      <xdr:rowOff>39584</xdr:rowOff>
    </xdr:from>
    <xdr:to>
      <xdr:col>33</xdr:col>
      <xdr:colOff>709419</xdr:colOff>
      <xdr:row>16</xdr:row>
      <xdr:rowOff>185063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73517" y="3196441"/>
          <a:ext cx="2377902" cy="580908"/>
        </a:xfrm>
        <a:prstGeom prst="rect">
          <a:avLst/>
        </a:prstGeom>
      </xdr:spPr>
    </xdr:pic>
    <xdr:clientData/>
  </xdr:twoCellAnchor>
  <xdr:twoCellAnchor>
    <xdr:from>
      <xdr:col>25</xdr:col>
      <xdr:colOff>281940</xdr:colOff>
      <xdr:row>42</xdr:row>
      <xdr:rowOff>41910</xdr:rowOff>
    </xdr:from>
    <xdr:to>
      <xdr:col>54</xdr:col>
      <xdr:colOff>217170</xdr:colOff>
      <xdr:row>105</xdr:row>
      <xdr:rowOff>119496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22</xdr:col>
      <xdr:colOff>424542</xdr:colOff>
      <xdr:row>11</xdr:row>
      <xdr:rowOff>119743</xdr:rowOff>
    </xdr:from>
    <xdr:ext cx="2231571" cy="781240"/>
    <xdr:sp macro="" textlink="">
      <xdr:nvSpPr>
        <xdr:cNvPr id="19" name="TextBox 18"/>
        <xdr:cNvSpPr txBox="1"/>
      </xdr:nvSpPr>
      <xdr:spPr>
        <a:xfrm>
          <a:off x="21140056" y="2590800"/>
          <a:ext cx="2231571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Квадрат коэффициента корреляции выборки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R²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и называется </a:t>
          </a:r>
          <a:r>
            <a:rPr lang="ru-RU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коэффициентом детерминации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100"/>
        </a:p>
      </xdr:txBody>
    </xdr:sp>
    <xdr:clientData/>
  </xdr:oneCellAnchor>
  <xdr:twoCellAnchor>
    <xdr:from>
      <xdr:col>21</xdr:col>
      <xdr:colOff>478972</xdr:colOff>
      <xdr:row>11</xdr:row>
      <xdr:rowOff>130629</xdr:rowOff>
    </xdr:from>
    <xdr:to>
      <xdr:col>22</xdr:col>
      <xdr:colOff>424542</xdr:colOff>
      <xdr:row>13</xdr:row>
      <xdr:rowOff>53163</xdr:rowOff>
    </xdr:to>
    <xdr:cxnSp macro="">
      <xdr:nvCxnSpPr>
        <xdr:cNvPr id="20" name="Прямая со стрелкой 19"/>
        <xdr:cNvCxnSpPr>
          <a:stCxn id="19" idx="1"/>
        </xdr:cNvCxnSpPr>
      </xdr:nvCxnSpPr>
      <xdr:spPr>
        <a:xfrm flipH="1" flipV="1">
          <a:off x="19485429" y="2601686"/>
          <a:ext cx="1654627" cy="37973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825335</xdr:colOff>
      <xdr:row>14</xdr:row>
      <xdr:rowOff>6928</xdr:rowOff>
    </xdr:from>
    <xdr:to>
      <xdr:col>27</xdr:col>
      <xdr:colOff>664028</xdr:colOff>
      <xdr:row>15</xdr:row>
      <xdr:rowOff>160590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70392" y="3163785"/>
          <a:ext cx="2701636" cy="393148"/>
        </a:xfrm>
        <a:prstGeom prst="rect">
          <a:avLst/>
        </a:prstGeom>
      </xdr:spPr>
    </xdr:pic>
    <xdr:clientData/>
  </xdr:twoCellAnchor>
  <xdr:twoCellAnchor editAs="oneCell">
    <xdr:from>
      <xdr:col>24</xdr:col>
      <xdr:colOff>884129</xdr:colOff>
      <xdr:row>11</xdr:row>
      <xdr:rowOff>27215</xdr:rowOff>
    </xdr:from>
    <xdr:to>
      <xdr:col>27</xdr:col>
      <xdr:colOff>390998</xdr:colOff>
      <xdr:row>13</xdr:row>
      <xdr:rowOff>206829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929186" y="2498272"/>
          <a:ext cx="2369812" cy="6368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331857</xdr:colOff>
      <xdr:row>1</xdr:row>
      <xdr:rowOff>5502</xdr:rowOff>
    </xdr:from>
    <xdr:to>
      <xdr:col>42</xdr:col>
      <xdr:colOff>576882</xdr:colOff>
      <xdr:row>7</xdr:row>
      <xdr:rowOff>221153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24475" y="199466"/>
          <a:ext cx="5121825" cy="1545687"/>
        </a:xfrm>
        <a:prstGeom prst="rect">
          <a:avLst/>
        </a:prstGeom>
      </xdr:spPr>
    </xdr:pic>
    <xdr:clientData/>
  </xdr:twoCellAnchor>
  <xdr:twoCellAnchor editAs="oneCell">
    <xdr:from>
      <xdr:col>34</xdr:col>
      <xdr:colOff>344326</xdr:colOff>
      <xdr:row>8</xdr:row>
      <xdr:rowOff>32170</xdr:rowOff>
    </xdr:from>
    <xdr:to>
      <xdr:col>42</xdr:col>
      <xdr:colOff>459716</xdr:colOff>
      <xdr:row>13</xdr:row>
      <xdr:rowOff>66596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36944" y="1791697"/>
          <a:ext cx="4992190" cy="1115081"/>
        </a:xfrm>
        <a:prstGeom prst="rect">
          <a:avLst/>
        </a:prstGeom>
      </xdr:spPr>
    </xdr:pic>
    <xdr:clientData/>
  </xdr:twoCellAnchor>
  <xdr:twoCellAnchor editAs="oneCell">
    <xdr:from>
      <xdr:col>34</xdr:col>
      <xdr:colOff>342422</xdr:colOff>
      <xdr:row>13</xdr:row>
      <xdr:rowOff>124895</xdr:rowOff>
    </xdr:from>
    <xdr:to>
      <xdr:col>43</xdr:col>
      <xdr:colOff>233611</xdr:colOff>
      <xdr:row>29</xdr:row>
      <xdr:rowOff>6312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5040" y="2965077"/>
          <a:ext cx="5377589" cy="3400471"/>
        </a:xfrm>
        <a:prstGeom prst="rect">
          <a:avLst/>
        </a:prstGeom>
      </xdr:spPr>
    </xdr:pic>
    <xdr:clientData/>
  </xdr:twoCellAnchor>
  <xdr:twoCellAnchor editAs="oneCell">
    <xdr:from>
      <xdr:col>34</xdr:col>
      <xdr:colOff>384481</xdr:colOff>
      <xdr:row>28</xdr:row>
      <xdr:rowOff>166658</xdr:rowOff>
    </xdr:from>
    <xdr:to>
      <xdr:col>43</xdr:col>
      <xdr:colOff>124690</xdr:colOff>
      <xdr:row>42</xdr:row>
      <xdr:rowOff>53812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77099" y="6331931"/>
          <a:ext cx="5226609" cy="2630354"/>
        </a:xfrm>
        <a:prstGeom prst="rect">
          <a:avLst/>
        </a:prstGeom>
      </xdr:spPr>
    </xdr:pic>
    <xdr:clientData/>
  </xdr:twoCellAnchor>
  <xdr:twoCellAnchor editAs="oneCell">
    <xdr:from>
      <xdr:col>23</xdr:col>
      <xdr:colOff>60832</xdr:colOff>
      <xdr:row>7</xdr:row>
      <xdr:rowOff>153043</xdr:rowOff>
    </xdr:from>
    <xdr:to>
      <xdr:col>27</xdr:col>
      <xdr:colOff>564778</xdr:colOff>
      <xdr:row>11</xdr:row>
      <xdr:rowOff>23620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143592" y="1699903"/>
          <a:ext cx="4313946" cy="602097"/>
        </a:xfrm>
        <a:prstGeom prst="rect">
          <a:avLst/>
        </a:prstGeom>
      </xdr:spPr>
    </xdr:pic>
    <xdr:clientData/>
  </xdr:twoCellAnchor>
  <xdr:twoCellAnchor editAs="oneCell">
    <xdr:from>
      <xdr:col>23</xdr:col>
      <xdr:colOff>68166</xdr:colOff>
      <xdr:row>0</xdr:row>
      <xdr:rowOff>168990</xdr:rowOff>
    </xdr:from>
    <xdr:to>
      <xdr:col>26</xdr:col>
      <xdr:colOff>1091771</xdr:colOff>
      <xdr:row>6</xdr:row>
      <xdr:rowOff>77153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150926" y="168990"/>
          <a:ext cx="3713465" cy="1005443"/>
        </a:xfrm>
        <a:prstGeom prst="rect">
          <a:avLst/>
        </a:prstGeom>
      </xdr:spPr>
    </xdr:pic>
    <xdr:clientData/>
  </xdr:twoCellAnchor>
  <xdr:twoCellAnchor editAs="oneCell">
    <xdr:from>
      <xdr:col>17</xdr:col>
      <xdr:colOff>174273</xdr:colOff>
      <xdr:row>12</xdr:row>
      <xdr:rowOff>75219</xdr:rowOff>
    </xdr:from>
    <xdr:to>
      <xdr:col>21</xdr:col>
      <xdr:colOff>0</xdr:colOff>
      <xdr:row>16</xdr:row>
      <xdr:rowOff>255424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702" y="2698676"/>
          <a:ext cx="3537755" cy="1072834"/>
        </a:xfrm>
        <a:prstGeom prst="rect">
          <a:avLst/>
        </a:prstGeom>
      </xdr:spPr>
    </xdr:pic>
    <xdr:clientData/>
  </xdr:twoCellAnchor>
  <xdr:oneCellAnchor>
    <xdr:from>
      <xdr:col>23</xdr:col>
      <xdr:colOff>432750</xdr:colOff>
      <xdr:row>5</xdr:row>
      <xdr:rowOff>114098</xdr:rowOff>
    </xdr:from>
    <xdr:ext cx="3843416" cy="436786"/>
    <xdr:sp macro="" textlink="">
      <xdr:nvSpPr>
        <xdr:cNvPr id="9" name="TextBox 8"/>
        <xdr:cNvSpPr txBox="1"/>
      </xdr:nvSpPr>
      <xdr:spPr>
        <a:xfrm>
          <a:off x="22515510" y="1264718"/>
          <a:ext cx="384341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Табл.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зн. расп. Стьюдента при заданном уровне значимости </a:t>
          </a:r>
          <a:r>
            <a:rPr lang="el-G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95%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числе степеней свободы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n-2</a:t>
          </a:r>
          <a:r>
            <a:rPr lang="en-US"/>
            <a:t> </a:t>
          </a:r>
          <a:r>
            <a:rPr lang="ru-RU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ru-RU" sz="1100"/>
        </a:p>
      </xdr:txBody>
    </xdr:sp>
    <xdr:clientData/>
  </xdr:oneCellAnchor>
  <xdr:twoCellAnchor>
    <xdr:from>
      <xdr:col>22</xdr:col>
      <xdr:colOff>1416424</xdr:colOff>
      <xdr:row>6</xdr:row>
      <xdr:rowOff>89647</xdr:rowOff>
    </xdr:from>
    <xdr:to>
      <xdr:col>23</xdr:col>
      <xdr:colOff>432750</xdr:colOff>
      <xdr:row>6</xdr:row>
      <xdr:rowOff>135267</xdr:rowOff>
    </xdr:to>
    <xdr:cxnSp macro="">
      <xdr:nvCxnSpPr>
        <xdr:cNvPr id="10" name="Прямая со стрелкой 9"/>
        <xdr:cNvCxnSpPr>
          <a:stCxn id="9" idx="1"/>
        </xdr:cNvCxnSpPr>
      </xdr:nvCxnSpPr>
      <xdr:spPr>
        <a:xfrm flipH="1" flipV="1">
          <a:off x="22081864" y="1438387"/>
          <a:ext cx="433646" cy="45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496785</xdr:colOff>
      <xdr:row>12</xdr:row>
      <xdr:rowOff>90054</xdr:rowOff>
    </xdr:from>
    <xdr:to>
      <xdr:col>27</xdr:col>
      <xdr:colOff>10755</xdr:colOff>
      <xdr:row>15</xdr:row>
      <xdr:rowOff>77493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36894" y="2694709"/>
          <a:ext cx="2381861" cy="694020"/>
        </a:xfrm>
        <a:prstGeom prst="rect">
          <a:avLst/>
        </a:prstGeom>
      </xdr:spPr>
    </xdr:pic>
    <xdr:clientData/>
  </xdr:twoCellAnchor>
  <xdr:twoCellAnchor>
    <xdr:from>
      <xdr:col>21</xdr:col>
      <xdr:colOff>1005840</xdr:colOff>
      <xdr:row>41</xdr:row>
      <xdr:rowOff>121920</xdr:rowOff>
    </xdr:from>
    <xdr:to>
      <xdr:col>47</xdr:col>
      <xdr:colOff>335280</xdr:colOff>
      <xdr:row>104</xdr:row>
      <xdr:rowOff>138546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21</xdr:col>
      <xdr:colOff>859969</xdr:colOff>
      <xdr:row>10</xdr:row>
      <xdr:rowOff>141515</xdr:rowOff>
    </xdr:from>
    <xdr:ext cx="2231571" cy="781240"/>
    <xdr:sp macro="" textlink="">
      <xdr:nvSpPr>
        <xdr:cNvPr id="13" name="TextBox 12"/>
        <xdr:cNvSpPr txBox="1"/>
      </xdr:nvSpPr>
      <xdr:spPr>
        <a:xfrm>
          <a:off x="19866426" y="2340429"/>
          <a:ext cx="2231571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Квадрат коэффициента корреляции выборки 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R²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и называется </a:t>
          </a:r>
          <a:r>
            <a:rPr lang="ru-RU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коэффициентом детерминации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100"/>
        </a:p>
      </xdr:txBody>
    </xdr:sp>
    <xdr:clientData/>
  </xdr:oneCellAnchor>
  <xdr:twoCellAnchor>
    <xdr:from>
      <xdr:col>20</xdr:col>
      <xdr:colOff>1208314</xdr:colOff>
      <xdr:row>9</xdr:row>
      <xdr:rowOff>87086</xdr:rowOff>
    </xdr:from>
    <xdr:to>
      <xdr:col>21</xdr:col>
      <xdr:colOff>859969</xdr:colOff>
      <xdr:row>12</xdr:row>
      <xdr:rowOff>107592</xdr:rowOff>
    </xdr:to>
    <xdr:cxnSp macro="">
      <xdr:nvCxnSpPr>
        <xdr:cNvPr id="14" name="Прямая со стрелкой 13"/>
        <xdr:cNvCxnSpPr>
          <a:stCxn id="13" idx="1"/>
        </xdr:cNvCxnSpPr>
      </xdr:nvCxnSpPr>
      <xdr:spPr>
        <a:xfrm flipH="1" flipV="1">
          <a:off x="18919371" y="2100943"/>
          <a:ext cx="947055" cy="63010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selection activeCell="X20" sqref="X20"/>
    </sheetView>
  </sheetViews>
  <sheetFormatPr defaultRowHeight="14.4" x14ac:dyDescent="0.3"/>
  <cols>
    <col min="1" max="1" width="17.109375" customWidth="1"/>
    <col min="5" max="5" width="8.6640625" customWidth="1"/>
  </cols>
  <sheetData>
    <row r="1" spans="1:6" ht="24.6" customHeight="1" x14ac:dyDescent="0.3">
      <c r="A1" s="234" t="s">
        <v>0</v>
      </c>
      <c r="B1" s="234"/>
      <c r="C1" s="234"/>
      <c r="D1" s="234"/>
      <c r="E1" s="234"/>
      <c r="F1" s="234"/>
    </row>
    <row r="4" spans="1:6" x14ac:dyDescent="0.3">
      <c r="A4" s="3"/>
      <c r="B4" s="4">
        <v>1985</v>
      </c>
      <c r="C4" s="4">
        <v>1986</v>
      </c>
      <c r="D4" s="4">
        <v>1987</v>
      </c>
      <c r="E4" s="4">
        <v>1988</v>
      </c>
      <c r="F4" s="4">
        <v>1989</v>
      </c>
    </row>
    <row r="5" spans="1:6" x14ac:dyDescent="0.3">
      <c r="A5" s="5" t="s">
        <v>1</v>
      </c>
      <c r="B5" s="3">
        <v>4.43</v>
      </c>
      <c r="C5" s="3">
        <v>3.6</v>
      </c>
      <c r="D5" s="3">
        <v>5.33</v>
      </c>
      <c r="E5" s="3">
        <v>4.25</v>
      </c>
      <c r="F5" s="3">
        <v>4.62</v>
      </c>
    </row>
    <row r="6" spans="1:6" x14ac:dyDescent="0.3">
      <c r="A6" s="5" t="s">
        <v>2</v>
      </c>
      <c r="B6" s="3">
        <v>3.05</v>
      </c>
      <c r="C6" s="3">
        <v>3.23</v>
      </c>
      <c r="D6" s="3">
        <v>3.78</v>
      </c>
      <c r="E6" s="3">
        <v>3.34</v>
      </c>
      <c r="F6" s="3">
        <v>3.42</v>
      </c>
    </row>
    <row r="7" spans="1:6" x14ac:dyDescent="0.3">
      <c r="A7" s="5" t="s">
        <v>3</v>
      </c>
      <c r="B7" s="3">
        <v>2.63</v>
      </c>
      <c r="C7" s="3">
        <v>3.59</v>
      </c>
      <c r="D7" s="3">
        <v>2.8</v>
      </c>
      <c r="E7" s="3">
        <v>2.94</v>
      </c>
      <c r="F7" s="3">
        <v>3.34</v>
      </c>
    </row>
    <row r="8" spans="1:6" x14ac:dyDescent="0.3">
      <c r="A8" s="5" t="s">
        <v>4</v>
      </c>
      <c r="B8" s="3">
        <v>4.43</v>
      </c>
      <c r="C8" s="3">
        <v>4.38</v>
      </c>
      <c r="D8" s="3">
        <v>4.08</v>
      </c>
      <c r="E8" s="3">
        <v>4.46</v>
      </c>
      <c r="F8" s="3">
        <v>4.58</v>
      </c>
    </row>
    <row r="9" spans="1:6" x14ac:dyDescent="0.3">
      <c r="A9" s="5" t="s">
        <v>5</v>
      </c>
      <c r="B9" s="3">
        <v>5.27</v>
      </c>
      <c r="C9" s="3">
        <v>4.62</v>
      </c>
      <c r="D9" s="3">
        <v>4.93</v>
      </c>
      <c r="E9" s="3">
        <v>5.04</v>
      </c>
      <c r="F9" s="3">
        <v>5.18</v>
      </c>
    </row>
    <row r="10" spans="1:6" x14ac:dyDescent="0.3">
      <c r="A10" s="5" t="s">
        <v>6</v>
      </c>
      <c r="B10" s="3">
        <v>4.1900000000000004</v>
      </c>
      <c r="C10" s="3">
        <v>4.4400000000000004</v>
      </c>
      <c r="D10" s="3">
        <v>4.32</v>
      </c>
      <c r="E10" s="3">
        <v>4.38</v>
      </c>
      <c r="F10" s="3">
        <v>4.3</v>
      </c>
    </row>
    <row r="11" spans="1:6" x14ac:dyDescent="0.3">
      <c r="A11" s="5" t="s">
        <v>7</v>
      </c>
      <c r="B11" s="3">
        <v>4.67</v>
      </c>
      <c r="C11" s="3">
        <v>4.08</v>
      </c>
      <c r="D11" s="3">
        <v>4.42</v>
      </c>
      <c r="E11" s="3">
        <v>3.39</v>
      </c>
      <c r="F11" s="3">
        <v>4.49</v>
      </c>
    </row>
    <row r="12" spans="1:6" x14ac:dyDescent="0.3">
      <c r="A12" s="5" t="s">
        <v>8</v>
      </c>
      <c r="B12" s="3">
        <v>4.01</v>
      </c>
      <c r="C12" s="3">
        <v>3.78</v>
      </c>
      <c r="D12" s="3">
        <v>3.82</v>
      </c>
      <c r="E12" s="3">
        <v>3.85</v>
      </c>
      <c r="F12" s="3">
        <v>3.98</v>
      </c>
    </row>
    <row r="13" spans="1:6" x14ac:dyDescent="0.3">
      <c r="A13" s="5" t="s">
        <v>9</v>
      </c>
      <c r="B13" s="3">
        <v>4.3099999999999996</v>
      </c>
      <c r="C13" s="3">
        <v>3.72</v>
      </c>
      <c r="D13" s="3">
        <v>3.72</v>
      </c>
      <c r="E13" s="3">
        <v>4.01</v>
      </c>
      <c r="F13" s="3">
        <v>3.9</v>
      </c>
    </row>
    <row r="14" spans="1:6" x14ac:dyDescent="0.3">
      <c r="A14" s="5" t="s">
        <v>10</v>
      </c>
      <c r="B14" s="3">
        <v>2.95</v>
      </c>
      <c r="C14" s="3">
        <v>3.66</v>
      </c>
      <c r="D14" s="3">
        <v>3.41</v>
      </c>
      <c r="E14" s="3">
        <v>3.34</v>
      </c>
      <c r="F14" s="3">
        <v>3.17</v>
      </c>
    </row>
    <row r="15" spans="1:6" x14ac:dyDescent="0.3">
      <c r="A15" s="5" t="s">
        <v>11</v>
      </c>
      <c r="B15" s="3">
        <v>3.11</v>
      </c>
      <c r="C15" s="3">
        <v>3.24</v>
      </c>
      <c r="D15" s="3">
        <v>3.4</v>
      </c>
      <c r="E15" s="3">
        <v>3.17</v>
      </c>
      <c r="F15" s="3">
        <v>3.25</v>
      </c>
    </row>
    <row r="16" spans="1:6" x14ac:dyDescent="0.3">
      <c r="A16" s="5" t="s">
        <v>12</v>
      </c>
      <c r="B16" s="3">
        <v>4.3099999999999996</v>
      </c>
      <c r="C16" s="3">
        <v>3.78</v>
      </c>
      <c r="D16" s="3">
        <v>3.83</v>
      </c>
      <c r="E16" s="3">
        <v>3.91</v>
      </c>
      <c r="F16" s="3">
        <v>3.82</v>
      </c>
    </row>
    <row r="17" spans="1:6" x14ac:dyDescent="0.3">
      <c r="A17" s="8" t="s">
        <v>13</v>
      </c>
      <c r="B17" s="3">
        <f>AVERAGE(B5:B16)</f>
        <v>3.9466666666666672</v>
      </c>
      <c r="C17" s="3">
        <f>AVERAGE(C5:C16)</f>
        <v>3.8433333333333342</v>
      </c>
      <c r="D17" s="3">
        <f t="shared" ref="D17" si="0">AVERAGE(D5:D16)</f>
        <v>3.9866666666666664</v>
      </c>
      <c r="E17" s="3">
        <f>AVERAGE(E5:E16)</f>
        <v>3.84</v>
      </c>
      <c r="F17" s="3">
        <f>AVERAGE(F5:F16)</f>
        <v>4.0041666666666664</v>
      </c>
    </row>
    <row r="18" spans="1:6" x14ac:dyDescent="0.3">
      <c r="D18" s="1"/>
    </row>
    <row r="20" spans="1:6" x14ac:dyDescent="0.3">
      <c r="A20" s="6"/>
      <c r="B20" s="7"/>
      <c r="C20" s="6"/>
    </row>
    <row r="21" spans="1:6" x14ac:dyDescent="0.3">
      <c r="A21" s="7"/>
      <c r="B21" s="7"/>
      <c r="C21" s="7"/>
      <c r="D21" s="2"/>
      <c r="E21" s="2"/>
      <c r="F21" s="2"/>
    </row>
    <row r="22" spans="1:6" x14ac:dyDescent="0.3">
      <c r="B22" s="2"/>
      <c r="C22" s="2"/>
      <c r="D22" s="2"/>
      <c r="E22" s="2"/>
      <c r="F22" s="2"/>
    </row>
    <row r="23" spans="1:6" x14ac:dyDescent="0.3">
      <c r="B23" s="2"/>
      <c r="C23" s="2"/>
      <c r="D23" s="2"/>
      <c r="E23" s="2"/>
      <c r="F23" s="2"/>
    </row>
    <row r="24" spans="1:6" x14ac:dyDescent="0.3">
      <c r="B24" s="2"/>
      <c r="C24" s="2"/>
      <c r="D24" s="2"/>
      <c r="E24" s="2"/>
      <c r="F24" s="2"/>
    </row>
    <row r="25" spans="1:6" x14ac:dyDescent="0.3">
      <c r="B25" s="2"/>
      <c r="C25" s="2"/>
      <c r="D25" s="2"/>
      <c r="E25" s="2"/>
      <c r="F25" s="2"/>
    </row>
    <row r="26" spans="1:6" x14ac:dyDescent="0.3">
      <c r="B26" s="2"/>
      <c r="C26" s="2"/>
      <c r="D26" s="2"/>
      <c r="E26" s="2"/>
      <c r="F26" s="2"/>
    </row>
    <row r="27" spans="1:6" x14ac:dyDescent="0.3">
      <c r="B27" s="2"/>
      <c r="C27" s="2"/>
      <c r="D27" s="2"/>
      <c r="E27" s="2"/>
      <c r="F27" s="2"/>
    </row>
    <row r="28" spans="1:6" x14ac:dyDescent="0.3">
      <c r="B28" s="2"/>
      <c r="C28" s="2"/>
      <c r="D28" s="2"/>
      <c r="E28" s="2"/>
      <c r="F28" s="2"/>
    </row>
    <row r="29" spans="1:6" x14ac:dyDescent="0.3">
      <c r="B29" s="2"/>
      <c r="C29" s="2"/>
      <c r="D29" s="2"/>
      <c r="E29" s="2"/>
      <c r="F29" s="2"/>
    </row>
    <row r="30" spans="1:6" x14ac:dyDescent="0.3">
      <c r="B30" s="2"/>
      <c r="C30" s="2"/>
      <c r="D30" s="2"/>
      <c r="E30" s="2"/>
      <c r="F30" s="2"/>
    </row>
    <row r="31" spans="1:6" x14ac:dyDescent="0.3">
      <c r="B31" s="2"/>
      <c r="C31" s="2"/>
      <c r="D31" s="2"/>
      <c r="E31" s="2"/>
      <c r="F31" s="2"/>
    </row>
    <row r="32" spans="1:6" x14ac:dyDescent="0.3">
      <c r="B32" s="2"/>
      <c r="C32" s="2"/>
      <c r="D32" s="2"/>
      <c r="E32" s="2"/>
      <c r="F32" s="2"/>
    </row>
  </sheetData>
  <mergeCells count="1">
    <mergeCell ref="A1:F1"/>
  </mergeCells>
  <pageMargins left="0.7" right="0.7" top="0.75" bottom="0.75" header="0.3" footer="0.3"/>
  <ignoredErrors>
    <ignoredError sqref="F17 B17:E1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40" zoomScaleNormal="40" workbookViewId="0">
      <selection activeCell="Z28" sqref="Z28"/>
    </sheetView>
  </sheetViews>
  <sheetFormatPr defaultRowHeight="18" x14ac:dyDescent="0.35"/>
  <cols>
    <col min="1" max="1" width="12.5546875" style="14" customWidth="1"/>
    <col min="2" max="2" width="14.5546875" style="14" customWidth="1"/>
    <col min="3" max="3" width="14.44140625" style="14" customWidth="1"/>
    <col min="4" max="4" width="37.77734375" style="14" customWidth="1"/>
    <col min="5" max="5" width="52.44140625" style="14" customWidth="1"/>
    <col min="6" max="6" width="39.77734375" style="14" customWidth="1"/>
    <col min="7" max="7" width="20.44140625" style="14" customWidth="1"/>
    <col min="8" max="8" width="11.88671875" style="14" customWidth="1"/>
    <col min="9" max="9" width="9.5546875" style="14" customWidth="1"/>
    <col min="10" max="10" width="8.33203125" style="14" customWidth="1"/>
    <col min="11" max="11" width="33.33203125" style="14" customWidth="1"/>
    <col min="12" max="12" width="23.77734375" style="14" customWidth="1"/>
    <col min="13" max="13" width="16" style="14" customWidth="1"/>
    <col min="14" max="14" width="9.33203125" style="14" customWidth="1"/>
    <col min="15" max="15" width="13.88671875" style="14" customWidth="1"/>
    <col min="16" max="16" width="28.5546875" style="14" customWidth="1"/>
    <col min="17" max="17" width="26.77734375" style="14" customWidth="1"/>
    <col min="18" max="18" width="8.88671875" style="14"/>
    <col min="19" max="19" width="23.44140625" style="14" customWidth="1"/>
    <col min="20" max="16384" width="8.88671875" style="14"/>
  </cols>
  <sheetData>
    <row r="1" spans="1:16" ht="31.2" customHeight="1" thickBot="1" x14ac:dyDescent="0.4">
      <c r="A1" s="214" t="s">
        <v>0</v>
      </c>
      <c r="B1" s="215"/>
      <c r="C1" s="215"/>
      <c r="D1" s="215"/>
      <c r="E1" s="215"/>
      <c r="F1" s="216"/>
    </row>
    <row r="2" spans="1:16" ht="18.600000000000001" thickBot="1" x14ac:dyDescent="0.4">
      <c r="A2" s="74"/>
      <c r="B2" s="75">
        <v>1985</v>
      </c>
      <c r="C2" s="75">
        <v>1986</v>
      </c>
      <c r="D2" s="75">
        <v>1987</v>
      </c>
      <c r="E2" s="75">
        <v>1988</v>
      </c>
      <c r="F2" s="75">
        <v>1989</v>
      </c>
    </row>
    <row r="3" spans="1:16" x14ac:dyDescent="0.35">
      <c r="A3" s="71" t="s">
        <v>1</v>
      </c>
      <c r="B3" s="69">
        <v>4.43</v>
      </c>
      <c r="C3" s="13">
        <v>3.6</v>
      </c>
      <c r="D3" s="13">
        <v>5.33</v>
      </c>
      <c r="E3" s="13">
        <v>4.25</v>
      </c>
      <c r="F3" s="13">
        <v>4.62</v>
      </c>
    </row>
    <row r="4" spans="1:16" ht="33.6" x14ac:dyDescent="0.65">
      <c r="A4" s="72" t="s">
        <v>2</v>
      </c>
      <c r="B4" s="69">
        <v>3.05</v>
      </c>
      <c r="C4" s="13">
        <v>3.23</v>
      </c>
      <c r="D4" s="13">
        <v>3.78</v>
      </c>
      <c r="E4" s="13">
        <v>3.34</v>
      </c>
      <c r="F4" s="13">
        <v>3.42</v>
      </c>
      <c r="P4" s="67"/>
    </row>
    <row r="5" spans="1:16" ht="18.600000000000001" thickBot="1" x14ac:dyDescent="0.4">
      <c r="A5" s="73" t="s">
        <v>3</v>
      </c>
      <c r="B5" s="69">
        <v>2.63</v>
      </c>
      <c r="C5" s="13">
        <v>3.59</v>
      </c>
      <c r="D5" s="13">
        <v>2.8</v>
      </c>
      <c r="E5" s="13">
        <v>2.94</v>
      </c>
      <c r="F5" s="13">
        <v>3.34</v>
      </c>
    </row>
    <row r="6" spans="1:16" x14ac:dyDescent="0.35">
      <c r="A6" s="71" t="s">
        <v>4</v>
      </c>
      <c r="B6" s="69">
        <v>4.43</v>
      </c>
      <c r="C6" s="13">
        <v>4.38</v>
      </c>
      <c r="D6" s="13">
        <v>4.08</v>
      </c>
      <c r="E6" s="13">
        <v>4.46</v>
      </c>
      <c r="F6" s="13">
        <v>4.58</v>
      </c>
    </row>
    <row r="7" spans="1:16" x14ac:dyDescent="0.35">
      <c r="A7" s="72" t="s">
        <v>5</v>
      </c>
      <c r="B7" s="69">
        <v>5.27</v>
      </c>
      <c r="C7" s="13">
        <v>4.62</v>
      </c>
      <c r="D7" s="13">
        <v>4.93</v>
      </c>
      <c r="E7" s="13">
        <v>5.04</v>
      </c>
      <c r="F7" s="13">
        <v>5.18</v>
      </c>
    </row>
    <row r="8" spans="1:16" ht="18.600000000000001" thickBot="1" x14ac:dyDescent="0.4">
      <c r="A8" s="73" t="s">
        <v>6</v>
      </c>
      <c r="B8" s="69">
        <v>4.1900000000000004</v>
      </c>
      <c r="C8" s="13">
        <v>4.4400000000000004</v>
      </c>
      <c r="D8" s="13">
        <v>4.32</v>
      </c>
      <c r="E8" s="13">
        <v>4.38</v>
      </c>
      <c r="F8" s="13">
        <v>4.3</v>
      </c>
    </row>
    <row r="9" spans="1:16" x14ac:dyDescent="0.35">
      <c r="A9" s="71" t="s">
        <v>7</v>
      </c>
      <c r="B9" s="69">
        <v>4.67</v>
      </c>
      <c r="C9" s="13">
        <v>4.08</v>
      </c>
      <c r="D9" s="13">
        <v>4.42</v>
      </c>
      <c r="E9" s="13">
        <v>3.39</v>
      </c>
      <c r="F9" s="13">
        <v>4.49</v>
      </c>
    </row>
    <row r="10" spans="1:16" x14ac:dyDescent="0.35">
      <c r="A10" s="72" t="s">
        <v>8</v>
      </c>
      <c r="B10" s="69">
        <v>4.01</v>
      </c>
      <c r="C10" s="13">
        <v>3.78</v>
      </c>
      <c r="D10" s="13">
        <v>3.82</v>
      </c>
      <c r="E10" s="13">
        <v>3.85</v>
      </c>
      <c r="F10" s="13">
        <v>3.98</v>
      </c>
    </row>
    <row r="11" spans="1:16" ht="18.600000000000001" thickBot="1" x14ac:dyDescent="0.4">
      <c r="A11" s="73" t="s">
        <v>9</v>
      </c>
      <c r="B11" s="69">
        <v>4.3099999999999996</v>
      </c>
      <c r="C11" s="13">
        <v>3.72</v>
      </c>
      <c r="D11" s="13">
        <v>3.72</v>
      </c>
      <c r="E11" s="13">
        <v>4.01</v>
      </c>
      <c r="F11" s="13">
        <v>3.9</v>
      </c>
    </row>
    <row r="12" spans="1:16" x14ac:dyDescent="0.35">
      <c r="A12" s="71" t="s">
        <v>10</v>
      </c>
      <c r="B12" s="69">
        <v>2.95</v>
      </c>
      <c r="C12" s="13">
        <v>3.66</v>
      </c>
      <c r="D12" s="13">
        <v>3.41</v>
      </c>
      <c r="E12" s="13">
        <v>3.34</v>
      </c>
      <c r="F12" s="13">
        <v>3.17</v>
      </c>
    </row>
    <row r="13" spans="1:16" x14ac:dyDescent="0.35">
      <c r="A13" s="72" t="s">
        <v>11</v>
      </c>
      <c r="B13" s="69">
        <v>3.11</v>
      </c>
      <c r="C13" s="13">
        <v>3.24</v>
      </c>
      <c r="D13" s="13">
        <v>3.4</v>
      </c>
      <c r="E13" s="13">
        <v>3.17</v>
      </c>
      <c r="F13" s="13">
        <v>3.25</v>
      </c>
    </row>
    <row r="14" spans="1:16" x14ac:dyDescent="0.35">
      <c r="A14" s="72" t="s">
        <v>12</v>
      </c>
      <c r="B14" s="76">
        <v>4.3099999999999996</v>
      </c>
      <c r="C14" s="70">
        <v>3.78</v>
      </c>
      <c r="D14" s="70">
        <v>3.83</v>
      </c>
      <c r="E14" s="70">
        <v>3.91</v>
      </c>
      <c r="F14" s="70">
        <v>3.82</v>
      </c>
    </row>
    <row r="15" spans="1:16" x14ac:dyDescent="0.35">
      <c r="A15" s="78" t="s">
        <v>63</v>
      </c>
      <c r="B15" s="13">
        <f>AVERAGE(B3:B14)</f>
        <v>3.9466666666666672</v>
      </c>
      <c r="C15" s="13">
        <f t="shared" ref="C15:F15" si="0">AVERAGE(C3:C14)</f>
        <v>3.8433333333333342</v>
      </c>
      <c r="D15" s="13">
        <f t="shared" si="0"/>
        <v>3.9866666666666664</v>
      </c>
      <c r="E15" s="13">
        <f t="shared" si="0"/>
        <v>3.84</v>
      </c>
      <c r="F15" s="13">
        <f t="shared" si="0"/>
        <v>4.0041666666666664</v>
      </c>
    </row>
    <row r="16" spans="1:16" x14ac:dyDescent="0.35">
      <c r="B16" s="77">
        <v>1985</v>
      </c>
      <c r="C16" s="77">
        <v>1986</v>
      </c>
      <c r="D16" s="77">
        <v>1987</v>
      </c>
      <c r="E16" s="77">
        <v>1988</v>
      </c>
      <c r="F16" s="77">
        <v>1989</v>
      </c>
    </row>
    <row r="17" spans="1:24" x14ac:dyDescent="0.35">
      <c r="A17" s="68" t="s">
        <v>14</v>
      </c>
      <c r="B17" s="13">
        <f>AVERAGE(B3:B5)</f>
        <v>3.3699999999999997</v>
      </c>
      <c r="C17" s="13">
        <f>AVERAGE(C3:C5)</f>
        <v>3.4733333333333332</v>
      </c>
      <c r="D17" s="13">
        <f>AVERAGE(D3:D5)</f>
        <v>3.97</v>
      </c>
      <c r="E17" s="13">
        <f t="shared" ref="E17:F17" si="1">AVERAGE(E3:E5)</f>
        <v>3.51</v>
      </c>
      <c r="F17" s="13">
        <f t="shared" si="1"/>
        <v>3.793333333333333</v>
      </c>
    </row>
    <row r="18" spans="1:24" x14ac:dyDescent="0.35">
      <c r="A18" s="68" t="s">
        <v>15</v>
      </c>
      <c r="B18" s="13">
        <f>AVERAGE(B6:B8)</f>
        <v>4.63</v>
      </c>
      <c r="C18" s="13">
        <f>AVERAGE(C6:C8)</f>
        <v>4.4800000000000004</v>
      </c>
      <c r="D18" s="13">
        <f>AVERAGE(D6:D8)</f>
        <v>4.4433333333333334</v>
      </c>
      <c r="E18" s="13">
        <f t="shared" ref="E18:F18" si="2">AVERAGE(E6:E8)</f>
        <v>4.626666666666666</v>
      </c>
      <c r="F18" s="13">
        <f t="shared" si="2"/>
        <v>4.6866666666666665</v>
      </c>
    </row>
    <row r="19" spans="1:24" x14ac:dyDescent="0.35">
      <c r="A19" s="68" t="s">
        <v>16</v>
      </c>
      <c r="B19" s="13">
        <f>AVERAGE(B9:B11)</f>
        <v>4.3299999999999992</v>
      </c>
      <c r="C19" s="13">
        <f t="shared" ref="C19:F19" si="3">AVERAGE(C9:C11)</f>
        <v>3.86</v>
      </c>
      <c r="D19" s="13">
        <f t="shared" si="3"/>
        <v>3.9866666666666668</v>
      </c>
      <c r="E19" s="13">
        <f t="shared" si="3"/>
        <v>3.75</v>
      </c>
      <c r="F19" s="13">
        <f t="shared" si="3"/>
        <v>4.123333333333334</v>
      </c>
    </row>
    <row r="20" spans="1:24" x14ac:dyDescent="0.35">
      <c r="A20" s="68" t="s">
        <v>17</v>
      </c>
      <c r="B20" s="13">
        <f>AVERAGE(B12:B14)</f>
        <v>3.456666666666667</v>
      </c>
      <c r="C20" s="13">
        <f>AVERAGE(C12:C14)</f>
        <v>3.56</v>
      </c>
      <c r="D20" s="13">
        <f t="shared" ref="D20:E20" si="4">AVERAGE(D12:D14)</f>
        <v>3.5466666666666669</v>
      </c>
      <c r="E20" s="13">
        <f t="shared" si="4"/>
        <v>3.4733333333333332</v>
      </c>
      <c r="F20" s="13">
        <f>AVERAGE(F12:F14)</f>
        <v>3.4133333333333336</v>
      </c>
    </row>
    <row r="22" spans="1:24" ht="21" x14ac:dyDescent="0.4">
      <c r="D22" s="81"/>
      <c r="E22" s="81"/>
      <c r="F22" s="81"/>
      <c r="G22" s="81"/>
      <c r="H22" s="81"/>
      <c r="I22" s="81"/>
      <c r="J22" s="81"/>
      <c r="K22" s="81"/>
      <c r="L22" s="81"/>
      <c r="M22" s="81"/>
      <c r="R22" s="81"/>
      <c r="S22" s="81"/>
      <c r="T22" s="81"/>
      <c r="U22" s="81"/>
      <c r="V22" s="81"/>
      <c r="W22" s="81"/>
      <c r="X22" s="81"/>
    </row>
    <row r="23" spans="1:24" ht="17.399999999999999" customHeight="1" thickBot="1" x14ac:dyDescent="0.45">
      <c r="D23" s="81" t="s">
        <v>18</v>
      </c>
      <c r="E23" s="81" t="s">
        <v>19</v>
      </c>
      <c r="F23" s="81" t="s">
        <v>20</v>
      </c>
      <c r="G23" s="81" t="s">
        <v>25</v>
      </c>
      <c r="H23" s="81"/>
      <c r="I23" s="81"/>
      <c r="J23" s="81"/>
      <c r="K23" s="81" t="s">
        <v>61</v>
      </c>
      <c r="L23" s="81" t="s">
        <v>62</v>
      </c>
      <c r="M23" s="81"/>
      <c r="P23" s="81"/>
      <c r="Q23" s="82" t="s">
        <v>23</v>
      </c>
      <c r="R23" s="82" t="s">
        <v>24</v>
      </c>
      <c r="S23" s="81"/>
      <c r="T23" s="81"/>
    </row>
    <row r="24" spans="1:24" ht="21" x14ac:dyDescent="0.4">
      <c r="A24" s="15">
        <v>1985</v>
      </c>
      <c r="B24" s="16" t="s">
        <v>14</v>
      </c>
      <c r="C24" s="17">
        <f>AVERAGE(B3:B5)</f>
        <v>3.3699999999999997</v>
      </c>
      <c r="D24" s="17">
        <v>0</v>
      </c>
      <c r="E24" s="17">
        <v>0</v>
      </c>
      <c r="F24" s="18">
        <v>0</v>
      </c>
      <c r="G24" s="17">
        <f>C24/$R$24</f>
        <v>3.6011743183486717</v>
      </c>
      <c r="H24" s="19">
        <v>1</v>
      </c>
      <c r="I24" s="55">
        <v>1</v>
      </c>
      <c r="J24" s="19"/>
      <c r="K24" s="55">
        <f>(3.89-0.0034*I24)*$R$24</f>
        <v>3.6371030231066541</v>
      </c>
      <c r="L24" s="20">
        <f>3.89-0.0034*I24</f>
        <v>3.8866000000000001</v>
      </c>
      <c r="M24" s="235">
        <f>(3.89+0.0034*I24)*$R$24</f>
        <v>3.6434665028980211</v>
      </c>
      <c r="P24" s="21" t="s">
        <v>14</v>
      </c>
      <c r="Q24" s="13">
        <f>AVERAGE(F28,F32,F36,F40)</f>
        <v>0.93817549622466523</v>
      </c>
      <c r="R24" s="13">
        <f>Q24/$P$31</f>
        <v>0.93580585167155206</v>
      </c>
    </row>
    <row r="25" spans="1:24" ht="21" x14ac:dyDescent="0.4">
      <c r="A25" s="22"/>
      <c r="B25" s="23" t="s">
        <v>15</v>
      </c>
      <c r="C25" s="24">
        <f>AVERAGE(B6:B8)</f>
        <v>4.63</v>
      </c>
      <c r="D25" s="24">
        <v>0</v>
      </c>
      <c r="E25" s="24">
        <v>0</v>
      </c>
      <c r="F25" s="25">
        <v>0</v>
      </c>
      <c r="G25" s="24">
        <f>C25/$R$25</f>
        <v>3.9895183043082398</v>
      </c>
      <c r="H25" s="26">
        <v>2</v>
      </c>
      <c r="I25" s="56">
        <v>2</v>
      </c>
      <c r="J25" s="26"/>
      <c r="K25" s="56">
        <f>(3.89-0.0034*I25)*$R$25</f>
        <v>4.5066132371380343</v>
      </c>
      <c r="L25" s="20">
        <f t="shared" ref="L25:L47" si="5">3.89-0.0034*I25</f>
        <v>3.8832</v>
      </c>
      <c r="M25" s="235">
        <f>(3.89+0.0034*I25)*$R$25</f>
        <v>4.5223965962297834</v>
      </c>
      <c r="P25" s="21" t="s">
        <v>15</v>
      </c>
      <c r="Q25" s="13">
        <f>AVERAGE(F29,F33,F37,F41)</f>
        <v>1.1634798281345051</v>
      </c>
      <c r="R25" s="27">
        <f>Q25/$P$31</f>
        <v>1.1605411096873801</v>
      </c>
    </row>
    <row r="26" spans="1:24" ht="21" x14ac:dyDescent="0.4">
      <c r="A26" s="22"/>
      <c r="B26" s="23" t="s">
        <v>16</v>
      </c>
      <c r="C26" s="24">
        <f>AVERAGE(B9:B11)</f>
        <v>4.3299999999999992</v>
      </c>
      <c r="D26" s="24">
        <f>AVERAGE(C24:C27)</f>
        <v>3.9466666666666663</v>
      </c>
      <c r="E26" s="24">
        <f>AVERAGE(D26:D27)</f>
        <v>3.9595833333333328</v>
      </c>
      <c r="F26" s="25">
        <f>C26/E26</f>
        <v>1.0935494054509103</v>
      </c>
      <c r="G26" s="24">
        <f>C26/$R$26</f>
        <v>4.2724006143772533</v>
      </c>
      <c r="H26" s="26">
        <v>3</v>
      </c>
      <c r="I26" s="56">
        <v>3</v>
      </c>
      <c r="J26" s="26"/>
      <c r="K26" s="56">
        <f>(3.89-0.0034*I26)*$R$26</f>
        <v>3.9321064470094647</v>
      </c>
      <c r="L26" s="20">
        <f t="shared" si="5"/>
        <v>3.8797999999999999</v>
      </c>
      <c r="M26" s="235">
        <f>(3.89+0.0034*I26)*$R$26</f>
        <v>3.9527814744642291</v>
      </c>
      <c r="P26" s="21" t="s">
        <v>16</v>
      </c>
      <c r="Q26" s="13">
        <f>AVERAGE(F26,F30,F34,F38)</f>
        <v>1.0160480731599983</v>
      </c>
      <c r="R26" s="27">
        <f>Q26/$P$31</f>
        <v>1.0134817379786238</v>
      </c>
    </row>
    <row r="27" spans="1:24" ht="21.6" thickBot="1" x14ac:dyDescent="0.45">
      <c r="A27" s="28"/>
      <c r="B27" s="29" t="s">
        <v>17</v>
      </c>
      <c r="C27" s="30">
        <f>AVERAGE(B12:B14)</f>
        <v>3.456666666666667</v>
      </c>
      <c r="D27" s="30">
        <f>AVERAGE(C25:C28)</f>
        <v>3.9724999999999997</v>
      </c>
      <c r="E27" s="30">
        <f>AVERAGE(D27:D28)</f>
        <v>3.9537499999999999</v>
      </c>
      <c r="F27" s="31">
        <f t="shared" ref="F27:F41" si="6">C27/E27</f>
        <v>0.87427547686795248</v>
      </c>
      <c r="G27" s="30">
        <f>C27/$R$27</f>
        <v>3.8831477313347409</v>
      </c>
      <c r="H27" s="32">
        <v>4</v>
      </c>
      <c r="I27" s="62">
        <v>4</v>
      </c>
      <c r="J27" s="32"/>
      <c r="K27" s="56">
        <f>(3.89-0.0034*I27)*$R$27</f>
        <v>3.4506600298879002</v>
      </c>
      <c r="L27" s="20">
        <f t="shared" si="5"/>
        <v>3.8764000000000003</v>
      </c>
      <c r="M27" s="235">
        <f>(3.89+0.0034*I27)*$R$27</f>
        <v>3.4748726892659185</v>
      </c>
      <c r="P27" s="21" t="s">
        <v>17</v>
      </c>
      <c r="Q27" s="13">
        <f>AVERAGE(F27,F31,F35,F39)</f>
        <v>0.89242538955298167</v>
      </c>
      <c r="R27" s="13">
        <f>Q27/$P$31</f>
        <v>0.89017130066244454</v>
      </c>
    </row>
    <row r="28" spans="1:24" ht="21" x14ac:dyDescent="0.4">
      <c r="A28" s="33">
        <v>1986</v>
      </c>
      <c r="B28" s="34" t="s">
        <v>14</v>
      </c>
      <c r="C28" s="35">
        <f>AVERAGE(C3:C5)</f>
        <v>3.4733333333333332</v>
      </c>
      <c r="D28" s="35">
        <f>AVERAGE(C26:C29)</f>
        <v>3.9350000000000001</v>
      </c>
      <c r="E28" s="35">
        <f t="shared" ref="E28:E41" si="7">AVERAGE(D28:D29)</f>
        <v>3.8762499999999998</v>
      </c>
      <c r="F28" s="36">
        <f>C28/E28</f>
        <v>0.89605503600988934</v>
      </c>
      <c r="G28" s="35">
        <f>C28/$R$24</f>
        <v>3.7115960828084233</v>
      </c>
      <c r="H28" s="37">
        <v>1</v>
      </c>
      <c r="I28" s="57">
        <v>5</v>
      </c>
      <c r="J28" s="37"/>
      <c r="K28" s="57">
        <f>(3.89-0.0034*I28)*$R$24</f>
        <v>3.6243760635239215</v>
      </c>
      <c r="L28" s="38">
        <f t="shared" si="5"/>
        <v>3.8730000000000002</v>
      </c>
      <c r="M28" s="235">
        <f>(3.89+0.0034*I28)*$R$24</f>
        <v>3.6561934624807537</v>
      </c>
      <c r="P28" s="79" t="s">
        <v>22</v>
      </c>
      <c r="Q28" s="80">
        <f>SUM(Q24:Q27)</f>
        <v>4.0101287870721496</v>
      </c>
      <c r="R28" s="80">
        <f>SUM(R24:R27)</f>
        <v>4.0000000000000009</v>
      </c>
    </row>
    <row r="29" spans="1:24" ht="21" x14ac:dyDescent="0.4">
      <c r="A29" s="39"/>
      <c r="B29" s="40" t="s">
        <v>15</v>
      </c>
      <c r="C29" s="41">
        <f>AVERAGE(C6:C8)</f>
        <v>4.4800000000000004</v>
      </c>
      <c r="D29" s="41">
        <f>AVERAGE(C27:C30)</f>
        <v>3.8174999999999999</v>
      </c>
      <c r="E29" s="41">
        <f>AVERAGE(D29:D30)</f>
        <v>3.8304166666666664</v>
      </c>
      <c r="F29" s="42">
        <f t="shared" si="6"/>
        <v>1.1695855542260418</v>
      </c>
      <c r="G29" s="41">
        <f>C29/$R$25</f>
        <v>3.8602682512528981</v>
      </c>
      <c r="H29" s="43">
        <v>2</v>
      </c>
      <c r="I29" s="58">
        <v>6</v>
      </c>
      <c r="J29" s="43"/>
      <c r="K29" s="58">
        <f>(3.89-0.0034*I29)*$R$25</f>
        <v>4.4908298780462861</v>
      </c>
      <c r="L29" s="38">
        <f t="shared" si="5"/>
        <v>3.8696000000000002</v>
      </c>
      <c r="M29" s="235">
        <f>(3.89+0.0034*I29)*$R$25</f>
        <v>4.5381799553215316</v>
      </c>
    </row>
    <row r="30" spans="1:24" ht="21" x14ac:dyDescent="0.4">
      <c r="A30" s="39"/>
      <c r="B30" s="40" t="s">
        <v>16</v>
      </c>
      <c r="C30" s="41">
        <f>AVERAGE(C9:C11)</f>
        <v>3.86</v>
      </c>
      <c r="D30" s="41">
        <f t="shared" ref="D30:D41" si="8">AVERAGE(C28:C31)</f>
        <v>3.8433333333333333</v>
      </c>
      <c r="E30" s="41">
        <f t="shared" si="7"/>
        <v>3.9054166666666665</v>
      </c>
      <c r="F30" s="42">
        <f t="shared" si="6"/>
        <v>0.98837085244852241</v>
      </c>
      <c r="G30" s="41">
        <f>C30/$R$26</f>
        <v>3.8086527416850351</v>
      </c>
      <c r="H30" s="43">
        <v>3</v>
      </c>
      <c r="I30" s="58">
        <v>7</v>
      </c>
      <c r="J30" s="43"/>
      <c r="K30" s="58">
        <f>(3.89-0.0034*I30)*$R$26</f>
        <v>3.9183230953729558</v>
      </c>
      <c r="L30" s="38">
        <f t="shared" si="5"/>
        <v>3.8662000000000001</v>
      </c>
      <c r="M30" s="235">
        <f>(3.89+0.0034*I30)*$R$26</f>
        <v>3.966564826100738</v>
      </c>
      <c r="P30" s="49" t="s">
        <v>21</v>
      </c>
    </row>
    <row r="31" spans="1:24" ht="21.6" thickBot="1" x14ac:dyDescent="0.45">
      <c r="A31" s="44"/>
      <c r="B31" s="45" t="s">
        <v>17</v>
      </c>
      <c r="C31" s="46">
        <f>AVERAGE(C12:C14)</f>
        <v>3.56</v>
      </c>
      <c r="D31" s="46">
        <f t="shared" si="8"/>
        <v>3.9675000000000002</v>
      </c>
      <c r="E31" s="46">
        <f t="shared" si="7"/>
        <v>3.9629166666666666</v>
      </c>
      <c r="F31" s="47">
        <f t="shared" si="6"/>
        <v>0.89832825149826523</v>
      </c>
      <c r="G31" s="46">
        <f>C31/$R$27</f>
        <v>3.999230257536647</v>
      </c>
      <c r="H31" s="48">
        <v>4</v>
      </c>
      <c r="I31" s="63">
        <v>8</v>
      </c>
      <c r="J31" s="48"/>
      <c r="K31" s="58">
        <f>(3.89-0.0034*I31)*$R$27</f>
        <v>3.4385537001988906</v>
      </c>
      <c r="L31" s="38">
        <f t="shared" si="5"/>
        <v>3.8628</v>
      </c>
      <c r="M31" s="235">
        <f>(3.89+0.0034*I31)*$R$27</f>
        <v>3.4869790189549281</v>
      </c>
      <c r="P31" s="14">
        <f>Q28/4</f>
        <v>1.0025321967680374</v>
      </c>
    </row>
    <row r="32" spans="1:24" ht="21" x14ac:dyDescent="0.4">
      <c r="A32" s="15">
        <v>1987</v>
      </c>
      <c r="B32" s="16" t="s">
        <v>14</v>
      </c>
      <c r="C32" s="17">
        <f>AVERAGE(D3:D5)</f>
        <v>3.97</v>
      </c>
      <c r="D32" s="17">
        <f t="shared" si="8"/>
        <v>3.9583333333333335</v>
      </c>
      <c r="E32" s="17">
        <f t="shared" si="7"/>
        <v>3.9741666666666666</v>
      </c>
      <c r="F32" s="18">
        <f t="shared" si="6"/>
        <v>0.99895156217236325</v>
      </c>
      <c r="G32" s="17">
        <f>C32/$R$24</f>
        <v>4.2423329506956167</v>
      </c>
      <c r="H32" s="19">
        <v>1</v>
      </c>
      <c r="I32" s="55">
        <v>9</v>
      </c>
      <c r="J32" s="19"/>
      <c r="K32" s="55">
        <f>(3.89-0.0034*I32)*$R$24</f>
        <v>3.611649103941188</v>
      </c>
      <c r="L32" s="20">
        <f t="shared" si="5"/>
        <v>3.8593999999999999</v>
      </c>
      <c r="M32" s="235">
        <f>(3.89+0.0034*I32)*$R$24</f>
        <v>3.6689204220634872</v>
      </c>
    </row>
    <row r="33" spans="1:19" ht="21" x14ac:dyDescent="0.4">
      <c r="A33" s="22"/>
      <c r="B33" s="23" t="s">
        <v>15</v>
      </c>
      <c r="C33" s="24">
        <f>AVERAGE(D6:D8)</f>
        <v>4.4433333333333334</v>
      </c>
      <c r="D33" s="24">
        <f>AVERAGE(C31:C34)</f>
        <v>3.9899999999999998</v>
      </c>
      <c r="E33" s="24">
        <f t="shared" si="7"/>
        <v>3.9883333333333333</v>
      </c>
      <c r="F33" s="25">
        <f t="shared" si="6"/>
        <v>1.1140827413288759</v>
      </c>
      <c r="G33" s="24">
        <f>C33/$R$25</f>
        <v>3.8286737938393696</v>
      </c>
      <c r="H33" s="26">
        <v>2</v>
      </c>
      <c r="I33" s="56">
        <v>10</v>
      </c>
      <c r="J33" s="26"/>
      <c r="K33" s="56">
        <f>(3.89-0.0034*I33)*$R$25</f>
        <v>4.4750465189545379</v>
      </c>
      <c r="L33" s="20">
        <f t="shared" si="5"/>
        <v>3.8560000000000003</v>
      </c>
      <c r="M33" s="235">
        <f>(3.89+0.0034*I33)*$R$25</f>
        <v>4.5539633144132798</v>
      </c>
    </row>
    <row r="34" spans="1:19" ht="21" x14ac:dyDescent="0.4">
      <c r="A34" s="22"/>
      <c r="B34" s="23" t="s">
        <v>16</v>
      </c>
      <c r="C34" s="24">
        <f>AVERAGE(D9:D11)</f>
        <v>3.9866666666666668</v>
      </c>
      <c r="D34" s="24">
        <f t="shared" si="8"/>
        <v>3.9866666666666668</v>
      </c>
      <c r="E34" s="24">
        <f t="shared" si="7"/>
        <v>3.9291666666666667</v>
      </c>
      <c r="F34" s="25">
        <f t="shared" si="6"/>
        <v>1.0146341463414634</v>
      </c>
      <c r="G34" s="24">
        <f>C34/$R$26</f>
        <v>3.9336344378715906</v>
      </c>
      <c r="H34" s="26">
        <v>3</v>
      </c>
      <c r="I34" s="56">
        <v>11</v>
      </c>
      <c r="J34" s="26"/>
      <c r="K34" s="56">
        <f>(3.89-0.0034*I34)*$R$26</f>
        <v>3.9045397437364464</v>
      </c>
      <c r="L34" s="20">
        <f t="shared" si="5"/>
        <v>3.8526000000000002</v>
      </c>
      <c r="M34" s="235">
        <f>(3.89+0.0034*I34)*$R$26</f>
        <v>3.9803481777372474</v>
      </c>
      <c r="P34" s="49" t="s">
        <v>55</v>
      </c>
    </row>
    <row r="35" spans="1:19" ht="21.6" thickBot="1" x14ac:dyDescent="0.45">
      <c r="A35" s="28"/>
      <c r="B35" s="29" t="s">
        <v>17</v>
      </c>
      <c r="C35" s="30">
        <f>AVERAGE(D12:D14)</f>
        <v>3.5466666666666669</v>
      </c>
      <c r="D35" s="30">
        <f t="shared" si="8"/>
        <v>3.8716666666666666</v>
      </c>
      <c r="E35" s="30">
        <f t="shared" si="7"/>
        <v>3.8945833333333333</v>
      </c>
      <c r="F35" s="31">
        <f t="shared" si="6"/>
        <v>0.91066652401840165</v>
      </c>
      <c r="G35" s="30">
        <f>C35/$R$27</f>
        <v>3.9842518670589819</v>
      </c>
      <c r="H35" s="32">
        <v>4</v>
      </c>
      <c r="I35" s="62">
        <v>12</v>
      </c>
      <c r="J35" s="32"/>
      <c r="K35" s="56">
        <f>(3.89-0.0034*I35)*$R$27</f>
        <v>3.4264473705098819</v>
      </c>
      <c r="L35" s="20">
        <f t="shared" si="5"/>
        <v>3.8492000000000002</v>
      </c>
      <c r="M35" s="235">
        <f>(3.89+0.0034*I35)*$R$27</f>
        <v>3.4990853486439373</v>
      </c>
      <c r="P35" s="14" t="s">
        <v>51</v>
      </c>
      <c r="Q35" s="14">
        <f>LINEST(G24:G43,H24:H43)</f>
        <v>1.6209077531985645E-2</v>
      </c>
    </row>
    <row r="36" spans="1:19" ht="21" x14ac:dyDescent="0.4">
      <c r="A36" s="33">
        <v>1988</v>
      </c>
      <c r="B36" s="34" t="s">
        <v>14</v>
      </c>
      <c r="C36" s="35">
        <f>AVERAGE(E3:E5)</f>
        <v>3.51</v>
      </c>
      <c r="D36" s="35">
        <f t="shared" si="8"/>
        <v>3.9174999999999995</v>
      </c>
      <c r="E36" s="35">
        <f t="shared" si="7"/>
        <v>3.8879166666666665</v>
      </c>
      <c r="F36" s="36">
        <f t="shared" si="6"/>
        <v>0.90279712785339195</v>
      </c>
      <c r="G36" s="35">
        <f>C36/$R$24</f>
        <v>3.7507779992296255</v>
      </c>
      <c r="H36" s="37">
        <v>1</v>
      </c>
      <c r="I36" s="57">
        <v>13</v>
      </c>
      <c r="J36" s="37"/>
      <c r="K36" s="57">
        <f>(3.89-0.0034*I36)*$R$24</f>
        <v>3.5989221443584549</v>
      </c>
      <c r="L36" s="38">
        <f t="shared" si="5"/>
        <v>3.8458000000000001</v>
      </c>
      <c r="M36" s="235">
        <f>(3.89+0.0034*I36)*$R$24</f>
        <v>3.6816473816462203</v>
      </c>
    </row>
    <row r="37" spans="1:19" ht="21" x14ac:dyDescent="0.4">
      <c r="A37" s="39"/>
      <c r="B37" s="40" t="s">
        <v>15</v>
      </c>
      <c r="C37" s="41">
        <f>AVERAGE(E6:E8)</f>
        <v>4.626666666666666</v>
      </c>
      <c r="D37" s="41">
        <f t="shared" si="8"/>
        <v>3.8583333333333334</v>
      </c>
      <c r="E37" s="41">
        <f t="shared" si="7"/>
        <v>3.8491666666666666</v>
      </c>
      <c r="F37" s="42">
        <f t="shared" si="6"/>
        <v>1.2019917731110628</v>
      </c>
      <c r="G37" s="41">
        <f>C37/$R$25</f>
        <v>3.9866460809070099</v>
      </c>
      <c r="H37" s="43">
        <v>2</v>
      </c>
      <c r="I37" s="58">
        <v>14</v>
      </c>
      <c r="J37" s="43"/>
      <c r="K37" s="58">
        <f>(3.89-0.0034*I37)*$R$25</f>
        <v>4.4592631598627896</v>
      </c>
      <c r="L37" s="38">
        <f t="shared" si="5"/>
        <v>3.8424</v>
      </c>
      <c r="M37" s="235">
        <f>(3.89+0.0034*I37)*$R$25</f>
        <v>4.5697466735050281</v>
      </c>
      <c r="P37" s="14" t="s">
        <v>57</v>
      </c>
      <c r="Q37" s="14">
        <f>LINEST(G24:G43,I24:I43)</f>
        <v>3.3574575963982007E-3</v>
      </c>
    </row>
    <row r="38" spans="1:19" ht="21" x14ac:dyDescent="0.4">
      <c r="A38" s="39"/>
      <c r="B38" s="40" t="s">
        <v>16</v>
      </c>
      <c r="C38" s="41">
        <f>AVERAGE(E9:E11)</f>
        <v>3.75</v>
      </c>
      <c r="D38" s="41">
        <f t="shared" si="8"/>
        <v>3.84</v>
      </c>
      <c r="E38" s="41">
        <f t="shared" si="7"/>
        <v>3.8754166666666663</v>
      </c>
      <c r="F38" s="42">
        <f t="shared" si="6"/>
        <v>0.96763788839909692</v>
      </c>
      <c r="G38" s="41">
        <f>C38/$R$26</f>
        <v>3.7001160055230264</v>
      </c>
      <c r="H38" s="43">
        <v>3</v>
      </c>
      <c r="I38" s="58">
        <v>15</v>
      </c>
      <c r="J38" s="43"/>
      <c r="K38" s="58">
        <f>(3.89-0.0034*I38)*$R$26</f>
        <v>3.8907563920999371</v>
      </c>
      <c r="L38" s="38">
        <f t="shared" si="5"/>
        <v>3.839</v>
      </c>
      <c r="M38" s="235">
        <f>(3.89+0.0034*I38)*$R$26</f>
        <v>3.9941315293737567</v>
      </c>
    </row>
    <row r="39" spans="1:19" ht="21.6" thickBot="1" x14ac:dyDescent="0.45">
      <c r="A39" s="44"/>
      <c r="B39" s="45" t="s">
        <v>17</v>
      </c>
      <c r="C39" s="46">
        <f>AVERAGE(E12:E14)</f>
        <v>3.4733333333333332</v>
      </c>
      <c r="D39" s="46">
        <f t="shared" si="8"/>
        <v>3.9108333333333327</v>
      </c>
      <c r="E39" s="46">
        <f t="shared" si="7"/>
        <v>3.918333333333333</v>
      </c>
      <c r="F39" s="47">
        <f t="shared" si="6"/>
        <v>0.88643130582730756</v>
      </c>
      <c r="G39" s="46">
        <f>C39/$R$27</f>
        <v>3.9018707194318218</v>
      </c>
      <c r="H39" s="48">
        <v>4</v>
      </c>
      <c r="I39" s="63">
        <v>16</v>
      </c>
      <c r="J39" s="48"/>
      <c r="K39" s="58">
        <f>(3.89-0.0034*I39)*$R$27</f>
        <v>3.4143410408208728</v>
      </c>
      <c r="L39" s="38">
        <f t="shared" si="5"/>
        <v>3.8356000000000003</v>
      </c>
      <c r="M39" s="235">
        <f>(3.89+0.0034*I39)*$R$27</f>
        <v>3.511191678332946</v>
      </c>
    </row>
    <row r="40" spans="1:19" ht="21" x14ac:dyDescent="0.4">
      <c r="A40" s="15">
        <v>1989</v>
      </c>
      <c r="B40" s="16" t="s">
        <v>14</v>
      </c>
      <c r="C40" s="17">
        <f>AVERAGE(F3:F5)</f>
        <v>3.793333333333333</v>
      </c>
      <c r="D40" s="17">
        <f t="shared" si="8"/>
        <v>3.9258333333333333</v>
      </c>
      <c r="E40" s="17">
        <f t="shared" si="7"/>
        <v>3.9725000000000001</v>
      </c>
      <c r="F40" s="18">
        <f t="shared" si="6"/>
        <v>0.95489825886301649</v>
      </c>
      <c r="G40" s="17">
        <f>C40/$R$24</f>
        <v>4.0535473533934603</v>
      </c>
      <c r="H40" s="19">
        <v>1</v>
      </c>
      <c r="I40" s="55">
        <v>17</v>
      </c>
      <c r="J40" s="19"/>
      <c r="K40" s="55">
        <f>(3.89-0.0034*I40)*$R$24</f>
        <v>3.5861951847757219</v>
      </c>
      <c r="L40" s="20">
        <f t="shared" si="5"/>
        <v>3.8322000000000003</v>
      </c>
      <c r="M40" s="235">
        <f>(3.89+0.0034*I40)*$R$24</f>
        <v>3.6943743412289534</v>
      </c>
      <c r="P40" s="49" t="s">
        <v>56</v>
      </c>
    </row>
    <row r="41" spans="1:19" ht="21" x14ac:dyDescent="0.4">
      <c r="A41" s="22"/>
      <c r="B41" s="23" t="s">
        <v>15</v>
      </c>
      <c r="C41" s="24">
        <f>AVERAGE(F6:F8)</f>
        <v>4.6866666666666665</v>
      </c>
      <c r="D41" s="24">
        <f t="shared" si="8"/>
        <v>4.019166666666667</v>
      </c>
      <c r="E41" s="24">
        <f t="shared" si="7"/>
        <v>4.0116666666666667</v>
      </c>
      <c r="F41" s="25">
        <f t="shared" si="6"/>
        <v>1.1682592438720398</v>
      </c>
      <c r="G41" s="24">
        <f>C41/$R$25</f>
        <v>4.0383461021291476</v>
      </c>
      <c r="H41" s="26">
        <v>2</v>
      </c>
      <c r="I41" s="56">
        <v>18</v>
      </c>
      <c r="J41" s="26"/>
      <c r="K41" s="56">
        <f>(3.89-0.0034*I41)*$R$25</f>
        <v>4.4434798007710414</v>
      </c>
      <c r="L41" s="20">
        <f t="shared" si="5"/>
        <v>3.8288000000000002</v>
      </c>
      <c r="M41" s="235">
        <f>(3.89+0.0034*I41)*$R$25</f>
        <v>4.5855300325967763</v>
      </c>
      <c r="P41" s="14" t="s">
        <v>53</v>
      </c>
      <c r="Q41" s="14">
        <f>_xlfn.VAR.S(G24:G43)</f>
        <v>2.9320746625227868E-2</v>
      </c>
      <c r="R41" s="14" t="s">
        <v>54</v>
      </c>
      <c r="S41" s="14">
        <f>SQRT(Q41)</f>
        <v>0.17123301850177106</v>
      </c>
    </row>
    <row r="42" spans="1:19" ht="21" x14ac:dyDescent="0.4">
      <c r="A42" s="22"/>
      <c r="B42" s="23" t="s">
        <v>16</v>
      </c>
      <c r="C42" s="24">
        <f>AVERAGE(F9:F11)</f>
        <v>4.123333333333334</v>
      </c>
      <c r="D42" s="24">
        <f>AVERAGE(C40:C43)</f>
        <v>4.0041666666666673</v>
      </c>
      <c r="E42" s="24">
        <v>0</v>
      </c>
      <c r="F42" s="25">
        <v>0</v>
      </c>
      <c r="G42" s="24">
        <f>C42/$R$26</f>
        <v>4.0684831100728749</v>
      </c>
      <c r="H42" s="26">
        <v>3</v>
      </c>
      <c r="I42" s="56">
        <v>19</v>
      </c>
      <c r="J42" s="26"/>
      <c r="K42" s="56">
        <f>(3.89-0.0034*I42)*$R$26</f>
        <v>3.8769730404634277</v>
      </c>
      <c r="L42" s="20">
        <f t="shared" si="5"/>
        <v>3.8254000000000001</v>
      </c>
      <c r="M42" s="235">
        <f>(3.89+0.0034*I42)*$R$26</f>
        <v>4.0079148810102661</v>
      </c>
      <c r="P42" s="14" t="s">
        <v>52</v>
      </c>
      <c r="Q42" s="14">
        <f>_xlfn.VAR.P(G24:G43)</f>
        <v>2.7854709293966474E-2</v>
      </c>
      <c r="S42" s="14">
        <f>SQRT(Q42)</f>
        <v>0.16689730163776309</v>
      </c>
    </row>
    <row r="43" spans="1:19" ht="21.6" thickBot="1" x14ac:dyDescent="0.45">
      <c r="A43" s="28"/>
      <c r="B43" s="29" t="s">
        <v>17</v>
      </c>
      <c r="C43" s="30">
        <f>AVERAGE(F12:F14)</f>
        <v>3.4133333333333336</v>
      </c>
      <c r="D43" s="30">
        <v>0</v>
      </c>
      <c r="E43" s="30">
        <v>0</v>
      </c>
      <c r="F43" s="31">
        <v>0</v>
      </c>
      <c r="G43" s="30">
        <f>C43/$R$27</f>
        <v>3.8344679622823281</v>
      </c>
      <c r="H43" s="32">
        <v>4</v>
      </c>
      <c r="I43" s="56">
        <v>20</v>
      </c>
      <c r="J43" s="26"/>
      <c r="K43" s="56">
        <f>(3.89-0.0034*I43)*$R$27</f>
        <v>3.4022347111318632</v>
      </c>
      <c r="L43" s="20">
        <f t="shared" si="5"/>
        <v>3.8220000000000001</v>
      </c>
      <c r="M43" s="235">
        <f>(3.89+0.0034*I43)*$R$27</f>
        <v>3.5232980080219556</v>
      </c>
    </row>
    <row r="44" spans="1:19" ht="21" x14ac:dyDescent="0.4">
      <c r="C44" s="14">
        <f>AVERAGE(C24:C43)</f>
        <v>3.9241666666666659</v>
      </c>
      <c r="H44" s="50" t="s">
        <v>60</v>
      </c>
      <c r="I44" s="64">
        <v>21</v>
      </c>
      <c r="J44" s="52"/>
      <c r="K44" s="59">
        <f>(3.89-0.0034*I44)*$R$24</f>
        <v>3.5734682251929888</v>
      </c>
      <c r="L44" s="51">
        <f t="shared" si="5"/>
        <v>3.8186</v>
      </c>
      <c r="M44" s="235">
        <f>(3.89+0.0034*I44)*$R$24</f>
        <v>3.7071013008116864</v>
      </c>
    </row>
    <row r="45" spans="1:19" ht="25.8" x14ac:dyDescent="0.5">
      <c r="I45" s="65">
        <v>22</v>
      </c>
      <c r="J45" s="53"/>
      <c r="K45" s="60">
        <f>(3.89-0.0034*I45)*$R$25</f>
        <v>4.4276964416792923</v>
      </c>
      <c r="L45" s="51">
        <f t="shared" si="5"/>
        <v>3.8151999999999999</v>
      </c>
      <c r="M45" s="235">
        <f>(3.89+0.0034*I45)*$R$25</f>
        <v>4.6013133916885254</v>
      </c>
      <c r="P45" s="83" t="s">
        <v>58</v>
      </c>
    </row>
    <row r="46" spans="1:19" ht="25.8" x14ac:dyDescent="0.5">
      <c r="I46" s="65">
        <v>23</v>
      </c>
      <c r="J46" s="53"/>
      <c r="K46" s="60">
        <f>(3.89-0.0034*I46)*$R$26</f>
        <v>3.8631896888269188</v>
      </c>
      <c r="L46" s="51">
        <f t="shared" si="5"/>
        <v>3.8118000000000003</v>
      </c>
      <c r="M46" s="235">
        <f>(3.89+0.0034*I46)*$R$26</f>
        <v>4.0216982326467754</v>
      </c>
      <c r="P46" s="84" t="s">
        <v>59</v>
      </c>
    </row>
    <row r="47" spans="1:19" ht="21.6" thickBot="1" x14ac:dyDescent="0.45">
      <c r="I47" s="66">
        <v>24</v>
      </c>
      <c r="J47" s="54"/>
      <c r="K47" s="61">
        <f>(3.89-0.0034*I47)*$R$27</f>
        <v>3.390128381442854</v>
      </c>
      <c r="L47" s="51">
        <f t="shared" si="5"/>
        <v>3.8084000000000002</v>
      </c>
      <c r="M47" s="235">
        <f>(3.89+0.0034*I47)*$R$27</f>
        <v>3.5354043377109647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opLeftCell="A22" zoomScale="85" zoomScaleNormal="85" workbookViewId="0">
      <selection activeCell="H46" sqref="H46"/>
    </sheetView>
  </sheetViews>
  <sheetFormatPr defaultRowHeight="14.4" x14ac:dyDescent="0.3"/>
  <sheetData>
    <row r="2" spans="1:6" ht="23.4" x14ac:dyDescent="0.45">
      <c r="A2" s="85" t="s">
        <v>101</v>
      </c>
    </row>
    <row r="4" spans="1:6" x14ac:dyDescent="0.3">
      <c r="A4" t="s">
        <v>26</v>
      </c>
    </row>
    <row r="5" spans="1:6" ht="15" thickBot="1" x14ac:dyDescent="0.35"/>
    <row r="6" spans="1:6" x14ac:dyDescent="0.3">
      <c r="A6" s="12" t="s">
        <v>27</v>
      </c>
      <c r="B6" s="12"/>
    </row>
    <row r="7" spans="1:6" x14ac:dyDescent="0.3">
      <c r="A7" s="9" t="s">
        <v>28</v>
      </c>
      <c r="B7" s="9">
        <v>0.11599974807697629</v>
      </c>
    </row>
    <row r="8" spans="1:6" x14ac:dyDescent="0.3">
      <c r="A8" s="9" t="s">
        <v>29</v>
      </c>
      <c r="B8" s="9">
        <v>1.3455941553921963E-2</v>
      </c>
    </row>
    <row r="9" spans="1:6" x14ac:dyDescent="0.3">
      <c r="A9" s="9" t="s">
        <v>30</v>
      </c>
      <c r="B9" s="9">
        <v>-4.1352061693082372E-2</v>
      </c>
    </row>
    <row r="10" spans="1:6" x14ac:dyDescent="0.3">
      <c r="A10" s="9" t="s">
        <v>31</v>
      </c>
      <c r="B10" s="9">
        <v>0.17473757451836605</v>
      </c>
    </row>
    <row r="11" spans="1:6" ht="15" thickBot="1" x14ac:dyDescent="0.35">
      <c r="A11" s="10" t="s">
        <v>32</v>
      </c>
      <c r="B11" s="10">
        <v>20</v>
      </c>
    </row>
    <row r="13" spans="1:6" ht="15" thickBot="1" x14ac:dyDescent="0.35">
      <c r="A13" t="s">
        <v>33</v>
      </c>
    </row>
    <row r="14" spans="1:6" x14ac:dyDescent="0.3">
      <c r="A14" s="11"/>
      <c r="B14" s="11" t="s">
        <v>38</v>
      </c>
      <c r="C14" s="11" t="s">
        <v>39</v>
      </c>
      <c r="D14" s="11" t="s">
        <v>40</v>
      </c>
      <c r="E14" s="11" t="s">
        <v>41</v>
      </c>
      <c r="F14" s="11" t="s">
        <v>42</v>
      </c>
    </row>
    <row r="15" spans="1:6" x14ac:dyDescent="0.3">
      <c r="A15" s="9" t="s">
        <v>34</v>
      </c>
      <c r="B15" s="9">
        <v>1</v>
      </c>
      <c r="C15" s="9">
        <v>7.4962268052219949E-3</v>
      </c>
      <c r="D15" s="9">
        <v>7.4962268052219949E-3</v>
      </c>
      <c r="E15" s="9">
        <v>0.24551052322194258</v>
      </c>
      <c r="F15" s="9">
        <v>0.62624897755679232</v>
      </c>
    </row>
    <row r="16" spans="1:6" x14ac:dyDescent="0.3">
      <c r="A16" s="9" t="s">
        <v>35</v>
      </c>
      <c r="B16" s="9">
        <v>18</v>
      </c>
      <c r="C16" s="9">
        <v>0.54959795907410747</v>
      </c>
      <c r="D16" s="9">
        <v>3.0533219948561525E-2</v>
      </c>
      <c r="E16" s="9"/>
      <c r="F16" s="9"/>
    </row>
    <row r="17" spans="1:9" ht="15" thickBot="1" x14ac:dyDescent="0.35">
      <c r="A17" s="10" t="s">
        <v>36</v>
      </c>
      <c r="B17" s="10">
        <v>19</v>
      </c>
      <c r="C17" s="10">
        <v>0.55709418587932946</v>
      </c>
      <c r="D17" s="10"/>
      <c r="E17" s="10"/>
      <c r="F17" s="10"/>
    </row>
    <row r="18" spans="1:9" ht="15" thickBot="1" x14ac:dyDescent="0.35"/>
    <row r="19" spans="1:9" x14ac:dyDescent="0.3">
      <c r="A19" s="11"/>
      <c r="B19" s="11" t="s">
        <v>43</v>
      </c>
      <c r="C19" s="11" t="s">
        <v>31</v>
      </c>
      <c r="D19" s="11" t="s">
        <v>44</v>
      </c>
      <c r="E19" s="11" t="s">
        <v>45</v>
      </c>
      <c r="F19" s="11" t="s">
        <v>46</v>
      </c>
      <c r="G19" s="11" t="s">
        <v>47</v>
      </c>
      <c r="H19" s="11" t="s">
        <v>48</v>
      </c>
      <c r="I19" s="11" t="s">
        <v>49</v>
      </c>
    </row>
    <row r="20" spans="1:9" x14ac:dyDescent="0.3">
      <c r="A20" s="9" t="s">
        <v>37</v>
      </c>
      <c r="B20" s="9">
        <v>3.8872035294421572</v>
      </c>
      <c r="C20" s="9">
        <v>8.117109992222804E-2</v>
      </c>
      <c r="D20" s="9">
        <v>47.889008935034504</v>
      </c>
      <c r="E20" s="9">
        <v>1.9608817802178456E-20</v>
      </c>
      <c r="F20" s="9">
        <v>3.7166693765849406</v>
      </c>
      <c r="G20" s="9">
        <v>4.0577376822993738</v>
      </c>
      <c r="H20" s="9">
        <v>3.7166693765849406</v>
      </c>
      <c r="I20" s="9">
        <v>4.0577376822993738</v>
      </c>
    </row>
    <row r="21" spans="1:9" ht="15" thickBot="1" x14ac:dyDescent="0.35">
      <c r="A21" s="10" t="s">
        <v>50</v>
      </c>
      <c r="B21" s="10">
        <v>3.3574575963982007E-3</v>
      </c>
      <c r="C21" s="10">
        <v>6.776032501693177E-3</v>
      </c>
      <c r="D21" s="10">
        <v>0.49549018478870166</v>
      </c>
      <c r="E21" s="10">
        <v>0.62624897755679299</v>
      </c>
      <c r="F21" s="10">
        <v>-1.0878458431798611E-2</v>
      </c>
      <c r="G21" s="10">
        <v>1.7593373624595014E-2</v>
      </c>
      <c r="H21" s="10">
        <v>-1.0878458431798611E-2</v>
      </c>
      <c r="I21" s="10">
        <v>1.7593373624595014E-2</v>
      </c>
    </row>
    <row r="24" spans="1:9" ht="23.4" x14ac:dyDescent="0.45">
      <c r="A24" s="85" t="s">
        <v>100</v>
      </c>
    </row>
    <row r="26" spans="1:9" x14ac:dyDescent="0.3">
      <c r="A26" t="s">
        <v>26</v>
      </c>
    </row>
    <row r="27" spans="1:9" ht="15" thickBot="1" x14ac:dyDescent="0.35"/>
    <row r="28" spans="1:9" x14ac:dyDescent="0.3">
      <c r="A28" s="12" t="s">
        <v>27</v>
      </c>
      <c r="B28" s="12"/>
    </row>
    <row r="29" spans="1:9" x14ac:dyDescent="0.3">
      <c r="A29" s="9" t="s">
        <v>28</v>
      </c>
      <c r="B29" s="9">
        <v>0.10858353867443128</v>
      </c>
    </row>
    <row r="30" spans="1:9" x14ac:dyDescent="0.3">
      <c r="A30" s="9" t="s">
        <v>29</v>
      </c>
      <c r="B30" s="9">
        <v>1.1790384871061715E-2</v>
      </c>
    </row>
    <row r="31" spans="1:9" x14ac:dyDescent="0.3">
      <c r="A31" s="9" t="s">
        <v>30</v>
      </c>
      <c r="B31" s="9">
        <v>-4.3110149302768193E-2</v>
      </c>
    </row>
    <row r="32" spans="1:9" x14ac:dyDescent="0.3">
      <c r="A32" s="9" t="s">
        <v>31</v>
      </c>
      <c r="B32" s="9">
        <v>0.17488501476658908</v>
      </c>
    </row>
    <row r="33" spans="1:9" ht="15" thickBot="1" x14ac:dyDescent="0.35">
      <c r="A33" s="10" t="s">
        <v>32</v>
      </c>
      <c r="B33" s="10">
        <v>20</v>
      </c>
    </row>
    <row r="35" spans="1:9" ht="15" thickBot="1" x14ac:dyDescent="0.35">
      <c r="A35" t="s">
        <v>33</v>
      </c>
    </row>
    <row r="36" spans="1:9" x14ac:dyDescent="0.3">
      <c r="A36" s="11"/>
      <c r="B36" s="11" t="s">
        <v>38</v>
      </c>
      <c r="C36" s="11" t="s">
        <v>39</v>
      </c>
      <c r="D36" s="11" t="s">
        <v>40</v>
      </c>
      <c r="E36" s="11" t="s">
        <v>41</v>
      </c>
      <c r="F36" s="11" t="s">
        <v>42</v>
      </c>
    </row>
    <row r="37" spans="1:9" x14ac:dyDescent="0.3">
      <c r="A37" s="9" t="s">
        <v>34</v>
      </c>
      <c r="B37" s="9">
        <v>1</v>
      </c>
      <c r="C37" s="9">
        <v>6.5683548609480891E-3</v>
      </c>
      <c r="D37" s="9">
        <v>6.5683548609480891E-3</v>
      </c>
      <c r="E37" s="9">
        <v>0.21475901916965282</v>
      </c>
      <c r="F37" s="9">
        <v>0.64861702825692569</v>
      </c>
    </row>
    <row r="38" spans="1:9" x14ac:dyDescent="0.3">
      <c r="A38" s="9" t="s">
        <v>35</v>
      </c>
      <c r="B38" s="9">
        <v>18</v>
      </c>
      <c r="C38" s="9">
        <v>0.55052583101838137</v>
      </c>
      <c r="D38" s="9">
        <v>3.0584768389910075E-2</v>
      </c>
      <c r="E38" s="9"/>
      <c r="F38" s="9"/>
    </row>
    <row r="39" spans="1:9" ht="15" thickBot="1" x14ac:dyDescent="0.35">
      <c r="A39" s="10" t="s">
        <v>36</v>
      </c>
      <c r="B39" s="10">
        <v>19</v>
      </c>
      <c r="C39" s="10">
        <v>0.55709418587932946</v>
      </c>
      <c r="D39" s="10"/>
      <c r="E39" s="10"/>
      <c r="F39" s="10"/>
    </row>
    <row r="40" spans="1:9" ht="15" thickBot="1" x14ac:dyDescent="0.35"/>
    <row r="41" spans="1:9" x14ac:dyDescent="0.3">
      <c r="A41" s="11"/>
      <c r="B41" s="11" t="s">
        <v>43</v>
      </c>
      <c r="C41" s="11" t="s">
        <v>31</v>
      </c>
      <c r="D41" s="11" t="s">
        <v>44</v>
      </c>
      <c r="E41" s="11" t="s">
        <v>45</v>
      </c>
      <c r="F41" s="11" t="s">
        <v>46</v>
      </c>
      <c r="G41" s="11" t="s">
        <v>47</v>
      </c>
      <c r="H41" s="11" t="s">
        <v>48</v>
      </c>
      <c r="I41" s="11" t="s">
        <v>49</v>
      </c>
    </row>
    <row r="42" spans="1:9" x14ac:dyDescent="0.3">
      <c r="A42" s="9" t="s">
        <v>37</v>
      </c>
      <c r="B42" s="9">
        <v>3.8819341403743741</v>
      </c>
      <c r="C42" s="9">
        <v>9.5788467557284915E-2</v>
      </c>
      <c r="D42" s="9">
        <v>40.526111747772134</v>
      </c>
      <c r="E42" s="9">
        <v>3.8549874280126601E-19</v>
      </c>
      <c r="F42" s="9">
        <v>3.6806900376823606</v>
      </c>
      <c r="G42" s="9">
        <v>4.0831782430663877</v>
      </c>
      <c r="H42" s="9">
        <v>3.6806900376823606</v>
      </c>
      <c r="I42" s="9">
        <v>4.0831782430663877</v>
      </c>
    </row>
    <row r="43" spans="1:9" ht="15" thickBot="1" x14ac:dyDescent="0.35">
      <c r="A43" s="10" t="s">
        <v>50</v>
      </c>
      <c r="B43" s="10">
        <v>1.6209077531985645E-2</v>
      </c>
      <c r="C43" s="10">
        <v>3.4977002953317821E-2</v>
      </c>
      <c r="D43" s="10">
        <v>0.46342099560728939</v>
      </c>
      <c r="E43" s="10">
        <v>0.6486170282569268</v>
      </c>
      <c r="F43" s="10">
        <v>-5.7274878874215639E-2</v>
      </c>
      <c r="G43" s="10">
        <v>8.9693033938186922E-2</v>
      </c>
      <c r="H43" s="10">
        <v>-5.7274878874215639E-2</v>
      </c>
      <c r="I43" s="10">
        <v>8.9693033938186922E-2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zoomScale="25" zoomScaleNormal="25" workbookViewId="0">
      <selection activeCell="AT18" sqref="AT18"/>
    </sheetView>
  </sheetViews>
  <sheetFormatPr defaultRowHeight="14.4" x14ac:dyDescent="0.3"/>
  <cols>
    <col min="3" max="3" width="14.77734375" customWidth="1"/>
    <col min="6" max="6" width="14.21875" customWidth="1"/>
    <col min="8" max="8" width="14.77734375" customWidth="1"/>
    <col min="9" max="9" width="12.21875" customWidth="1"/>
    <col min="10" max="10" width="26.44140625" customWidth="1"/>
    <col min="11" max="11" width="23.6640625" customWidth="1"/>
    <col min="12" max="12" width="13.5546875" customWidth="1"/>
    <col min="13" max="13" width="11.77734375" customWidth="1"/>
    <col min="14" max="14" width="11.21875" customWidth="1"/>
    <col min="15" max="15" width="13.33203125" customWidth="1"/>
    <col min="16" max="17" width="11.21875" customWidth="1"/>
    <col min="19" max="19" width="19.6640625" customWidth="1"/>
    <col min="20" max="20" width="6.6640625" customWidth="1"/>
    <col min="21" max="21" width="18.88671875" customWidth="1"/>
    <col min="22" max="22" width="24.88671875" customWidth="1"/>
    <col min="23" max="23" width="20.109375" customWidth="1"/>
    <col min="24" max="24" width="13.77734375" customWidth="1"/>
    <col min="25" max="25" width="16.5546875" customWidth="1"/>
    <col min="27" max="27" width="16.33203125" customWidth="1"/>
    <col min="28" max="28" width="13.21875" customWidth="1"/>
    <col min="29" max="29" width="16.5546875" customWidth="1"/>
    <col min="30" max="30" width="12.88671875" customWidth="1"/>
    <col min="32" max="32" width="12.5546875" customWidth="1"/>
    <col min="33" max="33" width="13.77734375" customWidth="1"/>
    <col min="34" max="34" width="12.6640625" customWidth="1"/>
  </cols>
  <sheetData>
    <row r="1" spans="3:27" ht="15" thickBot="1" x14ac:dyDescent="0.35"/>
    <row r="2" spans="3:27" ht="21" x14ac:dyDescent="0.4">
      <c r="C2" s="89"/>
      <c r="D2" s="92"/>
      <c r="E2" s="92"/>
      <c r="F2" s="92"/>
      <c r="G2" s="92"/>
      <c r="H2" s="92"/>
      <c r="J2" s="86"/>
      <c r="M2" s="3"/>
      <c r="N2" s="87" t="s">
        <v>71</v>
      </c>
      <c r="O2" s="87" t="s">
        <v>72</v>
      </c>
      <c r="P2" s="179">
        <v>0.99758562533904949</v>
      </c>
      <c r="Q2" s="179"/>
      <c r="T2" s="222"/>
      <c r="U2" s="223"/>
      <c r="V2" s="181" t="s">
        <v>94</v>
      </c>
      <c r="W2" s="185" t="s">
        <v>95</v>
      </c>
    </row>
    <row r="3" spans="3:27" ht="23.4" x14ac:dyDescent="0.45">
      <c r="C3" s="93"/>
      <c r="D3" s="89"/>
      <c r="E3" s="89"/>
      <c r="F3" s="89"/>
      <c r="G3" s="89"/>
      <c r="H3" s="89"/>
      <c r="J3" s="85"/>
      <c r="M3" s="5" t="s">
        <v>1</v>
      </c>
      <c r="N3" s="3">
        <f t="shared" ref="N3:O8" si="0">AVERAGE(H31,H43,H55,H67)</f>
        <v>1.1306185288176536</v>
      </c>
      <c r="O3" s="3">
        <f t="shared" si="0"/>
        <v>0.51770833333333344</v>
      </c>
      <c r="P3" s="179">
        <f>N3*$P$2</f>
        <v>1.127888792090475</v>
      </c>
      <c r="Q3" s="179">
        <v>0.51770833333333344</v>
      </c>
      <c r="T3" s="230" t="s">
        <v>89</v>
      </c>
      <c r="U3" s="231"/>
      <c r="V3" s="182">
        <v>3.8737315852343941</v>
      </c>
      <c r="W3" s="186">
        <v>3.8841049317325806</v>
      </c>
    </row>
    <row r="4" spans="3:27" ht="15.6" x14ac:dyDescent="0.3">
      <c r="C4" s="93"/>
      <c r="D4" s="89"/>
      <c r="E4" s="89"/>
      <c r="F4" s="89"/>
      <c r="G4" s="89"/>
      <c r="H4" s="89"/>
      <c r="M4" s="5" t="s">
        <v>2</v>
      </c>
      <c r="N4" s="3">
        <f t="shared" si="0"/>
        <v>0.87564310788041766</v>
      </c>
      <c r="O4" s="3">
        <f t="shared" si="0"/>
        <v>-0.48760416666666662</v>
      </c>
      <c r="P4" s="179">
        <f t="shared" ref="P4:P13" si="1">N4*$P$2</f>
        <v>0.87352897734871526</v>
      </c>
      <c r="Q4" s="179">
        <v>-0.48760416666666662</v>
      </c>
      <c r="T4" s="230" t="s">
        <v>90</v>
      </c>
      <c r="U4" s="231"/>
      <c r="V4" s="182">
        <v>1.1942117886198107E-3</v>
      </c>
      <c r="W4" s="186">
        <v>1.0177914003889985E-3</v>
      </c>
    </row>
    <row r="5" spans="3:27" ht="15.6" x14ac:dyDescent="0.3">
      <c r="C5" s="93"/>
      <c r="D5" s="89"/>
      <c r="E5" s="89"/>
      <c r="F5" s="89"/>
      <c r="G5" s="89"/>
      <c r="H5" s="89"/>
      <c r="M5" s="5" t="s">
        <v>3</v>
      </c>
      <c r="N5" s="3">
        <f t="shared" si="0"/>
        <v>0.80764890552938495</v>
      </c>
      <c r="O5" s="3">
        <f t="shared" si="0"/>
        <v>-0.75802083333333381</v>
      </c>
      <c r="P5" s="179">
        <f t="shared" si="1"/>
        <v>0.80569893847693042</v>
      </c>
      <c r="Q5" s="179">
        <v>-0.75802083333333381</v>
      </c>
      <c r="T5" s="230" t="s">
        <v>58</v>
      </c>
      <c r="U5" s="231"/>
      <c r="V5" s="183" t="s">
        <v>76</v>
      </c>
      <c r="W5" s="187" t="s">
        <v>77</v>
      </c>
    </row>
    <row r="6" spans="3:27" ht="15.6" x14ac:dyDescent="0.3">
      <c r="C6" s="93"/>
      <c r="D6" s="89"/>
      <c r="E6" s="89"/>
      <c r="F6" s="89"/>
      <c r="G6" s="89"/>
      <c r="H6" s="89"/>
      <c r="M6" s="5" t="s">
        <v>4</v>
      </c>
      <c r="N6" s="3">
        <f t="shared" si="0"/>
        <v>1.1155308464118874</v>
      </c>
      <c r="O6" s="3">
        <f t="shared" si="0"/>
        <v>0.45145833333333352</v>
      </c>
      <c r="P6" s="179">
        <f t="shared" si="1"/>
        <v>1.1128375370028019</v>
      </c>
      <c r="Q6" s="179">
        <v>0.45145833333333352</v>
      </c>
      <c r="T6" s="230" t="s">
        <v>91</v>
      </c>
      <c r="U6" s="231"/>
      <c r="V6" s="182">
        <f>SQRT(S79/($K$12-1))</f>
        <v>0.28733109857505962</v>
      </c>
      <c r="W6" s="186">
        <f>SQRT(U79/($K$12-1))</f>
        <v>0.28667112223319752</v>
      </c>
    </row>
    <row r="7" spans="3:27" ht="15.6" x14ac:dyDescent="0.3">
      <c r="C7" s="93"/>
      <c r="D7" s="89"/>
      <c r="E7" s="89"/>
      <c r="F7" s="89"/>
      <c r="G7" s="89"/>
      <c r="H7" s="89"/>
      <c r="M7" s="5" t="s">
        <v>5</v>
      </c>
      <c r="N7" s="3">
        <f t="shared" si="0"/>
        <v>1.2584714505055439</v>
      </c>
      <c r="O7" s="3">
        <f t="shared" si="0"/>
        <v>1.0152083333333333</v>
      </c>
      <c r="P7" s="179">
        <f t="shared" si="1"/>
        <v>1.2554330289239137</v>
      </c>
      <c r="Q7" s="179">
        <v>1.0152083333333333</v>
      </c>
      <c r="T7" s="230" t="s">
        <v>80</v>
      </c>
      <c r="U7" s="231"/>
      <c r="V7" s="220">
        <v>2</v>
      </c>
      <c r="W7" s="221"/>
    </row>
    <row r="8" spans="3:27" ht="18" x14ac:dyDescent="0.35">
      <c r="C8" s="93"/>
      <c r="D8" s="89"/>
      <c r="E8" s="89"/>
      <c r="F8" s="89"/>
      <c r="G8" s="89"/>
      <c r="H8" s="89"/>
      <c r="M8" s="5" t="s">
        <v>6</v>
      </c>
      <c r="N8" s="3">
        <f t="shared" si="0"/>
        <v>1.111829595379618</v>
      </c>
      <c r="O8" s="3">
        <f t="shared" si="0"/>
        <v>0.43635416666666682</v>
      </c>
      <c r="P8" s="179">
        <f t="shared" si="1"/>
        <v>1.1091452221772387</v>
      </c>
      <c r="Q8" s="179">
        <v>0.43635416666666682</v>
      </c>
      <c r="T8" s="228" t="s">
        <v>96</v>
      </c>
      <c r="U8" s="229"/>
      <c r="V8" s="205">
        <f>$V$7*V6</f>
        <v>0.57466219715011924</v>
      </c>
      <c r="W8" s="206">
        <f>$V$7*W6</f>
        <v>0.57334224446639503</v>
      </c>
      <c r="X8" s="14"/>
      <c r="Y8" s="103"/>
      <c r="Z8" s="14"/>
      <c r="AA8" s="14"/>
    </row>
    <row r="9" spans="3:27" ht="18" x14ac:dyDescent="0.35">
      <c r="C9" s="93"/>
      <c r="D9" s="89"/>
      <c r="E9" s="89"/>
      <c r="F9" s="89"/>
      <c r="G9" s="89"/>
      <c r="H9" s="89"/>
      <c r="M9" s="5" t="s">
        <v>7</v>
      </c>
      <c r="N9" s="3">
        <f t="shared" ref="N9:O14" si="2">AVERAGE(H37,H49,H61,H25)</f>
        <v>1.0591018761454254</v>
      </c>
      <c r="O9" s="3">
        <f t="shared" si="2"/>
        <v>0.23385416666666659</v>
      </c>
      <c r="P9" s="179">
        <f t="shared" si="1"/>
        <v>1.0565448074122947</v>
      </c>
      <c r="Q9" s="179">
        <v>0.23385416666666659</v>
      </c>
      <c r="T9" s="228" t="s">
        <v>107</v>
      </c>
      <c r="U9" s="229"/>
      <c r="V9" s="227">
        <f>AVERAGE(E19:E78)</f>
        <v>3.9241666666666659</v>
      </c>
      <c r="W9" s="221"/>
      <c r="X9" s="14"/>
      <c r="Z9" s="14"/>
      <c r="AA9" s="14"/>
    </row>
    <row r="10" spans="3:27" ht="18" x14ac:dyDescent="0.35">
      <c r="C10" s="93"/>
      <c r="D10" s="89"/>
      <c r="E10" s="89"/>
      <c r="F10" s="89"/>
      <c r="G10" s="89"/>
      <c r="H10" s="89"/>
      <c r="M10" s="5" t="s">
        <v>8</v>
      </c>
      <c r="N10" s="3">
        <f t="shared" si="2"/>
        <v>0.98836044025000147</v>
      </c>
      <c r="O10" s="3">
        <f t="shared" si="2"/>
        <v>-4.6979166666666683E-2</v>
      </c>
      <c r="P10" s="179">
        <f t="shared" si="1"/>
        <v>0.98597416784717595</v>
      </c>
      <c r="Q10" s="179">
        <v>-4.6979166666666683E-2</v>
      </c>
      <c r="T10" s="230" t="s">
        <v>102</v>
      </c>
      <c r="U10" s="231"/>
      <c r="V10" s="205">
        <f>(CORREL(E19:E78,L19:L78))^2</f>
        <v>0.79894327708986124</v>
      </c>
      <c r="W10" s="206">
        <f>(CORREL(E19:E78,M19:M78))^2</f>
        <v>0.79928421666695315</v>
      </c>
    </row>
    <row r="11" spans="3:27" ht="18.600000000000001" customHeight="1" thickBot="1" x14ac:dyDescent="0.4">
      <c r="C11" s="93"/>
      <c r="D11" s="89"/>
      <c r="E11" s="89"/>
      <c r="F11" s="89"/>
      <c r="G11" s="89"/>
      <c r="H11" s="89"/>
      <c r="M11" s="5" t="s">
        <v>9</v>
      </c>
      <c r="N11" s="3">
        <f t="shared" si="2"/>
        <v>1.004479936882859</v>
      </c>
      <c r="O11" s="3">
        <f t="shared" si="2"/>
        <v>1.6770833333333401E-2</v>
      </c>
      <c r="P11" s="179">
        <f t="shared" si="1"/>
        <v>1.0020547459758158</v>
      </c>
      <c r="Q11" s="179">
        <v>1.6770833333333401E-2</v>
      </c>
      <c r="T11" s="232" t="s">
        <v>108</v>
      </c>
      <c r="U11" s="233"/>
      <c r="V11" s="180">
        <f>X79/W79</f>
        <v>0.70260216832679645</v>
      </c>
      <c r="W11" s="99">
        <f>Y79/W79</f>
        <v>0.71227729379765203</v>
      </c>
    </row>
    <row r="12" spans="3:27" ht="18" x14ac:dyDescent="0.35">
      <c r="C12" s="93"/>
      <c r="D12" s="89"/>
      <c r="E12" s="89"/>
      <c r="F12" s="89"/>
      <c r="G12" s="89"/>
      <c r="H12" s="89"/>
      <c r="J12" s="96" t="s">
        <v>88</v>
      </c>
      <c r="K12" s="106">
        <f>K13*5</f>
        <v>60</v>
      </c>
      <c r="M12" s="5" t="s">
        <v>10</v>
      </c>
      <c r="N12" s="3">
        <f t="shared" si="2"/>
        <v>0.84963094840816722</v>
      </c>
      <c r="O12" s="3">
        <f t="shared" si="2"/>
        <v>-0.59218749999999953</v>
      </c>
      <c r="P12" s="179">
        <f t="shared" si="1"/>
        <v>0.84757962097517114</v>
      </c>
      <c r="Q12" s="179">
        <v>-0.59218749999999953</v>
      </c>
    </row>
    <row r="13" spans="3:27" ht="18" x14ac:dyDescent="0.35">
      <c r="C13" s="93"/>
      <c r="D13" s="89"/>
      <c r="E13" s="89"/>
      <c r="F13" s="89"/>
      <c r="G13" s="89"/>
      <c r="H13" s="89"/>
      <c r="J13" s="97" t="s">
        <v>65</v>
      </c>
      <c r="K13" s="104">
        <v>12</v>
      </c>
      <c r="M13" s="5" t="s">
        <v>11</v>
      </c>
      <c r="N13" s="3">
        <f t="shared" si="2"/>
        <v>0.82138723450544804</v>
      </c>
      <c r="O13" s="3">
        <f t="shared" si="2"/>
        <v>-0.70281250000000028</v>
      </c>
      <c r="P13" s="179">
        <f t="shared" si="1"/>
        <v>0.81940409797962988</v>
      </c>
      <c r="Q13" s="179">
        <v>-0.70281250000000028</v>
      </c>
      <c r="U13" s="189"/>
      <c r="V13" s="89"/>
    </row>
    <row r="14" spans="3:27" ht="18" x14ac:dyDescent="0.35">
      <c r="C14" s="93"/>
      <c r="D14" s="89"/>
      <c r="E14" s="89"/>
      <c r="F14" s="89"/>
      <c r="G14" s="89"/>
      <c r="H14" s="89"/>
      <c r="J14" s="97" t="s">
        <v>66</v>
      </c>
      <c r="K14" s="104">
        <f>K13/2</f>
        <v>6</v>
      </c>
      <c r="M14" s="5" t="s">
        <v>12</v>
      </c>
      <c r="N14" s="3">
        <f t="shared" si="2"/>
        <v>1.0063397449704015</v>
      </c>
      <c r="O14" s="3">
        <f t="shared" si="2"/>
        <v>2.4479166666666718E-2</v>
      </c>
      <c r="P14" s="179">
        <f>N14*$P$2</f>
        <v>1.0039100637898375</v>
      </c>
      <c r="Q14" s="179">
        <v>2.4479166666666718E-2</v>
      </c>
      <c r="U14" s="190"/>
      <c r="V14" s="89"/>
    </row>
    <row r="15" spans="3:27" ht="18.600000000000001" thickBot="1" x14ac:dyDescent="0.4">
      <c r="C15" s="94"/>
      <c r="D15" s="89"/>
      <c r="E15" s="89"/>
      <c r="F15" s="89"/>
      <c r="G15" s="89"/>
      <c r="H15" s="89"/>
      <c r="J15" s="98" t="s">
        <v>67</v>
      </c>
      <c r="K15" s="105">
        <f>K14+1</f>
        <v>7</v>
      </c>
      <c r="M15" s="178" t="s">
        <v>22</v>
      </c>
      <c r="N15" s="87">
        <f>SUM(N3:N14)</f>
        <v>12.029042615686809</v>
      </c>
      <c r="O15" s="87">
        <f>SUM(O3:O14)</f>
        <v>0.10822916666666682</v>
      </c>
      <c r="P15" s="179">
        <f>SUM(P3:P14)</f>
        <v>12</v>
      </c>
      <c r="Q15" s="179">
        <f>SUM(Q3:Q14)</f>
        <v>0.10822916666666682</v>
      </c>
      <c r="U15" s="89"/>
      <c r="V15" s="89"/>
    </row>
    <row r="16" spans="3:27" ht="15" thickBot="1" x14ac:dyDescent="0.35"/>
    <row r="17" spans="1:34" ht="24" customHeight="1" thickBot="1" x14ac:dyDescent="0.5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W17" s="224" t="s">
        <v>106</v>
      </c>
      <c r="X17" s="225"/>
      <c r="Y17" s="226"/>
    </row>
    <row r="18" spans="1:34" ht="31.8" customHeight="1" thickTop="1" thickBot="1" x14ac:dyDescent="0.35">
      <c r="B18" s="123"/>
      <c r="C18" s="124"/>
      <c r="D18" s="124"/>
      <c r="E18" s="146" t="s">
        <v>64</v>
      </c>
      <c r="F18" s="125" t="s">
        <v>70</v>
      </c>
      <c r="G18" s="124" t="s">
        <v>69</v>
      </c>
      <c r="H18" s="138" t="s">
        <v>71</v>
      </c>
      <c r="I18" s="132" t="s">
        <v>72</v>
      </c>
      <c r="J18" s="138" t="s">
        <v>78</v>
      </c>
      <c r="K18" s="132" t="s">
        <v>79</v>
      </c>
      <c r="L18" s="138" t="s">
        <v>83</v>
      </c>
      <c r="M18" s="132" t="s">
        <v>84</v>
      </c>
      <c r="N18" s="124"/>
      <c r="O18" s="138" t="s">
        <v>81</v>
      </c>
      <c r="P18" s="124"/>
      <c r="Q18" s="132" t="s">
        <v>82</v>
      </c>
      <c r="R18" s="124"/>
      <c r="S18" s="138" t="s">
        <v>92</v>
      </c>
      <c r="T18" s="124"/>
      <c r="U18" s="150" t="s">
        <v>93</v>
      </c>
      <c r="W18" s="211" t="s">
        <v>103</v>
      </c>
      <c r="X18" s="212" t="s">
        <v>104</v>
      </c>
      <c r="Y18" s="213" t="s">
        <v>105</v>
      </c>
      <c r="AA18" s="102"/>
      <c r="AB18" s="217" t="s">
        <v>99</v>
      </c>
      <c r="AC18" s="218"/>
      <c r="AD18" s="218"/>
      <c r="AE18" s="218"/>
      <c r="AF18" s="218"/>
      <c r="AG18" s="218"/>
      <c r="AH18" s="219"/>
    </row>
    <row r="19" spans="1:34" ht="18.600000000000001" thickTop="1" x14ac:dyDescent="0.3">
      <c r="A19" t="s">
        <v>68</v>
      </c>
      <c r="B19" s="126">
        <v>1</v>
      </c>
      <c r="C19" s="92">
        <v>1985</v>
      </c>
      <c r="D19" s="93" t="s">
        <v>1</v>
      </c>
      <c r="E19" s="157">
        <v>4.43</v>
      </c>
      <c r="F19" s="101">
        <v>0</v>
      </c>
      <c r="G19" s="100"/>
      <c r="H19" s="139"/>
      <c r="I19" s="133"/>
      <c r="J19" s="139">
        <f t="shared" ref="J19:J30" si="3">E19/N3</f>
        <v>3.9182092696045592</v>
      </c>
      <c r="K19" s="133">
        <f t="shared" ref="K19:K30" si="4">E19-O3</f>
        <v>3.9122916666666665</v>
      </c>
      <c r="L19" s="139">
        <f>(3.87+0.0012*B19)*$N$3</f>
        <v>4.3768504487589004</v>
      </c>
      <c r="M19" s="133">
        <f>(3.88+0.001*B19)+$O$3</f>
        <v>4.3987083333333334</v>
      </c>
      <c r="N19" s="100"/>
      <c r="O19" s="139">
        <f t="shared" ref="O19:O50" si="5">E19-L19</f>
        <v>5.3149551241099324E-2</v>
      </c>
      <c r="P19" s="100"/>
      <c r="Q19" s="133">
        <f t="shared" ref="Q19:Q50" si="6">E19-M19</f>
        <v>3.1291666666666273E-2</v>
      </c>
      <c r="R19" s="89"/>
      <c r="S19" s="139">
        <f>POWER(O19-$O$79,2)</f>
        <v>2.014996966629116E-3</v>
      </c>
      <c r="T19" s="100"/>
      <c r="U19" s="151">
        <f>POWER(Q19-$Q$79,2)</f>
        <v>7.0990791678720514E-4</v>
      </c>
      <c r="W19" s="209">
        <f>(E19-$V$9)^2</f>
        <v>0.25586736111111158</v>
      </c>
      <c r="X19" s="100">
        <f>(L19-$V$9)^2</f>
        <v>0.20492260656932962</v>
      </c>
      <c r="Y19" s="111">
        <f>(M19-$V$9)^2</f>
        <v>0.22518979340277859</v>
      </c>
      <c r="AB19" s="201" t="s">
        <v>97</v>
      </c>
      <c r="AC19" s="202" t="s">
        <v>83</v>
      </c>
      <c r="AD19" s="203" t="s">
        <v>98</v>
      </c>
      <c r="AF19" s="201" t="s">
        <v>97</v>
      </c>
      <c r="AG19" s="204" t="s">
        <v>84</v>
      </c>
      <c r="AH19" s="203" t="s">
        <v>98</v>
      </c>
    </row>
    <row r="20" spans="1:34" ht="15.6" x14ac:dyDescent="0.3">
      <c r="B20" s="126">
        <v>2</v>
      </c>
      <c r="C20" s="89"/>
      <c r="D20" s="93" t="s">
        <v>2</v>
      </c>
      <c r="E20" s="157">
        <v>3.05</v>
      </c>
      <c r="F20" s="101">
        <f>AVERAGE(E19:E21)</f>
        <v>3.3699999999999997</v>
      </c>
      <c r="G20" s="100"/>
      <c r="H20" s="139"/>
      <c r="I20" s="133"/>
      <c r="J20" s="139">
        <f t="shared" si="3"/>
        <v>3.483154235499931</v>
      </c>
      <c r="K20" s="133">
        <f t="shared" si="4"/>
        <v>3.5376041666666662</v>
      </c>
      <c r="L20" s="139">
        <f>(3.87+0.0012*B20)*$N$4</f>
        <v>3.3908403709561297</v>
      </c>
      <c r="M20" s="133">
        <f>(3.88+0.001*B20)+$O$4</f>
        <v>3.3943958333333333</v>
      </c>
      <c r="N20" s="100"/>
      <c r="O20" s="139">
        <f t="shared" si="5"/>
        <v>-0.34084037095612985</v>
      </c>
      <c r="P20" s="100"/>
      <c r="Q20" s="133">
        <f t="shared" si="6"/>
        <v>-0.34439583333333346</v>
      </c>
      <c r="R20" s="89"/>
      <c r="S20" s="139">
        <f t="shared" ref="S20:S77" si="7">POWER(O20-$O$79,2)</f>
        <v>0.12187165106012897</v>
      </c>
      <c r="T20" s="100"/>
      <c r="U20" s="151">
        <f t="shared" ref="U20:U77" si="8">POWER(Q20-$Q$79,2)</f>
        <v>0.12183129702269013</v>
      </c>
      <c r="W20" s="209">
        <f t="shared" ref="W20:W78" si="9">(E20-$V$9)^2</f>
        <v>0.76416736111111006</v>
      </c>
      <c r="X20" s="100">
        <f t="shared" ref="X20:X78" si="10">(L20-$V$9)^2</f>
        <v>0.28443693769632233</v>
      </c>
      <c r="Y20" s="111">
        <f t="shared" ref="Y20:Y78" si="11">(M20-$V$9)^2</f>
        <v>0.28065713585069368</v>
      </c>
      <c r="AB20" s="191">
        <f>AC20-$V$8</f>
        <v>3.8835927856836525</v>
      </c>
      <c r="AC20" s="100">
        <f t="shared" ref="AC20:AC31" si="12">L79</f>
        <v>4.4582549828337719</v>
      </c>
      <c r="AD20" s="193">
        <f>AC20+$V$8</f>
        <v>5.0329171799838912</v>
      </c>
      <c r="AF20" s="195">
        <f>AG20-$W$8</f>
        <v>3.8853660888669381</v>
      </c>
      <c r="AG20" s="100">
        <f t="shared" ref="AG20:AG31" si="13">M79</f>
        <v>4.4587083333333331</v>
      </c>
      <c r="AH20" s="197">
        <f>AG20+$W$8</f>
        <v>5.032050577799728</v>
      </c>
    </row>
    <row r="21" spans="1:34" ht="15.6" x14ac:dyDescent="0.3">
      <c r="B21" s="126">
        <v>3</v>
      </c>
      <c r="C21" s="89"/>
      <c r="D21" s="93" t="s">
        <v>3</v>
      </c>
      <c r="E21" s="157">
        <v>2.63</v>
      </c>
      <c r="F21" s="101">
        <f t="shared" ref="F21:F76" si="14">AVERAGE(E20:E22)</f>
        <v>3.3699999999999997</v>
      </c>
      <c r="G21" s="100"/>
      <c r="H21" s="139"/>
      <c r="I21" s="133"/>
      <c r="J21" s="139">
        <f t="shared" si="3"/>
        <v>3.2563654602814438</v>
      </c>
      <c r="K21" s="133">
        <f t="shared" si="4"/>
        <v>3.3880208333333339</v>
      </c>
      <c r="L21" s="139">
        <f>(3.87+0.0012*B21)*$N$5</f>
        <v>3.1285088004586257</v>
      </c>
      <c r="M21" s="133">
        <f>(3.88+0.001*B21)+$O$5</f>
        <v>3.124979166666666</v>
      </c>
      <c r="N21" s="100"/>
      <c r="O21" s="139">
        <f t="shared" si="5"/>
        <v>-0.49850880045862578</v>
      </c>
      <c r="P21" s="100"/>
      <c r="Q21" s="133">
        <f t="shared" si="6"/>
        <v>-0.49497916666666608</v>
      </c>
      <c r="R21" s="89"/>
      <c r="S21" s="139">
        <f t="shared" si="7"/>
        <v>0.25681546205847805</v>
      </c>
      <c r="T21" s="100"/>
      <c r="U21" s="151">
        <f t="shared" si="8"/>
        <v>0.24962687543704132</v>
      </c>
      <c r="W21" s="209">
        <f t="shared" si="9"/>
        <v>1.6748673611111093</v>
      </c>
      <c r="X21" s="100">
        <f t="shared" si="10"/>
        <v>0.63307144005873162</v>
      </c>
      <c r="Y21" s="111">
        <f t="shared" si="11"/>
        <v>0.63870066015624993</v>
      </c>
      <c r="AB21" s="191">
        <f t="shared" ref="AB21:AB29" si="15">AC21-$V$8</f>
        <v>2.8792244775734002</v>
      </c>
      <c r="AC21" s="100">
        <f t="shared" si="12"/>
        <v>3.4538866747235195</v>
      </c>
      <c r="AD21" s="193">
        <f t="shared" ref="AD21:AD31" si="16">AC21+$V$8</f>
        <v>4.0285488718736389</v>
      </c>
      <c r="AF21" s="195">
        <f t="shared" ref="AF21:AF30" si="17">AG21-$W$8</f>
        <v>2.881053588866938</v>
      </c>
      <c r="AG21" s="100">
        <f t="shared" si="13"/>
        <v>3.4543958333333329</v>
      </c>
      <c r="AH21" s="197">
        <f t="shared" ref="AH21:AH31" si="18">AG21+$W$8</f>
        <v>4.0277380777997278</v>
      </c>
    </row>
    <row r="22" spans="1:34" ht="15.6" x14ac:dyDescent="0.3">
      <c r="B22" s="126">
        <v>4</v>
      </c>
      <c r="C22" s="89"/>
      <c r="D22" s="93" t="s">
        <v>4</v>
      </c>
      <c r="E22" s="157">
        <v>4.43</v>
      </c>
      <c r="F22" s="101">
        <f t="shared" si="14"/>
        <v>4.1099999999999994</v>
      </c>
      <c r="G22" s="100"/>
      <c r="H22" s="139"/>
      <c r="I22" s="133"/>
      <c r="J22" s="139">
        <f t="shared" si="3"/>
        <v>3.9712034985398432</v>
      </c>
      <c r="K22" s="133">
        <f t="shared" si="4"/>
        <v>3.9785416666666662</v>
      </c>
      <c r="L22" s="139">
        <f>(3.87+0.0012*B22)*$N$6</f>
        <v>4.3224589236767814</v>
      </c>
      <c r="M22" s="133">
        <f>(3.88+0.001*B22)+$O$6</f>
        <v>4.3354583333333334</v>
      </c>
      <c r="N22" s="100"/>
      <c r="O22" s="139">
        <f t="shared" si="5"/>
        <v>0.1075410763232183</v>
      </c>
      <c r="P22" s="100"/>
      <c r="Q22" s="133">
        <f t="shared" si="6"/>
        <v>9.4541666666666302E-2</v>
      </c>
      <c r="R22" s="89"/>
      <c r="S22" s="139">
        <f t="shared" si="7"/>
        <v>9.8565665844915096E-3</v>
      </c>
      <c r="T22" s="100"/>
      <c r="U22" s="151">
        <f t="shared" si="8"/>
        <v>8.0809487153982625E-3</v>
      </c>
      <c r="W22" s="209">
        <f t="shared" si="9"/>
        <v>0.25586736111111158</v>
      </c>
      <c r="X22" s="100">
        <f t="shared" si="10"/>
        <v>0.15863672199421189</v>
      </c>
      <c r="Y22" s="111">
        <f t="shared" si="11"/>
        <v>0.16916083506944513</v>
      </c>
      <c r="AB22" s="191">
        <f t="shared" si="15"/>
        <v>2.6119973245066221</v>
      </c>
      <c r="AC22" s="100">
        <f t="shared" si="12"/>
        <v>3.1866595216567415</v>
      </c>
      <c r="AD22" s="193">
        <f t="shared" si="16"/>
        <v>3.7613217188068608</v>
      </c>
      <c r="AF22" s="195">
        <f t="shared" si="17"/>
        <v>2.6116369222002715</v>
      </c>
      <c r="AG22" s="100">
        <f t="shared" si="13"/>
        <v>3.1849791666666665</v>
      </c>
      <c r="AH22" s="197">
        <f t="shared" si="18"/>
        <v>3.7583214111330614</v>
      </c>
    </row>
    <row r="23" spans="1:34" ht="15.6" x14ac:dyDescent="0.3">
      <c r="B23" s="126">
        <v>5</v>
      </c>
      <c r="C23" s="89"/>
      <c r="D23" s="93" t="s">
        <v>5</v>
      </c>
      <c r="E23" s="157">
        <v>5.27</v>
      </c>
      <c r="F23" s="101">
        <f t="shared" si="14"/>
        <v>4.63</v>
      </c>
      <c r="G23" s="100"/>
      <c r="H23" s="139"/>
      <c r="I23" s="133"/>
      <c r="J23" s="139">
        <f t="shared" si="3"/>
        <v>4.1876198287080522</v>
      </c>
      <c r="K23" s="133">
        <f t="shared" si="4"/>
        <v>4.2547916666666659</v>
      </c>
      <c r="L23" s="139">
        <f>(3.87+0.0012*B23)*$N$7</f>
        <v>4.8778353421594876</v>
      </c>
      <c r="M23" s="133">
        <f>(3.88+0.001*B23)+$O$7</f>
        <v>4.9002083333333335</v>
      </c>
      <c r="N23" s="100"/>
      <c r="O23" s="139">
        <f t="shared" si="5"/>
        <v>0.39216465784051202</v>
      </c>
      <c r="P23" s="100"/>
      <c r="Q23" s="133">
        <f t="shared" si="6"/>
        <v>0.36979166666666607</v>
      </c>
      <c r="R23" s="89"/>
      <c r="S23" s="139">
        <f t="shared" si="7"/>
        <v>0.14738214622515455</v>
      </c>
      <c r="T23" s="100"/>
      <c r="U23" s="151">
        <f t="shared" si="8"/>
        <v>0.13333021173623119</v>
      </c>
      <c r="W23" s="209">
        <f t="shared" si="9"/>
        <v>1.8112673611111121</v>
      </c>
      <c r="X23" s="100">
        <f t="shared" si="10"/>
        <v>0.90948394261623278</v>
      </c>
      <c r="Y23" s="111">
        <f t="shared" si="11"/>
        <v>0.95265733506944628</v>
      </c>
      <c r="AB23" s="191">
        <f t="shared" si="15"/>
        <v>3.8281149474683183</v>
      </c>
      <c r="AC23" s="100">
        <f t="shared" si="12"/>
        <v>4.4027771446184376</v>
      </c>
      <c r="AD23" s="193">
        <f t="shared" si="16"/>
        <v>4.977439341768557</v>
      </c>
      <c r="AF23" s="195">
        <f t="shared" si="17"/>
        <v>3.822116088866939</v>
      </c>
      <c r="AG23" s="100">
        <f t="shared" si="13"/>
        <v>4.3954583333333339</v>
      </c>
      <c r="AH23" s="197">
        <f t="shared" si="18"/>
        <v>4.9688005777997288</v>
      </c>
    </row>
    <row r="24" spans="1:34" ht="15.6" x14ac:dyDescent="0.3">
      <c r="B24" s="160">
        <v>6</v>
      </c>
      <c r="C24" s="161"/>
      <c r="D24" s="162" t="s">
        <v>6</v>
      </c>
      <c r="E24" s="163">
        <v>4.1900000000000004</v>
      </c>
      <c r="F24" s="164">
        <f t="shared" si="14"/>
        <v>4.71</v>
      </c>
      <c r="G24" s="165"/>
      <c r="H24" s="166"/>
      <c r="I24" s="167"/>
      <c r="J24" s="166">
        <f t="shared" si="3"/>
        <v>3.7685631120202245</v>
      </c>
      <c r="K24" s="167">
        <f t="shared" si="4"/>
        <v>3.7536458333333336</v>
      </c>
      <c r="L24" s="166">
        <f>(3.87+0.0012*B24)*$N$8</f>
        <v>4.3107857072058549</v>
      </c>
      <c r="M24" s="167">
        <f>(3.88+0.001*B24)+$O$8</f>
        <v>4.3223541666666669</v>
      </c>
      <c r="N24" s="165"/>
      <c r="O24" s="166">
        <f t="shared" si="5"/>
        <v>-0.12078570720585446</v>
      </c>
      <c r="P24" s="165"/>
      <c r="Q24" s="167">
        <f t="shared" si="6"/>
        <v>-0.13235416666666655</v>
      </c>
      <c r="R24" s="161"/>
      <c r="S24" s="166">
        <f t="shared" si="7"/>
        <v>1.665300970785167E-2</v>
      </c>
      <c r="T24" s="165"/>
      <c r="U24" s="168">
        <f t="shared" si="8"/>
        <v>1.8769475697458519E-2</v>
      </c>
      <c r="W24" s="209">
        <f t="shared" si="9"/>
        <v>7.0667361111111715E-2</v>
      </c>
      <c r="X24" s="100">
        <f t="shared" si="10"/>
        <v>0.14947428250744302</v>
      </c>
      <c r="Y24" s="111">
        <f t="shared" si="11"/>
        <v>0.15855328515625081</v>
      </c>
      <c r="AB24" s="191">
        <f t="shared" si="15"/>
        <v>4.3937830894457681</v>
      </c>
      <c r="AC24" s="100">
        <f t="shared" si="12"/>
        <v>4.9684452865958875</v>
      </c>
      <c r="AD24" s="193">
        <f t="shared" si="16"/>
        <v>5.5431074837460068</v>
      </c>
      <c r="AE24" s="199"/>
      <c r="AF24" s="195">
        <f t="shared" si="17"/>
        <v>4.3868660888669382</v>
      </c>
      <c r="AG24" s="100">
        <f t="shared" si="13"/>
        <v>4.9602083333333331</v>
      </c>
      <c r="AH24" s="197">
        <f t="shared" si="18"/>
        <v>5.533550577799728</v>
      </c>
    </row>
    <row r="25" spans="1:34" ht="15.6" x14ac:dyDescent="0.3">
      <c r="B25" s="126">
        <v>7</v>
      </c>
      <c r="C25" s="89"/>
      <c r="D25" s="93" t="s">
        <v>7</v>
      </c>
      <c r="E25" s="157">
        <v>4.67</v>
      </c>
      <c r="F25" s="101">
        <f t="shared" si="14"/>
        <v>4.29</v>
      </c>
      <c r="G25" s="100">
        <f>(0.5*E19+SUM(E20:E30)+0.5*E31)/$K$13</f>
        <v>3.9120833333333338</v>
      </c>
      <c r="H25" s="139">
        <f>E25/G25</f>
        <v>1.1937373522206836</v>
      </c>
      <c r="I25" s="133">
        <f>E25-G25</f>
        <v>0.75791666666666613</v>
      </c>
      <c r="J25" s="139">
        <f t="shared" si="3"/>
        <v>4.4093964000860311</v>
      </c>
      <c r="K25" s="133">
        <f t="shared" si="4"/>
        <v>4.4361458333333337</v>
      </c>
      <c r="L25" s="139">
        <f>(3.87+0.0012*B25)*$N$9</f>
        <v>4.1076207164424181</v>
      </c>
      <c r="M25" s="133">
        <f>(3.88+0.001*B25)+$O$9</f>
        <v>4.1208541666666667</v>
      </c>
      <c r="N25" s="100"/>
      <c r="O25" s="139">
        <f t="shared" si="5"/>
        <v>0.56237928355758182</v>
      </c>
      <c r="P25" s="100"/>
      <c r="Q25" s="133">
        <f t="shared" si="6"/>
        <v>0.54914583333333322</v>
      </c>
      <c r="R25" s="89"/>
      <c r="S25" s="139">
        <f t="shared" si="7"/>
        <v>0.30704725652373044</v>
      </c>
      <c r="T25" s="100"/>
      <c r="U25" s="173">
        <f t="shared" si="8"/>
        <v>0.29647835937801387</v>
      </c>
      <c r="W25" s="209">
        <f t="shared" si="9"/>
        <v>0.55626736111111208</v>
      </c>
      <c r="X25" s="100">
        <f t="shared" si="10"/>
        <v>3.3655388379124164E-2</v>
      </c>
      <c r="Y25" s="111">
        <f t="shared" si="11"/>
        <v>3.868597265625031E-2</v>
      </c>
      <c r="AB25" s="191">
        <f t="shared" si="15"/>
        <v>3.8161752409230685</v>
      </c>
      <c r="AC25" s="100">
        <f t="shared" si="12"/>
        <v>4.3908374380731878</v>
      </c>
      <c r="AD25" s="193">
        <f t="shared" si="16"/>
        <v>4.9654996352233072</v>
      </c>
      <c r="AF25" s="195">
        <f t="shared" si="17"/>
        <v>3.8090119222002716</v>
      </c>
      <c r="AG25" s="100">
        <f t="shared" si="13"/>
        <v>4.3823541666666666</v>
      </c>
      <c r="AH25" s="197">
        <f t="shared" si="18"/>
        <v>4.9556964111330615</v>
      </c>
    </row>
    <row r="26" spans="1:34" ht="15.6" x14ac:dyDescent="0.3">
      <c r="B26" s="126">
        <v>8</v>
      </c>
      <c r="C26" s="89"/>
      <c r="D26" s="93" t="s">
        <v>8</v>
      </c>
      <c r="E26" s="157">
        <v>4.01</v>
      </c>
      <c r="F26" s="101">
        <f t="shared" si="14"/>
        <v>4.3299999999999992</v>
      </c>
      <c r="G26" s="100">
        <f>(0.5*E20+SUM(E21:E31)+0.5*E32)/$K$13</f>
        <v>3.8849999999999998</v>
      </c>
      <c r="H26" s="139">
        <f>E26/G26</f>
        <v>1.0321750321750323</v>
      </c>
      <c r="I26" s="133">
        <f t="shared" ref="I26:I72" si="19">E26-G26</f>
        <v>0.125</v>
      </c>
      <c r="J26" s="139">
        <f t="shared" si="3"/>
        <v>4.0572243047138628</v>
      </c>
      <c r="K26" s="133">
        <f t="shared" si="4"/>
        <v>4.0569791666666664</v>
      </c>
      <c r="L26" s="139">
        <f>(3.87+0.0012*B26)*$N$10</f>
        <v>3.8344431639939058</v>
      </c>
      <c r="M26" s="133">
        <f>(3.88+0.001*B26)+$O$10</f>
        <v>3.8410208333333333</v>
      </c>
      <c r="N26" s="100"/>
      <c r="O26" s="139">
        <f t="shared" si="5"/>
        <v>0.17555683600609395</v>
      </c>
      <c r="P26" s="100"/>
      <c r="Q26" s="133">
        <f t="shared" si="6"/>
        <v>0.16897916666666646</v>
      </c>
      <c r="R26" s="89"/>
      <c r="S26" s="139">
        <f t="shared" si="7"/>
        <v>2.7987952403046815E-2</v>
      </c>
      <c r="T26" s="100"/>
      <c r="U26" s="151">
        <f t="shared" si="8"/>
        <v>2.700487384560658E-2</v>
      </c>
      <c r="W26" s="209">
        <f t="shared" si="9"/>
        <v>7.3673611111112038E-3</v>
      </c>
      <c r="X26" s="100">
        <f t="shared" si="10"/>
        <v>8.0503069318687854E-3</v>
      </c>
      <c r="Y26" s="111">
        <f t="shared" si="11"/>
        <v>6.9132296006943206E-3</v>
      </c>
      <c r="AB26" s="191">
        <f t="shared" si="15"/>
        <v>3.6092138543747696</v>
      </c>
      <c r="AC26" s="100">
        <f t="shared" si="12"/>
        <v>4.183876051524889</v>
      </c>
      <c r="AD26" s="193">
        <f t="shared" si="16"/>
        <v>4.7585382486750083</v>
      </c>
      <c r="AF26" s="195">
        <f t="shared" si="17"/>
        <v>3.6075119222002714</v>
      </c>
      <c r="AG26" s="100">
        <f t="shared" si="13"/>
        <v>4.1808541666666663</v>
      </c>
      <c r="AH26" s="197">
        <f t="shared" si="18"/>
        <v>4.7541964111330612</v>
      </c>
    </row>
    <row r="27" spans="1:34" ht="24.6" customHeight="1" x14ac:dyDescent="0.3">
      <c r="B27" s="126">
        <v>9</v>
      </c>
      <c r="C27" s="89"/>
      <c r="D27" s="93" t="s">
        <v>9</v>
      </c>
      <c r="E27" s="157">
        <v>4.3099999999999996</v>
      </c>
      <c r="F27" s="101">
        <f t="shared" si="14"/>
        <v>3.7566666666666664</v>
      </c>
      <c r="G27" s="100">
        <f t="shared" ref="G27:G71" si="20">(0.5*E21+SUM(E22:E32)+0.5*E33)/$K$13</f>
        <v>3.9324999999999997</v>
      </c>
      <c r="H27" s="139">
        <f t="shared" ref="H27:H43" si="21">E27/G27</f>
        <v>1.0959949141767324</v>
      </c>
      <c r="I27" s="133">
        <f>E27-G27</f>
        <v>0.37749999999999995</v>
      </c>
      <c r="J27" s="139">
        <f t="shared" si="3"/>
        <v>4.2907775872308198</v>
      </c>
      <c r="K27" s="133">
        <f t="shared" si="4"/>
        <v>4.2932291666666664</v>
      </c>
      <c r="L27" s="139">
        <f>(3.87+0.0012*B27)*$N$11</f>
        <v>3.8981857390549992</v>
      </c>
      <c r="M27" s="133">
        <f>(3.88+0.001*B27)+$O$11</f>
        <v>3.9057708333333334</v>
      </c>
      <c r="N27" s="100"/>
      <c r="O27" s="139">
        <f t="shared" si="5"/>
        <v>0.4118142609450004</v>
      </c>
      <c r="P27" s="100"/>
      <c r="Q27" s="133">
        <f t="shared" si="6"/>
        <v>0.4042291666666662</v>
      </c>
      <c r="R27" s="89"/>
      <c r="S27" s="139">
        <f t="shared" si="7"/>
        <v>0.16285536867844541</v>
      </c>
      <c r="T27" s="100"/>
      <c r="U27" s="151">
        <f t="shared" si="8"/>
        <v>0.15966545283866182</v>
      </c>
      <c r="W27" s="209">
        <f>(E27-$V$9)^2</f>
        <v>0.1488673611111114</v>
      </c>
      <c r="X27" s="100">
        <f t="shared" si="10"/>
        <v>6.7500859956266541E-4</v>
      </c>
      <c r="Y27" s="111">
        <f t="shared" si="11"/>
        <v>3.3840668402774712E-4</v>
      </c>
      <c r="AB27" s="191">
        <f t="shared" si="15"/>
        <v>3.3309429185417865</v>
      </c>
      <c r="AC27" s="100">
        <f t="shared" si="12"/>
        <v>3.9056051156919058</v>
      </c>
      <c r="AD27" s="193">
        <f t="shared" si="16"/>
        <v>4.4802673128420247</v>
      </c>
      <c r="AF27" s="195">
        <f t="shared" si="17"/>
        <v>3.3276785888669385</v>
      </c>
      <c r="AG27" s="100">
        <f t="shared" si="13"/>
        <v>3.9010208333333334</v>
      </c>
      <c r="AH27" s="197">
        <f t="shared" si="18"/>
        <v>4.4743630777997287</v>
      </c>
    </row>
    <row r="28" spans="1:34" ht="15.6" x14ac:dyDescent="0.3">
      <c r="B28" s="126">
        <v>10</v>
      </c>
      <c r="C28" s="89"/>
      <c r="D28" s="93" t="s">
        <v>10</v>
      </c>
      <c r="E28" s="157">
        <v>2.95</v>
      </c>
      <c r="F28" s="101">
        <f t="shared" si="14"/>
        <v>3.4566666666666666</v>
      </c>
      <c r="G28" s="100">
        <f t="shared" si="20"/>
        <v>3.9704166666666665</v>
      </c>
      <c r="H28" s="139">
        <f t="shared" si="21"/>
        <v>0.74299506768811008</v>
      </c>
      <c r="I28" s="133">
        <f t="shared" si="19"/>
        <v>-1.0204166666666663</v>
      </c>
      <c r="J28" s="139">
        <f t="shared" si="3"/>
        <v>3.4720957440721714</v>
      </c>
      <c r="K28" s="133">
        <f t="shared" si="4"/>
        <v>3.5421874999999998</v>
      </c>
      <c r="L28" s="139">
        <f>(3.87+0.0012*B28)*$N$12</f>
        <v>3.2982673417205053</v>
      </c>
      <c r="M28" s="133">
        <f>(3.88+0.001*B28)+$O$12</f>
        <v>3.2978125</v>
      </c>
      <c r="N28" s="100"/>
      <c r="O28" s="139">
        <f t="shared" si="5"/>
        <v>-0.34826734172050511</v>
      </c>
      <c r="P28" s="100"/>
      <c r="Q28" s="133">
        <f t="shared" si="6"/>
        <v>-0.34781249999999986</v>
      </c>
      <c r="R28" s="89"/>
      <c r="S28" s="139">
        <f t="shared" si="7"/>
        <v>0.12711233983575665</v>
      </c>
      <c r="T28" s="100"/>
      <c r="U28" s="151">
        <f t="shared" si="8"/>
        <v>0.12422810055278254</v>
      </c>
      <c r="W28" s="209">
        <f t="shared" si="9"/>
        <v>0.94900069444444268</v>
      </c>
      <c r="X28" s="100">
        <f t="shared" si="10"/>
        <v>0.39174996496805958</v>
      </c>
      <c r="Y28" s="111">
        <f t="shared" si="11"/>
        <v>0.39231954210069347</v>
      </c>
      <c r="AB28" s="191">
        <f t="shared" si="15"/>
        <v>3.3958460973604461</v>
      </c>
      <c r="AC28" s="100">
        <f t="shared" si="12"/>
        <v>3.9705082945105654</v>
      </c>
      <c r="AD28" s="193">
        <f t="shared" si="16"/>
        <v>4.5451704916606843</v>
      </c>
      <c r="AF28" s="195">
        <f t="shared" si="17"/>
        <v>3.3924285888669381</v>
      </c>
      <c r="AG28" s="100">
        <f t="shared" si="13"/>
        <v>3.965770833333333</v>
      </c>
      <c r="AH28" s="197">
        <f t="shared" si="18"/>
        <v>4.5391130777997279</v>
      </c>
    </row>
    <row r="29" spans="1:34" ht="15.6" x14ac:dyDescent="0.3">
      <c r="B29" s="126">
        <v>11</v>
      </c>
      <c r="C29" s="89"/>
      <c r="D29" s="93" t="s">
        <v>11</v>
      </c>
      <c r="E29" s="157">
        <v>3.11</v>
      </c>
      <c r="F29" s="101">
        <f t="shared" si="14"/>
        <v>3.456666666666667</v>
      </c>
      <c r="G29" s="100">
        <f t="shared" si="20"/>
        <v>3.9412500000000001</v>
      </c>
      <c r="H29" s="139">
        <f t="shared" si="21"/>
        <v>0.78908975578813823</v>
      </c>
      <c r="I29" s="133">
        <f t="shared" si="19"/>
        <v>-0.83125000000000027</v>
      </c>
      <c r="J29" s="139">
        <f t="shared" si="3"/>
        <v>3.7862774941620696</v>
      </c>
      <c r="K29" s="133">
        <f t="shared" si="4"/>
        <v>3.8128125000000002</v>
      </c>
      <c r="L29" s="139">
        <f>(3.87+0.0012*B29)*$N$13</f>
        <v>3.1896109090315559</v>
      </c>
      <c r="M29" s="133">
        <f>(3.88+0.001*B29)+$O$13</f>
        <v>3.1881874999999997</v>
      </c>
      <c r="N29" s="100"/>
      <c r="O29" s="139">
        <f t="shared" si="5"/>
        <v>-7.9610909031555988E-2</v>
      </c>
      <c r="P29" s="100"/>
      <c r="Q29" s="133">
        <f t="shared" si="6"/>
        <v>-7.8187499999999854E-2</v>
      </c>
      <c r="R29" s="89"/>
      <c r="S29" s="139">
        <f t="shared" si="7"/>
        <v>7.721443162567676E-3</v>
      </c>
      <c r="T29" s="100"/>
      <c r="U29" s="151">
        <f t="shared" si="8"/>
        <v>6.8616487298659209E-3</v>
      </c>
      <c r="W29" s="209">
        <f t="shared" si="9"/>
        <v>0.66286736111111011</v>
      </c>
      <c r="X29" s="100">
        <f t="shared" si="10"/>
        <v>0.53957216107489059</v>
      </c>
      <c r="Y29" s="111">
        <f t="shared" si="11"/>
        <v>0.54166533376736037</v>
      </c>
      <c r="AB29" s="191">
        <f t="shared" si="15"/>
        <v>2.7847785728557741</v>
      </c>
      <c r="AC29" s="100">
        <f t="shared" si="12"/>
        <v>3.3594407700058935</v>
      </c>
      <c r="AD29" s="193">
        <f t="shared" si="16"/>
        <v>3.9341029671560128</v>
      </c>
      <c r="AF29" s="195">
        <f t="shared" si="17"/>
        <v>2.7844702555336052</v>
      </c>
      <c r="AG29" s="100">
        <f t="shared" si="13"/>
        <v>3.3578125000000001</v>
      </c>
      <c r="AH29" s="197">
        <f t="shared" si="18"/>
        <v>3.931154744466395</v>
      </c>
    </row>
    <row r="30" spans="1:34" ht="16.2" thickBot="1" x14ac:dyDescent="0.35">
      <c r="B30" s="127">
        <v>12</v>
      </c>
      <c r="C30" s="91"/>
      <c r="D30" s="112" t="s">
        <v>12</v>
      </c>
      <c r="E30" s="158">
        <v>4.3099999999999996</v>
      </c>
      <c r="F30" s="114">
        <f t="shared" si="14"/>
        <v>3.6733333333333333</v>
      </c>
      <c r="G30" s="113">
        <f t="shared" si="20"/>
        <v>3.9245833333333331</v>
      </c>
      <c r="H30" s="140">
        <f t="shared" si="21"/>
        <v>1.0982057543263615</v>
      </c>
      <c r="I30" s="134">
        <f t="shared" si="19"/>
        <v>0.38541666666666652</v>
      </c>
      <c r="J30" s="140">
        <f t="shared" si="3"/>
        <v>4.2828478369665959</v>
      </c>
      <c r="K30" s="134">
        <f t="shared" si="4"/>
        <v>4.285520833333333</v>
      </c>
      <c r="L30" s="140">
        <f>(3.87+0.0012*B30)*$N$14</f>
        <v>3.9090261053630275</v>
      </c>
      <c r="M30" s="134">
        <f>(3.88+0.001*B30)+$O$14</f>
        <v>3.9164791666666665</v>
      </c>
      <c r="N30" s="113"/>
      <c r="O30" s="140">
        <f t="shared" si="5"/>
        <v>0.40097389463697208</v>
      </c>
      <c r="P30" s="113"/>
      <c r="Q30" s="134">
        <f t="shared" si="6"/>
        <v>0.3935208333333331</v>
      </c>
      <c r="R30" s="91"/>
      <c r="S30" s="140">
        <f t="shared" si="7"/>
        <v>0.15422354826674467</v>
      </c>
      <c r="T30" s="113"/>
      <c r="U30" s="152">
        <f t="shared" si="8"/>
        <v>0.1512224153675972</v>
      </c>
      <c r="W30" s="209">
        <f t="shared" si="9"/>
        <v>0.1488673611111114</v>
      </c>
      <c r="X30" s="100">
        <f t="shared" si="10"/>
        <v>2.2923659658923218E-4</v>
      </c>
      <c r="Y30" s="111">
        <f t="shared" si="11"/>
        <v>5.9097656249990825E-5</v>
      </c>
      <c r="AB30" s="191">
        <f>AC30-$V$8</f>
        <v>2.6740885927658287</v>
      </c>
      <c r="AC30" s="100">
        <f t="shared" si="12"/>
        <v>3.248750789915948</v>
      </c>
      <c r="AD30" s="193">
        <f t="shared" si="16"/>
        <v>3.8234129870660674</v>
      </c>
      <c r="AF30" s="195">
        <f t="shared" si="17"/>
        <v>2.6748452555336049</v>
      </c>
      <c r="AG30" s="100">
        <f t="shared" si="13"/>
        <v>3.2481874999999998</v>
      </c>
      <c r="AH30" s="197">
        <f t="shared" si="18"/>
        <v>3.8215297444663947</v>
      </c>
    </row>
    <row r="31" spans="1:34" ht="16.2" thickBot="1" x14ac:dyDescent="0.35">
      <c r="A31" t="s">
        <v>68</v>
      </c>
      <c r="B31" s="128">
        <v>13</v>
      </c>
      <c r="C31" s="107">
        <v>1986</v>
      </c>
      <c r="D31" s="108" t="s">
        <v>1</v>
      </c>
      <c r="E31" s="159">
        <v>3.6</v>
      </c>
      <c r="F31" s="110">
        <f t="shared" si="14"/>
        <v>3.7133333333333334</v>
      </c>
      <c r="G31" s="109">
        <f t="shared" si="20"/>
        <v>3.9104166666666664</v>
      </c>
      <c r="H31" s="141">
        <f t="shared" si="21"/>
        <v>0.92061800745871081</v>
      </c>
      <c r="I31" s="135">
        <f t="shared" si="19"/>
        <v>-0.31041666666666634</v>
      </c>
      <c r="J31" s="141">
        <f t="shared" ref="J31:J42" si="22">E31/N3</f>
        <v>3.1840978263152175</v>
      </c>
      <c r="K31" s="135">
        <f t="shared" ref="K31:K42" si="23">E31-O3</f>
        <v>3.0822916666666664</v>
      </c>
      <c r="L31" s="141">
        <f>(3.87+0.0012*B31)*$N$3</f>
        <v>4.3931313555738747</v>
      </c>
      <c r="M31" s="135">
        <f>(3.88+0.001*B31)+$O$3</f>
        <v>4.410708333333333</v>
      </c>
      <c r="N31" s="109"/>
      <c r="O31" s="141">
        <f t="shared" si="5"/>
        <v>-0.7931313555738746</v>
      </c>
      <c r="P31" s="109"/>
      <c r="Q31" s="135">
        <f t="shared" si="6"/>
        <v>-0.81070833333333292</v>
      </c>
      <c r="R31" s="88"/>
      <c r="S31" s="141">
        <f t="shared" si="7"/>
        <v>0.6422294409551822</v>
      </c>
      <c r="T31" s="109"/>
      <c r="U31" s="153">
        <f t="shared" si="8"/>
        <v>0.66480524819456455</v>
      </c>
      <c r="W31" s="209">
        <f t="shared" si="9"/>
        <v>0.10508402777777723</v>
      </c>
      <c r="X31" s="100">
        <f t="shared" si="10"/>
        <v>0.21992787944183509</v>
      </c>
      <c r="Y31" s="111">
        <f t="shared" si="11"/>
        <v>0.23672279340277819</v>
      </c>
      <c r="AB31" s="192">
        <f>AC31-$V$8</f>
        <v>3.4068203698507769</v>
      </c>
      <c r="AC31" s="113">
        <f t="shared" si="12"/>
        <v>3.9814825670008962</v>
      </c>
      <c r="AD31" s="194">
        <f t="shared" si="16"/>
        <v>4.5561447641510151</v>
      </c>
      <c r="AF31" s="196">
        <f>AG31-$W$8</f>
        <v>3.4031369222002716</v>
      </c>
      <c r="AG31" s="113">
        <f t="shared" si="13"/>
        <v>3.9764791666666666</v>
      </c>
      <c r="AH31" s="198">
        <f t="shared" si="18"/>
        <v>4.5498214111330615</v>
      </c>
    </row>
    <row r="32" spans="1:34" ht="15.6" x14ac:dyDescent="0.3">
      <c r="B32" s="126">
        <v>14</v>
      </c>
      <c r="C32" s="89"/>
      <c r="D32" s="93" t="s">
        <v>2</v>
      </c>
      <c r="E32" s="157">
        <v>3.23</v>
      </c>
      <c r="F32" s="101">
        <f t="shared" si="14"/>
        <v>3.4733333333333332</v>
      </c>
      <c r="G32" s="100">
        <f t="shared" si="20"/>
        <v>3.8762500000000002</v>
      </c>
      <c r="H32" s="139">
        <f t="shared" si="21"/>
        <v>0.83327958722992579</v>
      </c>
      <c r="I32" s="133">
        <f t="shared" si="19"/>
        <v>-0.64625000000000021</v>
      </c>
      <c r="J32" s="139">
        <f t="shared" si="22"/>
        <v>3.6887174362835338</v>
      </c>
      <c r="K32" s="133">
        <f t="shared" si="23"/>
        <v>3.7176041666666668</v>
      </c>
      <c r="L32" s="139">
        <f>(3.87+0.0012*B32)*$N$4</f>
        <v>3.4034496317096075</v>
      </c>
      <c r="M32" s="133">
        <f>(3.88+0.001*B32)+$O$4</f>
        <v>3.4063958333333328</v>
      </c>
      <c r="N32" s="100"/>
      <c r="O32" s="139">
        <f t="shared" si="5"/>
        <v>-0.17344963170960748</v>
      </c>
      <c r="P32" s="100"/>
      <c r="Q32" s="133">
        <f t="shared" si="6"/>
        <v>-0.17639583333333286</v>
      </c>
      <c r="R32" s="89"/>
      <c r="S32" s="139">
        <f t="shared" si="7"/>
        <v>3.3018693222599066E-2</v>
      </c>
      <c r="T32" s="100"/>
      <c r="U32" s="151">
        <f t="shared" si="8"/>
        <v>3.2776713689356536E-2</v>
      </c>
      <c r="W32" s="209">
        <f t="shared" si="9"/>
        <v>0.48186736111111012</v>
      </c>
      <c r="X32" s="100">
        <f t="shared" si="10"/>
        <v>0.27114623049447045</v>
      </c>
      <c r="Y32" s="111">
        <f t="shared" si="11"/>
        <v>0.26808663585069414</v>
      </c>
    </row>
    <row r="33" spans="2:25" ht="15.6" x14ac:dyDescent="0.3">
      <c r="B33" s="126">
        <v>15</v>
      </c>
      <c r="C33" s="89"/>
      <c r="D33" s="93" t="s">
        <v>3</v>
      </c>
      <c r="E33" s="157">
        <v>3.59</v>
      </c>
      <c r="F33" s="101">
        <f t="shared" si="14"/>
        <v>3.7333333333333329</v>
      </c>
      <c r="G33" s="100">
        <f t="shared" si="20"/>
        <v>3.8420833333333331</v>
      </c>
      <c r="H33" s="139">
        <f t="shared" si="21"/>
        <v>0.93438889491378374</v>
      </c>
      <c r="I33" s="133">
        <f t="shared" si="19"/>
        <v>-0.25208333333333321</v>
      </c>
      <c r="J33" s="139">
        <f t="shared" si="22"/>
        <v>4.4450007613727696</v>
      </c>
      <c r="K33" s="133">
        <f t="shared" si="23"/>
        <v>4.3480208333333339</v>
      </c>
      <c r="L33" s="139">
        <f>(3.87+0.0012*B33)*$N$5</f>
        <v>3.1401389446982488</v>
      </c>
      <c r="M33" s="133">
        <f>(3.88+0.001*B33)+$O$5</f>
        <v>3.1369791666666664</v>
      </c>
      <c r="N33" s="100"/>
      <c r="O33" s="139">
        <f t="shared" si="5"/>
        <v>0.44986105530175102</v>
      </c>
      <c r="P33" s="100"/>
      <c r="Q33" s="133">
        <f t="shared" si="6"/>
        <v>0.45302083333333343</v>
      </c>
      <c r="R33" s="89"/>
      <c r="S33" s="139">
        <f t="shared" si="7"/>
        <v>0.19501075575948801</v>
      </c>
      <c r="T33" s="100"/>
      <c r="U33" s="151">
        <f t="shared" si="8"/>
        <v>0.20103858377037523</v>
      </c>
      <c r="W33" s="209">
        <f t="shared" si="9"/>
        <v>0.1116673611111107</v>
      </c>
      <c r="X33" s="100">
        <f t="shared" si="10"/>
        <v>0.61469946881498549</v>
      </c>
      <c r="Y33" s="111">
        <f t="shared" si="11"/>
        <v>0.61966416015624914</v>
      </c>
    </row>
    <row r="34" spans="2:25" ht="15.6" x14ac:dyDescent="0.3">
      <c r="B34" s="126">
        <v>16</v>
      </c>
      <c r="C34" s="89"/>
      <c r="D34" s="93" t="s">
        <v>4</v>
      </c>
      <c r="E34" s="157">
        <v>4.38</v>
      </c>
      <c r="F34" s="101">
        <f t="shared" si="14"/>
        <v>4.1966666666666663</v>
      </c>
      <c r="G34" s="100">
        <f t="shared" si="20"/>
        <v>3.8470833333333334</v>
      </c>
      <c r="H34" s="139">
        <f t="shared" si="21"/>
        <v>1.1385248564930142</v>
      </c>
      <c r="I34" s="133">
        <f t="shared" si="19"/>
        <v>0.53291666666666648</v>
      </c>
      <c r="J34" s="139">
        <f t="shared" si="22"/>
        <v>3.926381788624044</v>
      </c>
      <c r="K34" s="133">
        <f t="shared" si="23"/>
        <v>3.9285416666666664</v>
      </c>
      <c r="L34" s="139">
        <f>(3.87+0.0012*B34)*$N$6</f>
        <v>4.3385225678651125</v>
      </c>
      <c r="M34" s="133">
        <f>(3.88+0.001*B34)+$O$6</f>
        <v>4.3474583333333339</v>
      </c>
      <c r="N34" s="100"/>
      <c r="O34" s="139">
        <f t="shared" si="5"/>
        <v>4.1477432134887415E-2</v>
      </c>
      <c r="P34" s="100"/>
      <c r="Q34" s="133">
        <f t="shared" si="6"/>
        <v>3.2541666666666025E-2</v>
      </c>
      <c r="R34" s="89"/>
      <c r="S34" s="139">
        <f t="shared" si="7"/>
        <v>1.1033424146514111E-3</v>
      </c>
      <c r="T34" s="100"/>
      <c r="U34" s="151">
        <f t="shared" si="8"/>
        <v>7.7808065984274566E-4</v>
      </c>
      <c r="W34" s="209">
        <f t="shared" si="9"/>
        <v>0.20778402777777838</v>
      </c>
      <c r="X34" s="100">
        <f>(L34-$V$9)^2</f>
        <v>0.1716908128579768</v>
      </c>
      <c r="Y34" s="111">
        <f t="shared" si="11"/>
        <v>0.17917583506944554</v>
      </c>
    </row>
    <row r="35" spans="2:25" ht="15.6" x14ac:dyDescent="0.3">
      <c r="B35" s="126">
        <v>17</v>
      </c>
      <c r="C35" s="89"/>
      <c r="D35" s="93" t="s">
        <v>5</v>
      </c>
      <c r="E35" s="157">
        <v>4.62</v>
      </c>
      <c r="F35" s="101">
        <f t="shared" si="14"/>
        <v>4.4800000000000004</v>
      </c>
      <c r="G35" s="100">
        <f t="shared" si="20"/>
        <v>3.8820833333333327</v>
      </c>
      <c r="H35" s="139">
        <f t="shared" si="21"/>
        <v>1.1900826446280994</v>
      </c>
      <c r="I35" s="133">
        <f t="shared" si="19"/>
        <v>0.73791666666666744</v>
      </c>
      <c r="J35" s="139">
        <f t="shared" si="22"/>
        <v>3.6711202293417844</v>
      </c>
      <c r="K35" s="133">
        <f t="shared" si="23"/>
        <v>3.6047916666666668</v>
      </c>
      <c r="L35" s="139">
        <f>(3.87+0.0012*B35)*$N$7</f>
        <v>4.8959573310467679</v>
      </c>
      <c r="M35" s="133">
        <f>(3.88+0.001*B35)+$O$7</f>
        <v>4.9122083333333331</v>
      </c>
      <c r="N35" s="100"/>
      <c r="O35" s="139">
        <f t="shared" si="5"/>
        <v>-0.27595733104676778</v>
      </c>
      <c r="P35" s="100"/>
      <c r="Q35" s="133">
        <f t="shared" si="6"/>
        <v>-0.29220833333333296</v>
      </c>
      <c r="R35" s="89"/>
      <c r="S35" s="139">
        <f t="shared" si="7"/>
        <v>8.0779965145779328E-2</v>
      </c>
      <c r="T35" s="100"/>
      <c r="U35" s="151">
        <f t="shared" si="8"/>
        <v>8.8123427014009256E-2</v>
      </c>
      <c r="W35" s="209">
        <f t="shared" si="9"/>
        <v>0.48418402777777897</v>
      </c>
      <c r="X35" s="100">
        <f t="shared" si="10"/>
        <v>0.94437709537631997</v>
      </c>
      <c r="Y35" s="111">
        <f t="shared" si="11"/>
        <v>0.97622633506944545</v>
      </c>
    </row>
    <row r="36" spans="2:25" ht="15.6" x14ac:dyDescent="0.3">
      <c r="B36" s="160">
        <v>18</v>
      </c>
      <c r="C36" s="161"/>
      <c r="D36" s="162" t="s">
        <v>6</v>
      </c>
      <c r="E36" s="163">
        <v>4.4400000000000004</v>
      </c>
      <c r="F36" s="164">
        <f t="shared" si="14"/>
        <v>4.38</v>
      </c>
      <c r="G36" s="165">
        <f t="shared" si="20"/>
        <v>3.8654166666666678</v>
      </c>
      <c r="H36" s="166">
        <f t="shared" si="21"/>
        <v>1.1486471919801657</v>
      </c>
      <c r="I36" s="167">
        <f t="shared" si="19"/>
        <v>0.57458333333333256</v>
      </c>
      <c r="J36" s="166">
        <f t="shared" si="22"/>
        <v>3.9934177129760853</v>
      </c>
      <c r="K36" s="167">
        <f t="shared" si="23"/>
        <v>4.0036458333333336</v>
      </c>
      <c r="L36" s="166">
        <f>(3.87+0.0012*B36)*$N$8</f>
        <v>4.3267960533793213</v>
      </c>
      <c r="M36" s="167">
        <f>(3.88+0.001*B36)+$O$8</f>
        <v>4.3343541666666665</v>
      </c>
      <c r="N36" s="165"/>
      <c r="O36" s="166">
        <f t="shared" si="5"/>
        <v>0.11320394662067912</v>
      </c>
      <c r="P36" s="165"/>
      <c r="Q36" s="167">
        <f t="shared" si="6"/>
        <v>0.10564583333333388</v>
      </c>
      <c r="R36" s="161"/>
      <c r="S36" s="166">
        <f t="shared" si="7"/>
        <v>1.1013056959171673E-2</v>
      </c>
      <c r="T36" s="165"/>
      <c r="U36" s="168">
        <f t="shared" si="8"/>
        <v>1.0200649308569735E-2</v>
      </c>
      <c r="W36" s="209">
        <f t="shared" si="9"/>
        <v>0.26608402777777895</v>
      </c>
      <c r="X36" s="100">
        <f t="shared" si="10"/>
        <v>0.16211042304460899</v>
      </c>
      <c r="Y36" s="111">
        <f>(M36-$V$9)^2</f>
        <v>0.16825378515625047</v>
      </c>
    </row>
    <row r="37" spans="2:25" ht="15.6" x14ac:dyDescent="0.3">
      <c r="B37" s="126">
        <v>19</v>
      </c>
      <c r="C37" s="89"/>
      <c r="D37" s="93" t="s">
        <v>7</v>
      </c>
      <c r="E37" s="157">
        <v>4.08</v>
      </c>
      <c r="F37" s="101">
        <f t="shared" si="14"/>
        <v>4.0999999999999996</v>
      </c>
      <c r="G37" s="100">
        <f t="shared" si="20"/>
        <v>3.9154166666666668</v>
      </c>
      <c r="H37" s="139">
        <f t="shared" si="21"/>
        <v>1.0420346919229542</v>
      </c>
      <c r="I37" s="133">
        <f t="shared" si="19"/>
        <v>0.1645833333333333</v>
      </c>
      <c r="J37" s="139">
        <f t="shared" si="22"/>
        <v>3.8523206236297658</v>
      </c>
      <c r="K37" s="133">
        <f t="shared" si="23"/>
        <v>3.8461458333333334</v>
      </c>
      <c r="L37" s="139">
        <f>(3.87+0.0012*B37)*$N$9</f>
        <v>4.1228717834589119</v>
      </c>
      <c r="M37" s="133">
        <f>(3.88+0.001*B37)+$O$9</f>
        <v>4.1328541666666663</v>
      </c>
      <c r="N37" s="100"/>
      <c r="O37" s="139">
        <f t="shared" si="5"/>
        <v>-4.287178345891185E-2</v>
      </c>
      <c r="P37" s="100"/>
      <c r="Q37" s="133">
        <f t="shared" si="6"/>
        <v>-5.2854166666666202E-2</v>
      </c>
      <c r="R37" s="89"/>
      <c r="S37" s="139">
        <f t="shared" si="7"/>
        <v>2.6145445327988375E-3</v>
      </c>
      <c r="T37" s="100"/>
      <c r="U37" s="151">
        <f t="shared" si="8"/>
        <v>3.3064496557918149E-3</v>
      </c>
      <c r="W37" s="209">
        <f t="shared" si="9"/>
        <v>2.4284027777778033E-2</v>
      </c>
      <c r="X37" s="100">
        <f t="shared" si="10"/>
        <v>3.9483723439420124E-2</v>
      </c>
      <c r="Y37" s="111">
        <f t="shared" si="11"/>
        <v>4.3550472656250151E-2</v>
      </c>
    </row>
    <row r="38" spans="2:25" ht="15.6" x14ac:dyDescent="0.3">
      <c r="B38" s="126">
        <v>20</v>
      </c>
      <c r="C38" s="89"/>
      <c r="D38" s="93" t="s">
        <v>8</v>
      </c>
      <c r="E38" s="157">
        <v>3.78</v>
      </c>
      <c r="F38" s="101">
        <f t="shared" si="14"/>
        <v>3.86</v>
      </c>
      <c r="G38" s="100">
        <f t="shared" si="20"/>
        <v>4.010416666666667</v>
      </c>
      <c r="H38" s="139">
        <f t="shared" si="21"/>
        <v>0.94254545454545446</v>
      </c>
      <c r="I38" s="133">
        <f t="shared" si="19"/>
        <v>-0.23041666666666716</v>
      </c>
      <c r="J38" s="139">
        <f t="shared" si="22"/>
        <v>3.8245156787577064</v>
      </c>
      <c r="K38" s="133">
        <f t="shared" si="23"/>
        <v>3.8269791666666664</v>
      </c>
      <c r="L38" s="139">
        <f>(3.87+0.0012*B38)*$N$10</f>
        <v>3.8486755543335058</v>
      </c>
      <c r="M38" s="133">
        <f>(3.88+0.001*B38)+$O$10</f>
        <v>3.8530208333333333</v>
      </c>
      <c r="N38" s="100"/>
      <c r="O38" s="139">
        <f t="shared" si="5"/>
        <v>-6.8675554333506028E-2</v>
      </c>
      <c r="P38" s="100"/>
      <c r="Q38" s="133">
        <f t="shared" si="6"/>
        <v>-7.3020833333333535E-2</v>
      </c>
      <c r="R38" s="89"/>
      <c r="S38" s="139">
        <f t="shared" si="7"/>
        <v>5.91920779653877E-3</v>
      </c>
      <c r="T38" s="100"/>
      <c r="U38" s="151">
        <f t="shared" si="8"/>
        <v>6.0323807900511612E-3</v>
      </c>
      <c r="W38" s="209">
        <f t="shared" si="9"/>
        <v>2.0784027777777617E-2</v>
      </c>
      <c r="X38" s="100">
        <f t="shared" si="10"/>
        <v>5.6989080412977941E-3</v>
      </c>
      <c r="Y38" s="111">
        <f t="shared" si="11"/>
        <v>5.0617296006943363E-3</v>
      </c>
    </row>
    <row r="39" spans="2:25" ht="15.6" x14ac:dyDescent="0.3">
      <c r="B39" s="126">
        <v>21</v>
      </c>
      <c r="C39" s="89"/>
      <c r="D39" s="93" t="s">
        <v>9</v>
      </c>
      <c r="E39" s="157">
        <v>3.72</v>
      </c>
      <c r="F39" s="101">
        <f>AVERAGE(E38:E40)</f>
        <v>3.72</v>
      </c>
      <c r="G39" s="100">
        <f t="shared" si="20"/>
        <v>4.0004166666666672</v>
      </c>
      <c r="H39" s="139">
        <f t="shared" si="21"/>
        <v>0.9299031350900947</v>
      </c>
      <c r="I39" s="133">
        <f t="shared" si="19"/>
        <v>-0.28041666666666698</v>
      </c>
      <c r="J39" s="139">
        <f t="shared" si="22"/>
        <v>3.7034089616006152</v>
      </c>
      <c r="K39" s="133">
        <f t="shared" si="23"/>
        <v>3.7032291666666666</v>
      </c>
      <c r="L39" s="139">
        <f>(3.87+0.0012*B39)*$N$11</f>
        <v>3.9126502501461125</v>
      </c>
      <c r="M39" s="133">
        <f>(3.88+0.001*B39)+$O$11</f>
        <v>3.917770833333333</v>
      </c>
      <c r="N39" s="100"/>
      <c r="O39" s="139">
        <f t="shared" si="5"/>
        <v>-0.19265025014611226</v>
      </c>
      <c r="P39" s="100"/>
      <c r="Q39" s="133">
        <f t="shared" si="6"/>
        <v>-0.19777083333333279</v>
      </c>
      <c r="R39" s="89"/>
      <c r="S39" s="139">
        <f t="shared" si="7"/>
        <v>4.0365263593669688E-2</v>
      </c>
      <c r="T39" s="100"/>
      <c r="U39" s="151">
        <f t="shared" si="8"/>
        <v>4.0973209783106486E-2</v>
      </c>
      <c r="W39" s="209">
        <f t="shared" si="9"/>
        <v>4.168402777777739E-2</v>
      </c>
      <c r="X39" s="100">
        <f t="shared" si="10"/>
        <v>1.3262784947487674E-4</v>
      </c>
      <c r="Y39" s="111">
        <f t="shared" si="11"/>
        <v>4.0906684027772674E-5</v>
      </c>
    </row>
    <row r="40" spans="2:25" ht="15.6" x14ac:dyDescent="0.3">
      <c r="B40" s="126">
        <v>22</v>
      </c>
      <c r="C40" s="89"/>
      <c r="D40" s="93" t="s">
        <v>10</v>
      </c>
      <c r="E40" s="157">
        <v>3.66</v>
      </c>
      <c r="F40" s="101">
        <f t="shared" si="14"/>
        <v>3.5400000000000005</v>
      </c>
      <c r="G40" s="100">
        <f t="shared" si="20"/>
        <v>3.9549999999999996</v>
      </c>
      <c r="H40" s="139">
        <f t="shared" si="21"/>
        <v>0.92541087231352726</v>
      </c>
      <c r="I40" s="133">
        <f t="shared" si="19"/>
        <v>-0.29499999999999948</v>
      </c>
      <c r="J40" s="139">
        <f t="shared" si="22"/>
        <v>4.3077526858658128</v>
      </c>
      <c r="K40" s="133">
        <f t="shared" si="23"/>
        <v>4.2521874999999998</v>
      </c>
      <c r="L40" s="139">
        <f>(3.87+0.0012*B40)*$N$12</f>
        <v>3.3105020273775829</v>
      </c>
      <c r="M40" s="133">
        <f>(3.88+0.001*B40)+$O$12</f>
        <v>3.3098125</v>
      </c>
      <c r="N40" s="100"/>
      <c r="O40" s="139">
        <f t="shared" si="5"/>
        <v>0.34949797262241722</v>
      </c>
      <c r="P40" s="100"/>
      <c r="Q40" s="133">
        <f t="shared" si="6"/>
        <v>0.3501875000000001</v>
      </c>
      <c r="R40" s="89"/>
      <c r="S40" s="139">
        <f t="shared" si="7"/>
        <v>0.11644278501146307</v>
      </c>
      <c r="T40" s="100"/>
      <c r="U40" s="151">
        <f>POWER(Q40-$Q$79,2)</f>
        <v>0.11939784360833819</v>
      </c>
      <c r="W40" s="209">
        <f t="shared" si="9"/>
        <v>6.9784027777777299E-2</v>
      </c>
      <c r="X40" s="100">
        <f t="shared" si="10"/>
        <v>0.37658428951380035</v>
      </c>
      <c r="Y40" s="111">
        <f t="shared" si="11"/>
        <v>0.37743104210069345</v>
      </c>
    </row>
    <row r="41" spans="2:25" ht="15.6" x14ac:dyDescent="0.3">
      <c r="B41" s="126">
        <v>23</v>
      </c>
      <c r="C41" s="89"/>
      <c r="D41" s="93" t="s">
        <v>11</v>
      </c>
      <c r="E41" s="157">
        <v>3.24</v>
      </c>
      <c r="F41" s="101">
        <f t="shared" si="14"/>
        <v>3.56</v>
      </c>
      <c r="G41" s="100">
        <f t="shared" si="20"/>
        <v>3.9554166666666668</v>
      </c>
      <c r="H41" s="139">
        <f t="shared" si="21"/>
        <v>0.81912988517855267</v>
      </c>
      <c r="I41" s="133">
        <f t="shared" si="19"/>
        <v>-0.71541666666666659</v>
      </c>
      <c r="J41" s="139">
        <f t="shared" si="22"/>
        <v>3.9445463283231854</v>
      </c>
      <c r="K41" s="133">
        <f t="shared" si="23"/>
        <v>3.9428125000000005</v>
      </c>
      <c r="L41" s="139">
        <f>(3.87+0.0012*B41)*$N$13</f>
        <v>3.2014388852084346</v>
      </c>
      <c r="M41" s="133">
        <f>(3.88+0.001*B41)+$O$13</f>
        <v>3.2001874999999997</v>
      </c>
      <c r="N41" s="100"/>
      <c r="O41" s="139">
        <f t="shared" si="5"/>
        <v>3.8561114791565654E-2</v>
      </c>
      <c r="P41" s="100"/>
      <c r="Q41" s="133">
        <f t="shared" si="6"/>
        <v>3.9812500000000473E-2</v>
      </c>
      <c r="R41" s="89"/>
      <c r="S41" s="139">
        <f t="shared" si="7"/>
        <v>9.1810703702547723E-4</v>
      </c>
      <c r="T41" s="100"/>
      <c r="U41" s="151">
        <f t="shared" si="8"/>
        <v>1.2365723409770728E-3</v>
      </c>
      <c r="W41" s="209">
        <f t="shared" si="9"/>
        <v>0.46808402777777647</v>
      </c>
      <c r="X41" s="100">
        <f t="shared" si="10"/>
        <v>0.52233544609153704</v>
      </c>
      <c r="Y41" s="111">
        <f t="shared" si="11"/>
        <v>0.52414583376736035</v>
      </c>
    </row>
    <row r="42" spans="2:25" ht="16.2" thickBot="1" x14ac:dyDescent="0.35">
      <c r="B42" s="127">
        <v>24</v>
      </c>
      <c r="C42" s="91"/>
      <c r="D42" s="112" t="s">
        <v>12</v>
      </c>
      <c r="E42" s="158">
        <v>3.78</v>
      </c>
      <c r="F42" s="114">
        <f t="shared" si="14"/>
        <v>4.1166666666666663</v>
      </c>
      <c r="G42" s="113">
        <f t="shared" si="20"/>
        <v>3.9633333333333334</v>
      </c>
      <c r="H42" s="140">
        <f t="shared" si="21"/>
        <v>0.95374264087468452</v>
      </c>
      <c r="I42" s="134">
        <f t="shared" si="19"/>
        <v>-0.18333333333333357</v>
      </c>
      <c r="J42" s="140">
        <f t="shared" si="22"/>
        <v>3.7561867340449497</v>
      </c>
      <c r="K42" s="134">
        <f t="shared" si="23"/>
        <v>3.7555208333333332</v>
      </c>
      <c r="L42" s="140">
        <f>(3.87+0.0012*B42)*$N$14</f>
        <v>3.9235173976906013</v>
      </c>
      <c r="M42" s="134">
        <f>(3.88+0.001*B42)+$O$14</f>
        <v>3.9284791666666665</v>
      </c>
      <c r="N42" s="113"/>
      <c r="O42" s="140">
        <f t="shared" si="5"/>
        <v>-0.14351739769060146</v>
      </c>
      <c r="P42" s="113"/>
      <c r="Q42" s="134">
        <f t="shared" si="6"/>
        <v>-0.14847916666666672</v>
      </c>
      <c r="R42" s="91"/>
      <c r="S42" s="140">
        <f t="shared" si="7"/>
        <v>2.303663151004547E-2</v>
      </c>
      <c r="T42" s="113"/>
      <c r="U42" s="152">
        <f t="shared" si="8"/>
        <v>2.3447797312041902E-2</v>
      </c>
      <c r="W42" s="209">
        <f t="shared" si="9"/>
        <v>2.0784027777777617E-2</v>
      </c>
      <c r="X42" s="100">
        <f t="shared" si="10"/>
        <v>4.2155020328004445E-7</v>
      </c>
      <c r="Y42" s="111">
        <f t="shared" si="11"/>
        <v>1.859765625000524E-5</v>
      </c>
    </row>
    <row r="43" spans="2:25" ht="15.6" x14ac:dyDescent="0.3">
      <c r="B43" s="128">
        <v>25</v>
      </c>
      <c r="C43" s="107">
        <v>1987</v>
      </c>
      <c r="D43" s="108" t="s">
        <v>1</v>
      </c>
      <c r="E43" s="159">
        <v>5.33</v>
      </c>
      <c r="F43" s="110">
        <f t="shared" si="14"/>
        <v>4.296666666666666</v>
      </c>
      <c r="G43" s="109">
        <f t="shared" si="20"/>
        <v>3.9725000000000001</v>
      </c>
      <c r="H43" s="141">
        <f t="shared" si="21"/>
        <v>1.341724354940214</v>
      </c>
      <c r="I43" s="135">
        <f t="shared" si="19"/>
        <v>1.3574999999999999</v>
      </c>
      <c r="J43" s="141">
        <f t="shared" ref="J43:J54" si="24">E43/N3</f>
        <v>4.7142337261833642</v>
      </c>
      <c r="K43" s="135">
        <f t="shared" ref="K43:K54" si="25">E43-O3</f>
        <v>4.8122916666666669</v>
      </c>
      <c r="L43" s="141">
        <f>(3.87+0.0012*B43)*$N$3</f>
        <v>4.409412262388849</v>
      </c>
      <c r="M43" s="135">
        <f>(3.88+0.001*B43)+$O$3</f>
        <v>4.4227083333333335</v>
      </c>
      <c r="N43" s="109"/>
      <c r="O43" s="141">
        <f t="shared" si="5"/>
        <v>0.92058773761115109</v>
      </c>
      <c r="P43" s="109"/>
      <c r="Q43" s="135">
        <f t="shared" si="6"/>
        <v>0.90729166666666661</v>
      </c>
      <c r="R43" s="88"/>
      <c r="S43" s="141">
        <f t="shared" si="7"/>
        <v>0.8323403796843406</v>
      </c>
      <c r="T43" s="109"/>
      <c r="U43" s="153">
        <f t="shared" si="8"/>
        <v>0.81476636625012022</v>
      </c>
      <c r="W43" s="209">
        <f t="shared" si="9"/>
        <v>1.9763673611111134</v>
      </c>
      <c r="X43" s="100">
        <f t="shared" si="10"/>
        <v>0.23546328816777634</v>
      </c>
      <c r="Y43" s="111">
        <f t="shared" si="11"/>
        <v>0.24854379340277866</v>
      </c>
    </row>
    <row r="44" spans="2:25" ht="15.6" x14ac:dyDescent="0.3">
      <c r="B44" s="126">
        <v>26</v>
      </c>
      <c r="C44" s="89"/>
      <c r="D44" s="93" t="s">
        <v>2</v>
      </c>
      <c r="E44" s="157">
        <v>3.78</v>
      </c>
      <c r="F44" s="101">
        <f t="shared" si="14"/>
        <v>3.97</v>
      </c>
      <c r="G44" s="100">
        <f t="shared" si="20"/>
        <v>3.9883333333333333</v>
      </c>
      <c r="H44" s="139">
        <f>E44/G44</f>
        <v>0.94776431257835347</v>
      </c>
      <c r="I44" s="133">
        <f t="shared" si="19"/>
        <v>-0.20833333333333348</v>
      </c>
      <c r="J44" s="139">
        <f t="shared" si="24"/>
        <v>4.3168272164556525</v>
      </c>
      <c r="K44" s="133">
        <f t="shared" si="25"/>
        <v>4.2676041666666666</v>
      </c>
      <c r="L44" s="139">
        <f>(3.87+0.0012*B44)*$N$4</f>
        <v>3.4160588924630857</v>
      </c>
      <c r="M44" s="133">
        <f>(3.88+0.001*B44)+$O$4</f>
        <v>3.4183958333333333</v>
      </c>
      <c r="N44" s="100"/>
      <c r="O44" s="139">
        <f t="shared" si="5"/>
        <v>0.36394110753691411</v>
      </c>
      <c r="P44" s="100"/>
      <c r="Q44" s="133">
        <f t="shared" si="6"/>
        <v>0.3616041666666665</v>
      </c>
      <c r="R44" s="89"/>
      <c r="S44" s="139">
        <f t="shared" si="7"/>
        <v>0.12650845722954174</v>
      </c>
      <c r="T44" s="100"/>
      <c r="U44" s="151">
        <f t="shared" si="8"/>
        <v>0.12741801230046762</v>
      </c>
      <c r="W44" s="209">
        <f t="shared" si="9"/>
        <v>2.0784027777777617E-2</v>
      </c>
      <c r="X44" s="100">
        <f t="shared" si="10"/>
        <v>0.25817351020611645</v>
      </c>
      <c r="Y44" s="111">
        <f t="shared" si="11"/>
        <v>0.25580413585069373</v>
      </c>
    </row>
    <row r="45" spans="2:25" ht="15.6" x14ac:dyDescent="0.3">
      <c r="B45" s="126">
        <v>27</v>
      </c>
      <c r="C45" s="89"/>
      <c r="D45" s="93" t="s">
        <v>3</v>
      </c>
      <c r="E45" s="157">
        <v>2.8</v>
      </c>
      <c r="F45" s="101">
        <f t="shared" si="14"/>
        <v>3.5533333333333332</v>
      </c>
      <c r="G45" s="100">
        <f t="shared" si="20"/>
        <v>3.99</v>
      </c>
      <c r="H45" s="139">
        <f t="shared" ref="H45:H59" si="26">E45/G45</f>
        <v>0.70175438596491224</v>
      </c>
      <c r="I45" s="133">
        <f t="shared" si="19"/>
        <v>-1.1900000000000004</v>
      </c>
      <c r="J45" s="139">
        <f t="shared" si="24"/>
        <v>3.4668529615163659</v>
      </c>
      <c r="K45" s="133">
        <f t="shared" si="25"/>
        <v>3.5580208333333339</v>
      </c>
      <c r="L45" s="139">
        <f>(3.87+0.0012*B45)*$N$5</f>
        <v>3.151769088937872</v>
      </c>
      <c r="M45" s="133">
        <f>(3.88+0.001*B45)+$O$5</f>
        <v>3.148979166666666</v>
      </c>
      <c r="N45" s="100"/>
      <c r="O45" s="139">
        <f t="shared" si="5"/>
        <v>-0.35176908893787218</v>
      </c>
      <c r="P45" s="100"/>
      <c r="Q45" s="133">
        <f t="shared" si="6"/>
        <v>-0.34897916666666617</v>
      </c>
      <c r="R45" s="89"/>
      <c r="S45" s="139">
        <f t="shared" si="7"/>
        <v>0.1296215451613911</v>
      </c>
      <c r="T45" s="100"/>
      <c r="U45" s="151">
        <f t="shared" si="8"/>
        <v>0.12505186849259711</v>
      </c>
      <c r="W45" s="209">
        <f t="shared" si="9"/>
        <v>1.2637506944444432</v>
      </c>
      <c r="X45" s="100">
        <f t="shared" si="10"/>
        <v>0.59659801808130819</v>
      </c>
      <c r="Y45" s="111">
        <f t="shared" si="11"/>
        <v>0.60091566015624986</v>
      </c>
    </row>
    <row r="46" spans="2:25" ht="15.6" x14ac:dyDescent="0.3">
      <c r="B46" s="126">
        <v>28</v>
      </c>
      <c r="C46" s="89"/>
      <c r="D46" s="93" t="s">
        <v>4</v>
      </c>
      <c r="E46" s="157">
        <v>4.08</v>
      </c>
      <c r="F46" s="101">
        <f t="shared" si="14"/>
        <v>3.9366666666666661</v>
      </c>
      <c r="G46" s="100">
        <f>(0.5*E40+SUM(E41:E51)+0.5*E52)/$K$13</f>
        <v>3.9795833333333328</v>
      </c>
      <c r="H46" s="139">
        <f t="shared" si="26"/>
        <v>1.0252329598994872</v>
      </c>
      <c r="I46" s="133">
        <f t="shared" si="19"/>
        <v>0.10041666666666726</v>
      </c>
      <c r="J46" s="139">
        <f t="shared" si="24"/>
        <v>3.6574515291292466</v>
      </c>
      <c r="K46" s="133">
        <f t="shared" si="25"/>
        <v>3.6285416666666666</v>
      </c>
      <c r="L46" s="139">
        <f>(3.87+0.0012*B46)*$N$6</f>
        <v>4.3545862120534435</v>
      </c>
      <c r="M46" s="133">
        <f>(3.88+0.001*B46)+$O$6</f>
        <v>4.3594583333333334</v>
      </c>
      <c r="N46" s="100"/>
      <c r="O46" s="139">
        <f t="shared" si="5"/>
        <v>-0.27458621205344347</v>
      </c>
      <c r="P46" s="100"/>
      <c r="Q46" s="133">
        <f t="shared" si="6"/>
        <v>-0.27945833333333336</v>
      </c>
      <c r="R46" s="89"/>
      <c r="S46" s="139">
        <f t="shared" si="7"/>
        <v>8.0002451265335631E-2</v>
      </c>
      <c r="T46" s="100"/>
      <c r="U46" s="151">
        <f t="shared" si="8"/>
        <v>8.0716163993176174E-2</v>
      </c>
      <c r="W46" s="209">
        <f t="shared" si="9"/>
        <v>2.4284027777778033E-2</v>
      </c>
      <c r="X46" s="100">
        <f t="shared" si="10"/>
        <v>0.18526098505096034</v>
      </c>
      <c r="Y46" s="111">
        <f t="shared" si="11"/>
        <v>0.18947883506944518</v>
      </c>
    </row>
    <row r="47" spans="2:25" ht="15.6" x14ac:dyDescent="0.3">
      <c r="B47" s="126">
        <v>29</v>
      </c>
      <c r="C47" s="89"/>
      <c r="D47" s="93" t="s">
        <v>5</v>
      </c>
      <c r="E47" s="157">
        <v>4.93</v>
      </c>
      <c r="F47" s="101">
        <f t="shared" si="14"/>
        <v>4.4433333333333334</v>
      </c>
      <c r="G47" s="100">
        <f t="shared" si="20"/>
        <v>3.9758333333333336</v>
      </c>
      <c r="H47" s="139">
        <f t="shared" si="26"/>
        <v>1.2399916160134143</v>
      </c>
      <c r="I47" s="133">
        <f t="shared" si="19"/>
        <v>0.95416666666666616</v>
      </c>
      <c r="J47" s="139">
        <f t="shared" si="24"/>
        <v>3.9174508075010812</v>
      </c>
      <c r="K47" s="133">
        <f t="shared" si="25"/>
        <v>3.9147916666666664</v>
      </c>
      <c r="L47" s="139">
        <f>(3.87+0.0012*B47)*$N$7</f>
        <v>4.9140793199340482</v>
      </c>
      <c r="M47" s="133">
        <f>(3.88+0.001*B47)+$O$7</f>
        <v>4.9242083333333326</v>
      </c>
      <c r="N47" s="100"/>
      <c r="O47" s="139">
        <f t="shared" si="5"/>
        <v>1.5920680065951487E-2</v>
      </c>
      <c r="P47" s="100"/>
      <c r="Q47" s="133">
        <f t="shared" si="6"/>
        <v>5.7916666666670835E-3</v>
      </c>
      <c r="R47" s="89"/>
      <c r="S47" s="139">
        <f t="shared" si="7"/>
        <v>5.8673247057204032E-5</v>
      </c>
      <c r="T47" s="100"/>
      <c r="U47" s="151">
        <f t="shared" si="8"/>
        <v>1.3089584538973916E-6</v>
      </c>
      <c r="W47" s="209">
        <f t="shared" si="9"/>
        <v>1.0117006944444453</v>
      </c>
      <c r="X47" s="100">
        <f t="shared" si="10"/>
        <v>0.97992706109886873</v>
      </c>
      <c r="Y47" s="111">
        <f t="shared" si="11"/>
        <v>1.0000833350694445</v>
      </c>
    </row>
    <row r="48" spans="2:25" ht="15.6" x14ac:dyDescent="0.3">
      <c r="B48" s="160">
        <v>30</v>
      </c>
      <c r="C48" s="161"/>
      <c r="D48" s="162" t="s">
        <v>6</v>
      </c>
      <c r="E48" s="163">
        <v>4.32</v>
      </c>
      <c r="F48" s="164">
        <f t="shared" si="14"/>
        <v>4.5566666666666666</v>
      </c>
      <c r="G48" s="165">
        <f t="shared" si="20"/>
        <v>3.9845833333333331</v>
      </c>
      <c r="H48" s="166">
        <f t="shared" si="26"/>
        <v>1.0841786050402595</v>
      </c>
      <c r="I48" s="167">
        <f t="shared" si="19"/>
        <v>0.33541666666666714</v>
      </c>
      <c r="J48" s="166">
        <f t="shared" si="24"/>
        <v>3.8854875045172719</v>
      </c>
      <c r="K48" s="167">
        <f t="shared" si="25"/>
        <v>3.8836458333333335</v>
      </c>
      <c r="L48" s="166">
        <f>(3.87+0.0012*B48)*$N$8</f>
        <v>4.3428063995527877</v>
      </c>
      <c r="M48" s="167">
        <f>(3.88+0.001*B48)+$O$8</f>
        <v>4.3463541666666661</v>
      </c>
      <c r="N48" s="165"/>
      <c r="O48" s="166">
        <f t="shared" si="5"/>
        <v>-2.2806399552787404E-2</v>
      </c>
      <c r="P48" s="165"/>
      <c r="Q48" s="167">
        <f t="shared" si="6"/>
        <v>-2.635416666666579E-2</v>
      </c>
      <c r="R48" s="161"/>
      <c r="S48" s="166">
        <f t="shared" si="7"/>
        <v>9.6517297911470157E-4</v>
      </c>
      <c r="T48" s="165"/>
      <c r="U48" s="168">
        <f t="shared" si="8"/>
        <v>9.6110764190292079E-4</v>
      </c>
      <c r="W48" s="209">
        <f t="shared" si="9"/>
        <v>0.1566840277777786</v>
      </c>
      <c r="X48" s="100">
        <f t="shared" si="10"/>
        <v>0.17525922595096338</v>
      </c>
      <c r="Y48" s="111">
        <f t="shared" si="11"/>
        <v>0.17824228515625012</v>
      </c>
    </row>
    <row r="49" spans="2:25" ht="15.6" x14ac:dyDescent="0.3">
      <c r="B49" s="126">
        <v>31</v>
      </c>
      <c r="C49" s="89"/>
      <c r="D49" s="93" t="s">
        <v>7</v>
      </c>
      <c r="E49" s="157">
        <v>4.42</v>
      </c>
      <c r="F49" s="101">
        <f t="shared" si="14"/>
        <v>4.1866666666666665</v>
      </c>
      <c r="G49" s="100">
        <f t="shared" si="20"/>
        <v>3.9416666666666664</v>
      </c>
      <c r="H49" s="139">
        <f t="shared" si="26"/>
        <v>1.1213530655391122</v>
      </c>
      <c r="I49" s="133">
        <f t="shared" si="19"/>
        <v>0.4783333333333335</v>
      </c>
      <c r="J49" s="139">
        <f t="shared" si="24"/>
        <v>4.1733473422655791</v>
      </c>
      <c r="K49" s="133">
        <f t="shared" si="25"/>
        <v>4.1861458333333337</v>
      </c>
      <c r="L49" s="139">
        <f>(3.87+0.0012*B49)*$N$9</f>
        <v>4.1381228504754057</v>
      </c>
      <c r="M49" s="133">
        <f>(3.88+0.001*B49)+$O$9</f>
        <v>4.1448541666666667</v>
      </c>
      <c r="N49" s="100"/>
      <c r="O49" s="139">
        <f t="shared" si="5"/>
        <v>0.28187714952459419</v>
      </c>
      <c r="P49" s="100"/>
      <c r="Q49" s="133">
        <f t="shared" si="6"/>
        <v>0.2751458333333332</v>
      </c>
      <c r="R49" s="89"/>
      <c r="S49" s="139">
        <f t="shared" si="7"/>
        <v>7.4865888310686732E-2</v>
      </c>
      <c r="T49" s="100"/>
      <c r="U49" s="151">
        <f t="shared" si="8"/>
        <v>7.3169310766902876E-2</v>
      </c>
      <c r="W49" s="209">
        <f t="shared" si="9"/>
        <v>0.24585069444444513</v>
      </c>
      <c r="X49" s="100">
        <f t="shared" si="10"/>
        <v>4.5777248589999257E-2</v>
      </c>
      <c r="Y49" s="111">
        <f t="shared" si="11"/>
        <v>4.8702972656250357E-2</v>
      </c>
    </row>
    <row r="50" spans="2:25" ht="15.6" x14ac:dyDescent="0.3">
      <c r="B50" s="126">
        <v>32</v>
      </c>
      <c r="C50" s="89"/>
      <c r="D50" s="93" t="s">
        <v>8</v>
      </c>
      <c r="E50" s="157">
        <v>3.82</v>
      </c>
      <c r="F50" s="101">
        <f>AVERAGE(E49:E51)</f>
        <v>3.9866666666666668</v>
      </c>
      <c r="G50" s="100">
        <f t="shared" si="20"/>
        <v>3.8783333333333334</v>
      </c>
      <c r="H50" s="139">
        <f t="shared" si="26"/>
        <v>0.98495917490330898</v>
      </c>
      <c r="I50" s="133">
        <f t="shared" si="19"/>
        <v>-5.833333333333357E-2</v>
      </c>
      <c r="J50" s="139">
        <f t="shared" si="24"/>
        <v>3.8649867441413859</v>
      </c>
      <c r="K50" s="133">
        <f t="shared" si="25"/>
        <v>3.8669791666666664</v>
      </c>
      <c r="L50" s="139">
        <f>(3.87+0.0012*B50)*$N$10</f>
        <v>3.8629079446731063</v>
      </c>
      <c r="M50" s="133">
        <f>(3.88+0.001*B50)+$O$10</f>
        <v>3.8650208333333333</v>
      </c>
      <c r="N50" s="100"/>
      <c r="O50" s="139">
        <f t="shared" si="5"/>
        <v>-4.2907944673106435E-2</v>
      </c>
      <c r="P50" s="100"/>
      <c r="Q50" s="133">
        <f t="shared" si="6"/>
        <v>-4.502083333333351E-2</v>
      </c>
      <c r="R50" s="89"/>
      <c r="S50" s="139">
        <f t="shared" si="7"/>
        <v>2.6182438754717369E-3</v>
      </c>
      <c r="T50" s="100"/>
      <c r="U50" s="151">
        <f t="shared" si="8"/>
        <v>2.4669502344955882E-3</v>
      </c>
      <c r="W50" s="209">
        <f t="shared" si="9"/>
        <v>1.0850694444444321E-2</v>
      </c>
      <c r="X50" s="100">
        <f t="shared" si="10"/>
        <v>3.7526310202842276E-3</v>
      </c>
      <c r="Y50" s="111">
        <f t="shared" si="11"/>
        <v>3.4982296006943535E-3</v>
      </c>
    </row>
    <row r="51" spans="2:25" ht="15.6" x14ac:dyDescent="0.3">
      <c r="B51" s="126">
        <v>33</v>
      </c>
      <c r="C51" s="89"/>
      <c r="D51" s="93" t="s">
        <v>9</v>
      </c>
      <c r="E51" s="157">
        <v>3.72</v>
      </c>
      <c r="F51" s="101">
        <f t="shared" si="14"/>
        <v>3.65</v>
      </c>
      <c r="G51" s="100">
        <f t="shared" si="20"/>
        <v>3.8658333333333328</v>
      </c>
      <c r="H51" s="139">
        <f t="shared" si="26"/>
        <v>0.9622763526622119</v>
      </c>
      <c r="I51" s="133">
        <f t="shared" si="19"/>
        <v>-0.14583333333333259</v>
      </c>
      <c r="J51" s="139">
        <f t="shared" si="24"/>
        <v>3.7034089616006152</v>
      </c>
      <c r="K51" s="133">
        <f t="shared" si="25"/>
        <v>3.7032291666666666</v>
      </c>
      <c r="L51" s="139">
        <f>(3.87+0.0012*B51)*$N$11</f>
        <v>3.9271147612372257</v>
      </c>
      <c r="M51" s="133">
        <f>(3.88+0.001*B51)+$O$11</f>
        <v>3.9297708333333334</v>
      </c>
      <c r="N51" s="100"/>
      <c r="O51" s="139">
        <f t="shared" ref="O51:O78" si="27">E51-L51</f>
        <v>-0.2071147612372255</v>
      </c>
      <c r="P51" s="100"/>
      <c r="Q51" s="133">
        <f t="shared" ref="Q51:Q78" si="28">E51-M51</f>
        <v>-0.20977083333333324</v>
      </c>
      <c r="R51" s="89"/>
      <c r="S51" s="139">
        <f t="shared" si="7"/>
        <v>4.6386646874678486E-2</v>
      </c>
      <c r="T51" s="100"/>
      <c r="U51" s="151">
        <f t="shared" si="8"/>
        <v>4.5975251449773338E-2</v>
      </c>
      <c r="W51" s="209">
        <f t="shared" si="9"/>
        <v>4.168402777777739E-2</v>
      </c>
      <c r="X51" s="100">
        <f t="shared" si="10"/>
        <v>8.6912615969640431E-6</v>
      </c>
      <c r="Y51" s="111">
        <f t="shared" si="11"/>
        <v>3.1406684027787351E-5</v>
      </c>
    </row>
    <row r="52" spans="2:25" ht="15.6" x14ac:dyDescent="0.3">
      <c r="B52" s="126">
        <v>34</v>
      </c>
      <c r="C52" s="89"/>
      <c r="D52" s="93" t="s">
        <v>10</v>
      </c>
      <c r="E52" s="157">
        <v>3.41</v>
      </c>
      <c r="F52" s="101">
        <f t="shared" si="14"/>
        <v>3.5100000000000002</v>
      </c>
      <c r="G52" s="100">
        <f t="shared" si="20"/>
        <v>3.8874999999999993</v>
      </c>
      <c r="H52" s="139">
        <f t="shared" si="26"/>
        <v>0.87717041800643103</v>
      </c>
      <c r="I52" s="133">
        <f t="shared" si="19"/>
        <v>-0.47749999999999915</v>
      </c>
      <c r="J52" s="139">
        <f t="shared" si="24"/>
        <v>4.0135072838257981</v>
      </c>
      <c r="K52" s="133">
        <f t="shared" si="25"/>
        <v>4.0021874999999998</v>
      </c>
      <c r="L52" s="139">
        <f>(3.87+0.0012*B52)*$N$12</f>
        <v>3.3227367130346606</v>
      </c>
      <c r="M52" s="133">
        <f>(3.88+0.001*B52)+$O$12</f>
        <v>3.3218125000000001</v>
      </c>
      <c r="N52" s="100"/>
      <c r="O52" s="139">
        <f t="shared" si="27"/>
        <v>8.7263286965339582E-2</v>
      </c>
      <c r="P52" s="100"/>
      <c r="Q52" s="133">
        <f t="shared" si="28"/>
        <v>8.8187500000000085E-2</v>
      </c>
      <c r="R52" s="89"/>
      <c r="S52" s="139">
        <f t="shared" si="7"/>
        <v>6.2413876292363611E-3</v>
      </c>
      <c r="T52" s="100"/>
      <c r="U52" s="151">
        <f t="shared" si="8"/>
        <v>6.9789199972270476E-3</v>
      </c>
      <c r="W52" s="209">
        <f t="shared" si="9"/>
        <v>0.2643673611111102</v>
      </c>
      <c r="X52" s="100">
        <f t="shared" si="10"/>
        <v>0.36171798912579611</v>
      </c>
      <c r="Y52" s="111">
        <f t="shared" si="11"/>
        <v>0.36283054210069349</v>
      </c>
    </row>
    <row r="53" spans="2:25" ht="15.6" x14ac:dyDescent="0.3">
      <c r="B53" s="126">
        <v>35</v>
      </c>
      <c r="C53" s="89"/>
      <c r="D53" s="93" t="s">
        <v>11</v>
      </c>
      <c r="E53" s="157">
        <v>3.4</v>
      </c>
      <c r="F53" s="101">
        <f t="shared" si="14"/>
        <v>3.5466666666666669</v>
      </c>
      <c r="G53" s="100">
        <f t="shared" si="20"/>
        <v>3.9079166666666669</v>
      </c>
      <c r="H53" s="139">
        <f t="shared" si="26"/>
        <v>0.87002878771724057</v>
      </c>
      <c r="I53" s="133">
        <f t="shared" si="19"/>
        <v>-0.50791666666666702</v>
      </c>
      <c r="J53" s="139">
        <f t="shared" si="24"/>
        <v>4.1393387395984043</v>
      </c>
      <c r="K53" s="133">
        <f t="shared" si="25"/>
        <v>4.1028125000000006</v>
      </c>
      <c r="L53" s="139">
        <f>(3.87+0.0012*B53)*$N$13</f>
        <v>3.2132668613853128</v>
      </c>
      <c r="M53" s="133">
        <f>(3.88+0.001*B53)+$O$13</f>
        <v>3.2121874999999998</v>
      </c>
      <c r="N53" s="100"/>
      <c r="O53" s="139">
        <f t="shared" si="27"/>
        <v>0.1867331386146871</v>
      </c>
      <c r="P53" s="100"/>
      <c r="Q53" s="133">
        <f t="shared" si="28"/>
        <v>0.18781250000000016</v>
      </c>
      <c r="R53" s="89"/>
      <c r="S53" s="139">
        <f t="shared" si="7"/>
        <v>3.1852363638039165E-2</v>
      </c>
      <c r="T53" s="100"/>
      <c r="U53" s="151">
        <f t="shared" si="8"/>
        <v>3.3549391785421517E-2</v>
      </c>
      <c r="W53" s="209">
        <f t="shared" si="9"/>
        <v>0.27475069444444372</v>
      </c>
      <c r="X53" s="100">
        <f t="shared" si="10"/>
        <v>0.50537853314906578</v>
      </c>
      <c r="Y53" s="111">
        <f t="shared" si="11"/>
        <v>0.50691433376736039</v>
      </c>
    </row>
    <row r="54" spans="2:25" ht="16.2" thickBot="1" x14ac:dyDescent="0.35">
      <c r="B54" s="127">
        <v>36</v>
      </c>
      <c r="C54" s="91"/>
      <c r="D54" s="112" t="s">
        <v>12</v>
      </c>
      <c r="E54" s="158">
        <v>3.83</v>
      </c>
      <c r="F54" s="114">
        <f t="shared" si="14"/>
        <v>3.8266666666666667</v>
      </c>
      <c r="G54" s="113">
        <f t="shared" si="20"/>
        <v>3.9150000000000005</v>
      </c>
      <c r="H54" s="140">
        <f t="shared" si="26"/>
        <v>0.97828863346104711</v>
      </c>
      <c r="I54" s="134">
        <f t="shared" si="19"/>
        <v>-8.5000000000000409E-2</v>
      </c>
      <c r="J54" s="140">
        <f t="shared" si="24"/>
        <v>3.8058717437545391</v>
      </c>
      <c r="K54" s="134">
        <f t="shared" si="25"/>
        <v>3.8055208333333335</v>
      </c>
      <c r="L54" s="140">
        <f>(3.87+0.0012*B54)*$N$14</f>
        <v>3.9380086900181754</v>
      </c>
      <c r="M54" s="134">
        <f>(3.88+0.001*B54)+$O$14</f>
        <v>3.9404791666666665</v>
      </c>
      <c r="N54" s="113"/>
      <c r="O54" s="140">
        <f t="shared" si="27"/>
        <v>-0.10800869001817537</v>
      </c>
      <c r="P54" s="113"/>
      <c r="Q54" s="134">
        <f t="shared" si="28"/>
        <v>-0.11047916666666646</v>
      </c>
      <c r="R54" s="91"/>
      <c r="S54" s="140">
        <f t="shared" si="7"/>
        <v>1.3518602134916327E-2</v>
      </c>
      <c r="T54" s="113"/>
      <c r="U54" s="152">
        <f t="shared" si="8"/>
        <v>1.3254165367597383E-2</v>
      </c>
      <c r="W54" s="209">
        <f t="shared" si="9"/>
        <v>8.8673611111109562E-3</v>
      </c>
      <c r="X54" s="100">
        <f t="shared" si="10"/>
        <v>1.9160161046373497E-4</v>
      </c>
      <c r="Y54" s="111">
        <f t="shared" si="11"/>
        <v>2.6609765625002017E-4</v>
      </c>
    </row>
    <row r="55" spans="2:25" ht="15.6" x14ac:dyDescent="0.3">
      <c r="B55" s="128">
        <v>37</v>
      </c>
      <c r="C55" s="107">
        <v>1988</v>
      </c>
      <c r="D55" s="108" t="s">
        <v>1</v>
      </c>
      <c r="E55" s="159">
        <v>4.25</v>
      </c>
      <c r="F55" s="110">
        <f t="shared" si="14"/>
        <v>3.8066666666666666</v>
      </c>
      <c r="G55" s="109">
        <f t="shared" si="20"/>
        <v>3.8745833333333337</v>
      </c>
      <c r="H55" s="141">
        <f t="shared" si="26"/>
        <v>1.0968921389396709</v>
      </c>
      <c r="I55" s="135">
        <f t="shared" si="19"/>
        <v>0.37541666666666629</v>
      </c>
      <c r="J55" s="141">
        <f t="shared" ref="J55:J66" si="29">E55/N3</f>
        <v>3.7590043782887985</v>
      </c>
      <c r="K55" s="135">
        <f t="shared" ref="K55:K66" si="30">E55-O3</f>
        <v>3.7322916666666668</v>
      </c>
      <c r="L55" s="141">
        <f>(3.87+0.0012*B55)*$N$3</f>
        <v>4.4256931692038233</v>
      </c>
      <c r="M55" s="135">
        <f>(3.88+0.001*B55)+$O$3</f>
        <v>4.434708333333333</v>
      </c>
      <c r="N55" s="109"/>
      <c r="O55" s="141">
        <f t="shared" si="27"/>
        <v>-0.17569316920382327</v>
      </c>
      <c r="P55" s="109"/>
      <c r="Q55" s="135">
        <f t="shared" si="28"/>
        <v>-0.18470833333333303</v>
      </c>
      <c r="R55" s="88"/>
      <c r="S55" s="141">
        <f t="shared" si="7"/>
        <v>3.3839075167355584E-2</v>
      </c>
      <c r="T55" s="109"/>
      <c r="U55" s="153">
        <f t="shared" si="8"/>
        <v>3.5855657916787145E-2</v>
      </c>
      <c r="W55" s="209">
        <f t="shared" si="9"/>
        <v>0.10616736111111161</v>
      </c>
      <c r="X55" s="100">
        <f t="shared" si="10"/>
        <v>0.25152883274715332</v>
      </c>
      <c r="Y55" s="111">
        <f t="shared" si="11"/>
        <v>0.26065279340277825</v>
      </c>
    </row>
    <row r="56" spans="2:25" ht="15.6" x14ac:dyDescent="0.3">
      <c r="B56" s="126">
        <v>38</v>
      </c>
      <c r="C56" s="89"/>
      <c r="D56" s="93" t="s">
        <v>2</v>
      </c>
      <c r="E56" s="157">
        <v>3.34</v>
      </c>
      <c r="F56" s="101">
        <f t="shared" si="14"/>
        <v>3.51</v>
      </c>
      <c r="G56" s="100">
        <f t="shared" si="20"/>
        <v>3.8329166666666663</v>
      </c>
      <c r="H56" s="139">
        <f t="shared" si="26"/>
        <v>0.87139906511577347</v>
      </c>
      <c r="I56" s="133">
        <f t="shared" si="19"/>
        <v>-0.49291666666666645</v>
      </c>
      <c r="J56" s="139">
        <f t="shared" si="29"/>
        <v>3.8143393923179572</v>
      </c>
      <c r="K56" s="133">
        <f t="shared" si="30"/>
        <v>3.8276041666666663</v>
      </c>
      <c r="L56" s="139">
        <f>(3.87+0.0012*B56)*$N$4</f>
        <v>3.4286681532165635</v>
      </c>
      <c r="M56" s="133">
        <f>(3.88+0.001*B56)+$O$4</f>
        <v>3.4303958333333329</v>
      </c>
      <c r="N56" s="100"/>
      <c r="O56" s="139">
        <f t="shared" si="27"/>
        <v>-8.8668153216563628E-2</v>
      </c>
      <c r="P56" s="100"/>
      <c r="Q56" s="133">
        <f t="shared" si="28"/>
        <v>-9.0395833333333009E-2</v>
      </c>
      <c r="R56" s="89"/>
      <c r="S56" s="139">
        <f t="shared" si="7"/>
        <v>9.3952284957220331E-3</v>
      </c>
      <c r="T56" s="100"/>
      <c r="U56" s="151">
        <f t="shared" si="8"/>
        <v>9.0332484115788481E-3</v>
      </c>
      <c r="W56" s="209">
        <f t="shared" si="9"/>
        <v>0.34125069444444373</v>
      </c>
      <c r="X56" s="100">
        <f t="shared" si="10"/>
        <v>0.24551877683126133</v>
      </c>
      <c r="Y56" s="111">
        <f t="shared" si="11"/>
        <v>0.24380963585069415</v>
      </c>
    </row>
    <row r="57" spans="2:25" ht="15.6" x14ac:dyDescent="0.3">
      <c r="B57" s="126">
        <v>39</v>
      </c>
      <c r="C57" s="89"/>
      <c r="D57" s="93" t="s">
        <v>3</v>
      </c>
      <c r="E57" s="157">
        <v>2.94</v>
      </c>
      <c r="F57" s="101">
        <f t="shared" si="14"/>
        <v>3.5799999999999996</v>
      </c>
      <c r="G57" s="100">
        <f t="shared" si="20"/>
        <v>3.8462500000000008</v>
      </c>
      <c r="H57" s="139">
        <f t="shared" si="26"/>
        <v>0.76438089047773783</v>
      </c>
      <c r="I57" s="133">
        <f t="shared" si="19"/>
        <v>-0.90625000000000089</v>
      </c>
      <c r="J57" s="139">
        <f t="shared" si="29"/>
        <v>3.6401956095921841</v>
      </c>
      <c r="K57" s="133">
        <f t="shared" si="30"/>
        <v>3.6980208333333335</v>
      </c>
      <c r="L57" s="139">
        <f>(3.87+0.0012*B57)*$N$5</f>
        <v>3.1633992331774952</v>
      </c>
      <c r="M57" s="133">
        <f>(3.88+0.001*B57)+$O$5</f>
        <v>3.1609791666666665</v>
      </c>
      <c r="N57" s="100"/>
      <c r="O57" s="139">
        <f t="shared" si="27"/>
        <v>-0.22339923317749522</v>
      </c>
      <c r="P57" s="100"/>
      <c r="Q57" s="133">
        <f t="shared" si="28"/>
        <v>-0.2209791666666665</v>
      </c>
      <c r="R57" s="89"/>
      <c r="S57" s="139">
        <f t="shared" si="7"/>
        <v>5.3666386564296682E-2</v>
      </c>
      <c r="T57" s="100"/>
      <c r="U57" s="151">
        <f t="shared" si="8"/>
        <v>5.0907424048152933E-2</v>
      </c>
      <c r="W57" s="209">
        <f t="shared" si="9"/>
        <v>0.96858402777777641</v>
      </c>
      <c r="X57" s="100">
        <f t="shared" si="10"/>
        <v>0.57876708785769981</v>
      </c>
      <c r="Y57" s="111">
        <f t="shared" si="11"/>
        <v>0.58245516015624921</v>
      </c>
    </row>
    <row r="58" spans="2:25" ht="15.6" x14ac:dyDescent="0.3">
      <c r="B58" s="126">
        <v>40</v>
      </c>
      <c r="C58" s="89"/>
      <c r="D58" s="93" t="s">
        <v>4</v>
      </c>
      <c r="E58" s="157">
        <v>4.46</v>
      </c>
      <c r="F58" s="101">
        <f t="shared" si="14"/>
        <v>4.1466666666666674</v>
      </c>
      <c r="G58" s="100">
        <f t="shared" si="20"/>
        <v>3.8554166666666667</v>
      </c>
      <c r="H58" s="139">
        <f t="shared" si="26"/>
        <v>1.1568140062682373</v>
      </c>
      <c r="I58" s="133">
        <f t="shared" si="19"/>
        <v>0.60458333333333325</v>
      </c>
      <c r="J58" s="139">
        <f t="shared" si="29"/>
        <v>3.9980965244893234</v>
      </c>
      <c r="K58" s="133">
        <f t="shared" si="30"/>
        <v>4.008541666666666</v>
      </c>
      <c r="L58" s="139">
        <f>(3.87+0.0012*B58)*$N$6</f>
        <v>4.3706498562417746</v>
      </c>
      <c r="M58" s="133">
        <f>(3.88+0.001*B58)+$O$6</f>
        <v>4.371458333333333</v>
      </c>
      <c r="N58" s="100"/>
      <c r="O58" s="139">
        <f t="shared" si="27"/>
        <v>8.9350143758225364E-2</v>
      </c>
      <c r="P58" s="100"/>
      <c r="Q58" s="133">
        <f t="shared" si="28"/>
        <v>8.8541666666666963E-2</v>
      </c>
      <c r="R58" s="89"/>
      <c r="S58" s="139">
        <f t="shared" si="7"/>
        <v>6.5754762132058829E-3</v>
      </c>
      <c r="T58" s="100"/>
      <c r="U58" s="151">
        <f t="shared" si="8"/>
        <v>7.0382195487317129E-3</v>
      </c>
      <c r="W58" s="209">
        <f t="shared" si="9"/>
        <v>0.28711736111111186</v>
      </c>
      <c r="X58" s="100">
        <f t="shared" si="10"/>
        <v>0.19934723857316244</v>
      </c>
      <c r="Y58" s="111">
        <f t="shared" si="11"/>
        <v>0.20006983506944481</v>
      </c>
    </row>
    <row r="59" spans="2:25" ht="15.6" x14ac:dyDescent="0.3">
      <c r="B59" s="126">
        <v>41</v>
      </c>
      <c r="C59" s="89"/>
      <c r="D59" s="93" t="s">
        <v>5</v>
      </c>
      <c r="E59" s="157">
        <v>5.04</v>
      </c>
      <c r="F59" s="101">
        <f t="shared" si="14"/>
        <v>4.626666666666666</v>
      </c>
      <c r="G59" s="100">
        <f t="shared" si="20"/>
        <v>3.842916666666667</v>
      </c>
      <c r="H59" s="139">
        <f t="shared" si="26"/>
        <v>1.3115038490729696</v>
      </c>
      <c r="I59" s="133">
        <f t="shared" si="19"/>
        <v>1.1970833333333331</v>
      </c>
      <c r="J59" s="139">
        <f t="shared" si="29"/>
        <v>4.0048584320092191</v>
      </c>
      <c r="K59" s="133">
        <f t="shared" si="30"/>
        <v>4.0247916666666672</v>
      </c>
      <c r="L59" s="139">
        <f>(3.87+0.0012*B59)*$N$7</f>
        <v>4.9322013088213277</v>
      </c>
      <c r="M59" s="133">
        <f>(3.88+0.001*B59)+$O$7</f>
        <v>4.9362083333333331</v>
      </c>
      <c r="N59" s="100"/>
      <c r="O59" s="139">
        <f t="shared" si="27"/>
        <v>0.10779869117867236</v>
      </c>
      <c r="P59" s="100"/>
      <c r="Q59" s="133">
        <f t="shared" si="28"/>
        <v>0.10379166666666695</v>
      </c>
      <c r="R59" s="89"/>
      <c r="S59" s="139">
        <f t="shared" si="7"/>
        <v>9.9077850806346939E-3</v>
      </c>
      <c r="T59" s="100"/>
      <c r="U59" s="151">
        <f t="shared" si="8"/>
        <v>9.829552014009495E-3</v>
      </c>
      <c r="W59" s="209">
        <f t="shared" si="9"/>
        <v>1.2450840277777795</v>
      </c>
      <c r="X59" s="100">
        <f t="shared" si="10"/>
        <v>1.0161338397838771</v>
      </c>
      <c r="Y59" s="111">
        <f t="shared" si="11"/>
        <v>1.0242283350694454</v>
      </c>
    </row>
    <row r="60" spans="2:25" ht="15.6" x14ac:dyDescent="0.3">
      <c r="B60" s="160">
        <v>42</v>
      </c>
      <c r="C60" s="161"/>
      <c r="D60" s="162" t="s">
        <v>6</v>
      </c>
      <c r="E60" s="163">
        <v>4.38</v>
      </c>
      <c r="F60" s="164">
        <f t="shared" si="14"/>
        <v>4.2700000000000005</v>
      </c>
      <c r="G60" s="165">
        <f t="shared" si="20"/>
        <v>3.8366666666666664</v>
      </c>
      <c r="H60" s="166">
        <f>E60/G60</f>
        <v>1.1416159860990442</v>
      </c>
      <c r="I60" s="167">
        <f t="shared" si="19"/>
        <v>0.54333333333333345</v>
      </c>
      <c r="J60" s="166">
        <f t="shared" si="29"/>
        <v>3.9394526087466781</v>
      </c>
      <c r="K60" s="167">
        <f t="shared" si="30"/>
        <v>3.9436458333333331</v>
      </c>
      <c r="L60" s="166">
        <f>(3.87+0.0012*B60)*$N$8</f>
        <v>4.3588167457262541</v>
      </c>
      <c r="M60" s="167">
        <f>(3.88+0.001*B60)+$O$8</f>
        <v>4.3583541666666665</v>
      </c>
      <c r="N60" s="165"/>
      <c r="O60" s="166">
        <f t="shared" si="27"/>
        <v>2.1183254273745789E-2</v>
      </c>
      <c r="P60" s="165"/>
      <c r="Q60" s="167">
        <f t="shared" si="28"/>
        <v>2.1645833333333364E-2</v>
      </c>
      <c r="R60" s="161"/>
      <c r="S60" s="166">
        <f t="shared" si="7"/>
        <v>1.6698895467787901E-4</v>
      </c>
      <c r="T60" s="165"/>
      <c r="U60" s="168">
        <f t="shared" si="8"/>
        <v>2.8894097523630258E-4</v>
      </c>
      <c r="W60" s="209">
        <f t="shared" si="9"/>
        <v>0.20778402777777838</v>
      </c>
      <c r="X60" s="100">
        <f t="shared" si="10"/>
        <v>0.18892069122650626</v>
      </c>
      <c r="Y60" s="111">
        <f t="shared" si="11"/>
        <v>0.18851878515625053</v>
      </c>
    </row>
    <row r="61" spans="2:25" ht="15.6" x14ac:dyDescent="0.3">
      <c r="B61" s="126">
        <v>43</v>
      </c>
      <c r="C61" s="89"/>
      <c r="D61" s="93" t="s">
        <v>7</v>
      </c>
      <c r="E61" s="157">
        <v>3.39</v>
      </c>
      <c r="F61" s="101">
        <f t="shared" si="14"/>
        <v>3.8733333333333331</v>
      </c>
      <c r="G61" s="100">
        <f t="shared" si="20"/>
        <v>3.8554166666666667</v>
      </c>
      <c r="H61" s="139">
        <f t="shared" ref="H61:H72" si="31">E61/G61</f>
        <v>0.87928239489895166</v>
      </c>
      <c r="I61" s="133">
        <f t="shared" si="19"/>
        <v>-0.46541666666666659</v>
      </c>
      <c r="J61" s="139">
        <f t="shared" si="29"/>
        <v>3.2008252240453201</v>
      </c>
      <c r="K61" s="133">
        <f t="shared" si="30"/>
        <v>3.1561458333333334</v>
      </c>
      <c r="L61" s="139">
        <f>(3.87+0.0012*B61)*$N$9</f>
        <v>4.1533739174919004</v>
      </c>
      <c r="M61" s="133">
        <f>(3.88+0.001*B61)+$O$9</f>
        <v>4.1568541666666663</v>
      </c>
      <c r="N61" s="100"/>
      <c r="O61" s="139">
        <f t="shared" si="27"/>
        <v>-0.76337391749190031</v>
      </c>
      <c r="P61" s="100"/>
      <c r="Q61" s="133">
        <f t="shared" si="28"/>
        <v>-0.76685416666666617</v>
      </c>
      <c r="R61" s="89"/>
      <c r="S61" s="139">
        <f t="shared" si="7"/>
        <v>0.59542018917574191</v>
      </c>
      <c r="T61" s="100"/>
      <c r="U61" s="151">
        <f t="shared" si="8"/>
        <v>0.59521492882245797</v>
      </c>
      <c r="W61" s="209">
        <f t="shared" si="9"/>
        <v>0.28533402777777683</v>
      </c>
      <c r="X61" s="100">
        <f t="shared" si="10"/>
        <v>5.2535963830861968E-2</v>
      </c>
      <c r="Y61" s="111">
        <f t="shared" si="11"/>
        <v>5.4143472656250177E-2</v>
      </c>
    </row>
    <row r="62" spans="2:25" ht="15.6" x14ac:dyDescent="0.3">
      <c r="B62" s="126">
        <v>44</v>
      </c>
      <c r="C62" s="89"/>
      <c r="D62" s="93" t="s">
        <v>8</v>
      </c>
      <c r="E62" s="157">
        <v>3.85</v>
      </c>
      <c r="F62" s="101">
        <f>AVERAGE(E61:E63)</f>
        <v>3.75</v>
      </c>
      <c r="G62" s="100">
        <f t="shared" si="20"/>
        <v>3.8741666666666661</v>
      </c>
      <c r="H62" s="139">
        <f t="shared" si="31"/>
        <v>0.99376209937621007</v>
      </c>
      <c r="I62" s="133">
        <f t="shared" si="19"/>
        <v>-2.4166666666666003E-2</v>
      </c>
      <c r="J62" s="139">
        <f t="shared" si="29"/>
        <v>3.8953400431791456</v>
      </c>
      <c r="K62" s="133">
        <f t="shared" si="30"/>
        <v>3.8969791666666667</v>
      </c>
      <c r="L62" s="139">
        <f>(3.87+0.0012*B62)*$N$10</f>
        <v>3.8771403350127058</v>
      </c>
      <c r="M62" s="133">
        <f>(3.88+0.001*B62)+$O$10</f>
        <v>3.8770208333333334</v>
      </c>
      <c r="N62" s="100"/>
      <c r="O62" s="139">
        <f t="shared" si="27"/>
        <v>-2.7140335012705741E-2</v>
      </c>
      <c r="P62" s="100"/>
      <c r="Q62" s="133">
        <f t="shared" si="28"/>
        <v>-2.7020833333333272E-2</v>
      </c>
      <c r="R62" s="89"/>
      <c r="S62" s="139">
        <f>POWER(O62-$O$79,2)</f>
        <v>1.2532427429569114E-3</v>
      </c>
      <c r="T62" s="100"/>
      <c r="U62" s="151">
        <f t="shared" si="8"/>
        <v>1.0028877344955642E-3</v>
      </c>
      <c r="W62" s="209">
        <f t="shared" si="9"/>
        <v>5.5006944444443194E-3</v>
      </c>
      <c r="X62" s="100">
        <f t="shared" si="10"/>
        <v>2.2114758688282481E-3</v>
      </c>
      <c r="Y62" s="111">
        <f t="shared" si="11"/>
        <v>2.2227296006943711E-3</v>
      </c>
    </row>
    <row r="63" spans="2:25" ht="15.6" x14ac:dyDescent="0.3">
      <c r="B63" s="126">
        <v>45</v>
      </c>
      <c r="C63" s="89"/>
      <c r="D63" s="93" t="s">
        <v>9</v>
      </c>
      <c r="E63" s="157">
        <v>4.01</v>
      </c>
      <c r="F63" s="101">
        <f t="shared" si="14"/>
        <v>3.7333333333333329</v>
      </c>
      <c r="G63" s="100">
        <f t="shared" si="20"/>
        <v>3.8941666666666666</v>
      </c>
      <c r="H63" s="139">
        <f t="shared" si="31"/>
        <v>1.0297453456023968</v>
      </c>
      <c r="I63" s="133">
        <f t="shared" si="19"/>
        <v>0.11583333333333323</v>
      </c>
      <c r="J63" s="139">
        <f t="shared" si="29"/>
        <v>3.9921155741985124</v>
      </c>
      <c r="K63" s="133">
        <f t="shared" si="30"/>
        <v>3.9932291666666666</v>
      </c>
      <c r="L63" s="139">
        <f>(3.87+0.0012*B63)*$N$11</f>
        <v>3.9415792723283385</v>
      </c>
      <c r="M63" s="133">
        <f>(3.88+0.001*B63)+$O$11</f>
        <v>3.941770833333333</v>
      </c>
      <c r="N63" s="100"/>
      <c r="O63" s="139">
        <f t="shared" si="27"/>
        <v>6.8420727671661297E-2</v>
      </c>
      <c r="P63" s="100"/>
      <c r="Q63" s="133">
        <f t="shared" si="28"/>
        <v>6.8229166666666785E-2</v>
      </c>
      <c r="R63" s="89"/>
      <c r="S63" s="139">
        <f t="shared" si="7"/>
        <v>3.619212848236015E-3</v>
      </c>
      <c r="T63" s="100"/>
      <c r="U63" s="151">
        <f t="shared" si="8"/>
        <v>4.0426195053289028E-3</v>
      </c>
      <c r="W63" s="209">
        <f t="shared" si="9"/>
        <v>7.3673611111112038E-3</v>
      </c>
      <c r="X63" s="100">
        <f t="shared" si="10"/>
        <v>3.0319883592891183E-4</v>
      </c>
      <c r="Y63" s="111">
        <f t="shared" si="11"/>
        <v>3.0990668402779256E-4</v>
      </c>
    </row>
    <row r="64" spans="2:25" ht="15.6" x14ac:dyDescent="0.3">
      <c r="B64" s="126">
        <v>46</v>
      </c>
      <c r="C64" s="89"/>
      <c r="D64" s="93" t="s">
        <v>10</v>
      </c>
      <c r="E64" s="157">
        <v>3.34</v>
      </c>
      <c r="F64" s="101">
        <f t="shared" si="14"/>
        <v>3.5066666666666664</v>
      </c>
      <c r="G64" s="100">
        <f>(0.5*E58+SUM(E59:E69)+0.5*E70)/$K$13</f>
        <v>3.9158333333333331</v>
      </c>
      <c r="H64" s="139">
        <f t="shared" si="31"/>
        <v>0.85294743562460096</v>
      </c>
      <c r="I64" s="133">
        <f t="shared" si="19"/>
        <v>-0.5758333333333332</v>
      </c>
      <c r="J64" s="139">
        <f t="shared" si="29"/>
        <v>3.931118571254594</v>
      </c>
      <c r="K64" s="133">
        <f t="shared" si="30"/>
        <v>3.9321874999999995</v>
      </c>
      <c r="L64" s="139">
        <f>(3.87+0.0012*B64)*$N$12</f>
        <v>3.3349713986917382</v>
      </c>
      <c r="M64" s="133">
        <f>(3.88+0.001*B64)+$O$12</f>
        <v>3.3338125000000001</v>
      </c>
      <c r="N64" s="100"/>
      <c r="O64" s="139">
        <f t="shared" si="27"/>
        <v>5.0286013082616599E-3</v>
      </c>
      <c r="P64" s="100"/>
      <c r="Q64" s="133">
        <f t="shared" si="28"/>
        <v>6.1874999999997904E-3</v>
      </c>
      <c r="R64" s="89"/>
      <c r="S64" s="139">
        <f t="shared" si="7"/>
        <v>1.0447325935774665E-5</v>
      </c>
      <c r="T64" s="100"/>
      <c r="U64" s="151">
        <f t="shared" si="8"/>
        <v>2.3713861159327713E-6</v>
      </c>
      <c r="W64" s="209">
        <f t="shared" si="9"/>
        <v>0.34125069444444373</v>
      </c>
      <c r="X64" s="100">
        <f t="shared" si="10"/>
        <v>0.34715106380404687</v>
      </c>
      <c r="Y64" s="111">
        <f t="shared" si="11"/>
        <v>0.34851804210069348</v>
      </c>
    </row>
    <row r="65" spans="1:26" ht="15.6" x14ac:dyDescent="0.3">
      <c r="B65" s="126">
        <v>47</v>
      </c>
      <c r="C65" s="89"/>
      <c r="D65" s="93" t="s">
        <v>11</v>
      </c>
      <c r="E65" s="157">
        <v>3.17</v>
      </c>
      <c r="F65" s="101">
        <f t="shared" si="14"/>
        <v>3.4733333333333332</v>
      </c>
      <c r="G65" s="100">
        <f t="shared" si="20"/>
        <v>3.9266666666666672</v>
      </c>
      <c r="H65" s="139">
        <f t="shared" si="31"/>
        <v>0.80730050933786068</v>
      </c>
      <c r="I65" s="133">
        <f t="shared" si="19"/>
        <v>-0.75666666666666726</v>
      </c>
      <c r="J65" s="139">
        <f t="shared" si="29"/>
        <v>3.8593246483902766</v>
      </c>
      <c r="K65" s="133">
        <f t="shared" si="30"/>
        <v>3.8728125000000002</v>
      </c>
      <c r="L65" s="139">
        <f>(3.87+0.0012*B65)*$N$13</f>
        <v>3.2250948375621911</v>
      </c>
      <c r="M65" s="133">
        <f>(3.88+0.001*B65)+$O$13</f>
        <v>3.2241874999999998</v>
      </c>
      <c r="N65" s="100"/>
      <c r="O65" s="139">
        <f t="shared" si="27"/>
        <v>-5.5094837562191135E-2</v>
      </c>
      <c r="P65" s="100"/>
      <c r="Q65" s="133">
        <f t="shared" si="28"/>
        <v>-5.4187499999999833E-2</v>
      </c>
      <c r="R65" s="89"/>
      <c r="S65" s="139">
        <f t="shared" si="7"/>
        <v>4.0139410752332832E-3</v>
      </c>
      <c r="T65" s="100"/>
      <c r="U65" s="151">
        <f t="shared" si="8"/>
        <v>3.4615653965325895E-3</v>
      </c>
      <c r="W65" s="209">
        <f t="shared" si="9"/>
        <v>0.56876736111111004</v>
      </c>
      <c r="X65" s="100">
        <f t="shared" si="10"/>
        <v>0.48870142224747609</v>
      </c>
      <c r="Y65" s="111">
        <f t="shared" si="11"/>
        <v>0.48997083376736039</v>
      </c>
    </row>
    <row r="66" spans="1:26" ht="16.2" thickBot="1" x14ac:dyDescent="0.35">
      <c r="B66" s="127">
        <v>48</v>
      </c>
      <c r="C66" s="91"/>
      <c r="D66" s="112" t="s">
        <v>12</v>
      </c>
      <c r="E66" s="158">
        <v>3.91</v>
      </c>
      <c r="F66" s="114">
        <f t="shared" si="14"/>
        <v>3.9</v>
      </c>
      <c r="G66" s="113">
        <f t="shared" si="20"/>
        <v>3.9291666666666658</v>
      </c>
      <c r="H66" s="140">
        <f t="shared" si="31"/>
        <v>0.99512195121951241</v>
      </c>
      <c r="I66" s="134">
        <f t="shared" si="19"/>
        <v>-1.9166666666665666E-2</v>
      </c>
      <c r="J66" s="140">
        <f t="shared" si="29"/>
        <v>3.8853677592898821</v>
      </c>
      <c r="K66" s="134">
        <f t="shared" si="30"/>
        <v>3.8855208333333335</v>
      </c>
      <c r="L66" s="140">
        <f>(3.87+0.0012*B66)*$N$14</f>
        <v>3.9524999823457487</v>
      </c>
      <c r="M66" s="134">
        <f>(3.88+0.001*B66)+$O$14</f>
        <v>3.9524791666666665</v>
      </c>
      <c r="N66" s="113"/>
      <c r="O66" s="140">
        <f t="shared" si="27"/>
        <v>-4.2499982345748588E-2</v>
      </c>
      <c r="P66" s="113"/>
      <c r="Q66" s="134">
        <f t="shared" si="28"/>
        <v>-4.2479166666666401E-2</v>
      </c>
      <c r="R66" s="91"/>
      <c r="S66" s="140">
        <f t="shared" si="7"/>
        <v>2.5766604409436463E-3</v>
      </c>
      <c r="T66" s="113"/>
      <c r="U66" s="152">
        <f t="shared" si="8"/>
        <v>2.2209292564862862E-3</v>
      </c>
      <c r="W66" s="209">
        <f t="shared" si="9"/>
        <v>2.0069444444441911E-4</v>
      </c>
      <c r="X66" s="100">
        <f t="shared" si="10"/>
        <v>8.0277677737056012E-4</v>
      </c>
      <c r="Y66" s="111">
        <f t="shared" si="11"/>
        <v>8.0159765625003557E-4</v>
      </c>
    </row>
    <row r="67" spans="1:26" ht="15.6" x14ac:dyDescent="0.3">
      <c r="B67" s="128">
        <v>49</v>
      </c>
      <c r="C67" s="107">
        <v>1989</v>
      </c>
      <c r="D67" s="108" t="s">
        <v>1</v>
      </c>
      <c r="E67" s="159">
        <v>4.62</v>
      </c>
      <c r="F67" s="110">
        <f t="shared" si="14"/>
        <v>3.9833333333333338</v>
      </c>
      <c r="G67" s="109">
        <f t="shared" si="20"/>
        <v>3.9716666666666662</v>
      </c>
      <c r="H67" s="141">
        <f t="shared" si="31"/>
        <v>1.1632396139320187</v>
      </c>
      <c r="I67" s="135">
        <f t="shared" si="19"/>
        <v>0.64833333333333387</v>
      </c>
      <c r="J67" s="141">
        <f t="shared" ref="J67:J78" si="32">E67/N3</f>
        <v>4.0862588771045294</v>
      </c>
      <c r="K67" s="135">
        <f t="shared" ref="K67:K78" si="33">E67-O3</f>
        <v>4.1022916666666669</v>
      </c>
      <c r="L67" s="141">
        <f>(3.87+0.0012*B67)*$N$3</f>
        <v>4.4419740760187976</v>
      </c>
      <c r="M67" s="135">
        <f>(3.88+0.001*B67)+$O$3</f>
        <v>4.4467083333333335</v>
      </c>
      <c r="N67" s="109"/>
      <c r="O67" s="141">
        <f t="shared" si="27"/>
        <v>0.17802592398120254</v>
      </c>
      <c r="P67" s="109"/>
      <c r="Q67" s="135">
        <f t="shared" si="28"/>
        <v>0.17329166666666662</v>
      </c>
      <c r="R67" s="88"/>
      <c r="S67" s="141">
        <f t="shared" si="7"/>
        <v>2.8820185893859041E-2</v>
      </c>
      <c r="T67" s="109"/>
      <c r="U67" s="153">
        <f t="shared" si="8"/>
        <v>2.8440831527898298E-2</v>
      </c>
      <c r="W67" s="209">
        <f t="shared" si="9"/>
        <v>0.48418402777777897</v>
      </c>
      <c r="X67" s="100">
        <f t="shared" si="10"/>
        <v>0.26812451317996605</v>
      </c>
      <c r="Y67" s="111">
        <f t="shared" si="11"/>
        <v>0.27304979340277874</v>
      </c>
    </row>
    <row r="68" spans="1:26" ht="15.6" x14ac:dyDescent="0.3">
      <c r="B68" s="126">
        <v>50</v>
      </c>
      <c r="C68" s="89"/>
      <c r="D68" s="93" t="s">
        <v>2</v>
      </c>
      <c r="E68" s="157">
        <v>3.42</v>
      </c>
      <c r="F68" s="101">
        <f t="shared" si="14"/>
        <v>3.793333333333333</v>
      </c>
      <c r="G68" s="100">
        <f t="shared" si="20"/>
        <v>4.0229166666666663</v>
      </c>
      <c r="H68" s="139">
        <f t="shared" si="31"/>
        <v>0.8501294665976179</v>
      </c>
      <c r="I68" s="133">
        <f t="shared" si="19"/>
        <v>-0.60291666666666632</v>
      </c>
      <c r="J68" s="139">
        <f t="shared" si="32"/>
        <v>3.9057008148884473</v>
      </c>
      <c r="K68" s="133">
        <f t="shared" si="33"/>
        <v>3.9076041666666663</v>
      </c>
      <c r="L68" s="139">
        <f>(3.87+0.0012*B68)*$N$4</f>
        <v>3.4412774139700417</v>
      </c>
      <c r="M68" s="133">
        <f>(3.88+0.001*B68)+$O$4</f>
        <v>3.4423958333333333</v>
      </c>
      <c r="N68" s="100"/>
      <c r="O68" s="139">
        <f t="shared" si="27"/>
        <v>-2.1277413970041792E-2</v>
      </c>
      <c r="P68" s="100"/>
      <c r="Q68" s="133">
        <f t="shared" si="28"/>
        <v>-2.2395833333333393E-2</v>
      </c>
      <c r="R68" s="89"/>
      <c r="S68" s="139">
        <f t="shared" si="7"/>
        <v>8.7250807268950082E-4</v>
      </c>
      <c r="T68" s="100"/>
      <c r="U68" s="151">
        <f t="shared" si="8"/>
        <v>7.3134563380112595E-4</v>
      </c>
      <c r="W68" s="209">
        <f t="shared" si="9"/>
        <v>0.2541840277777771</v>
      </c>
      <c r="X68" s="100">
        <f t="shared" si="10"/>
        <v>0.23318203036990418</v>
      </c>
      <c r="Y68" s="111">
        <f t="shared" si="11"/>
        <v>0.23210313585069373</v>
      </c>
    </row>
    <row r="69" spans="1:26" ht="15.6" x14ac:dyDescent="0.3">
      <c r="B69" s="126">
        <v>51</v>
      </c>
      <c r="C69" s="89"/>
      <c r="D69" s="93" t="s">
        <v>3</v>
      </c>
      <c r="E69" s="157">
        <v>3.34</v>
      </c>
      <c r="F69" s="101">
        <f t="shared" si="14"/>
        <v>3.78</v>
      </c>
      <c r="G69" s="100">
        <f t="shared" si="20"/>
        <v>4.0237500000000006</v>
      </c>
      <c r="H69" s="139">
        <f t="shared" si="31"/>
        <v>0.83007145076110578</v>
      </c>
      <c r="I69" s="133">
        <f t="shared" si="19"/>
        <v>-0.68375000000000075</v>
      </c>
      <c r="J69" s="139">
        <f t="shared" si="32"/>
        <v>4.1354603183802361</v>
      </c>
      <c r="K69" s="133">
        <f t="shared" si="33"/>
        <v>4.0980208333333339</v>
      </c>
      <c r="L69" s="139">
        <f>(3.87+0.0012*B69)*$N$5</f>
        <v>3.1750293774171183</v>
      </c>
      <c r="M69" s="133">
        <f>(3.88+0.001*B69)+$O$5</f>
        <v>3.172979166666666</v>
      </c>
      <c r="N69" s="100"/>
      <c r="O69" s="139">
        <f t="shared" si="27"/>
        <v>0.16497062258288153</v>
      </c>
      <c r="P69" s="100"/>
      <c r="Q69" s="133">
        <f t="shared" si="28"/>
        <v>0.16702083333333384</v>
      </c>
      <c r="R69" s="89"/>
      <c r="S69" s="139">
        <f t="shared" si="7"/>
        <v>2.455795794618611E-2</v>
      </c>
      <c r="T69" s="100"/>
      <c r="U69" s="151">
        <f t="shared" si="8"/>
        <v>2.6365076825930887E-2</v>
      </c>
      <c r="W69" s="209">
        <f t="shared" si="9"/>
        <v>0.34125069444444373</v>
      </c>
      <c r="X69" s="100">
        <f t="shared" si="10"/>
        <v>0.56120667814416036</v>
      </c>
      <c r="Y69" s="111">
        <f t="shared" si="11"/>
        <v>0.56428266015624984</v>
      </c>
    </row>
    <row r="70" spans="1:26" ht="15.6" x14ac:dyDescent="0.3">
      <c r="B70" s="126">
        <v>52</v>
      </c>
      <c r="C70" s="89"/>
      <c r="D70" s="93" t="s">
        <v>4</v>
      </c>
      <c r="E70" s="157">
        <v>4.58</v>
      </c>
      <c r="F70" s="101">
        <f t="shared" si="14"/>
        <v>4.3666666666666663</v>
      </c>
      <c r="G70" s="100">
        <f t="shared" si="20"/>
        <v>4.012083333333333</v>
      </c>
      <c r="H70" s="139">
        <f t="shared" si="31"/>
        <v>1.1415515629868107</v>
      </c>
      <c r="I70" s="133">
        <f t="shared" si="19"/>
        <v>0.56791666666666707</v>
      </c>
      <c r="J70" s="139">
        <f t="shared" si="32"/>
        <v>4.1056686282872423</v>
      </c>
      <c r="K70" s="133">
        <f t="shared" si="33"/>
        <v>4.128541666666667</v>
      </c>
      <c r="L70" s="139">
        <f>(3.87+0.0012*B70)*$N$6</f>
        <v>4.3867135004301057</v>
      </c>
      <c r="M70" s="133">
        <f>(3.88+0.001*B70)+$O$6</f>
        <v>4.3834583333333335</v>
      </c>
      <c r="N70" s="100"/>
      <c r="O70" s="139">
        <f t="shared" si="27"/>
        <v>0.19328649956989441</v>
      </c>
      <c r="P70" s="100"/>
      <c r="Q70" s="133">
        <f t="shared" si="28"/>
        <v>0.19654166666666661</v>
      </c>
      <c r="R70" s="89"/>
      <c r="S70" s="139">
        <f t="shared" si="7"/>
        <v>3.4234497047680987E-2</v>
      </c>
      <c r="T70" s="100"/>
      <c r="U70" s="151">
        <f t="shared" si="8"/>
        <v>3.6823344548731624E-2</v>
      </c>
      <c r="W70" s="209">
        <f t="shared" si="9"/>
        <v>0.43011736111111221</v>
      </c>
      <c r="X70" s="100">
        <f t="shared" si="10"/>
        <v>0.21394957342458315</v>
      </c>
      <c r="Y70" s="111">
        <f t="shared" si="11"/>
        <v>0.21094883506944526</v>
      </c>
    </row>
    <row r="71" spans="1:26" ht="15.6" x14ac:dyDescent="0.3">
      <c r="B71" s="126">
        <v>53</v>
      </c>
      <c r="C71" s="89"/>
      <c r="D71" s="93" t="s">
        <v>5</v>
      </c>
      <c r="E71" s="157">
        <v>5.18</v>
      </c>
      <c r="F71" s="101">
        <f t="shared" si="14"/>
        <v>4.6866666666666665</v>
      </c>
      <c r="G71" s="100">
        <f t="shared" si="20"/>
        <v>4.0083333333333337</v>
      </c>
      <c r="H71" s="139">
        <f t="shared" si="31"/>
        <v>1.2923076923076922</v>
      </c>
      <c r="I71" s="133">
        <f>E71-G71</f>
        <v>1.171666666666666</v>
      </c>
      <c r="J71" s="139">
        <f t="shared" si="32"/>
        <v>4.1161044995650302</v>
      </c>
      <c r="K71" s="133">
        <f t="shared" si="33"/>
        <v>4.164791666666666</v>
      </c>
      <c r="L71" s="139">
        <f>(3.87+0.0012*B71)*$N$7</f>
        <v>4.950323297708608</v>
      </c>
      <c r="M71" s="133">
        <f>(3.88+0.001*B71)+$O$7</f>
        <v>4.9482083333333335</v>
      </c>
      <c r="N71" s="100"/>
      <c r="O71" s="139">
        <f t="shared" si="27"/>
        <v>0.2296767022913917</v>
      </c>
      <c r="P71" s="100"/>
      <c r="Q71" s="133">
        <f t="shared" si="28"/>
        <v>0.23179166666666617</v>
      </c>
      <c r="R71" s="89"/>
      <c r="S71" s="139">
        <f t="shared" si="7"/>
        <v>4.9024986884523475E-2</v>
      </c>
      <c r="T71" s="100"/>
      <c r="U71" s="151">
        <f t="shared" si="8"/>
        <v>5.1594440902898081E-2</v>
      </c>
      <c r="W71" s="209">
        <f t="shared" si="9"/>
        <v>1.5771173611111122</v>
      </c>
      <c r="X71" s="100">
        <f t="shared" si="10"/>
        <v>1.0529974314313484</v>
      </c>
      <c r="Y71" s="111">
        <f t="shared" si="11"/>
        <v>1.0486613350694465</v>
      </c>
    </row>
    <row r="72" spans="1:26" ht="15.6" x14ac:dyDescent="0.3">
      <c r="A72" t="s">
        <v>68</v>
      </c>
      <c r="B72" s="160">
        <v>54</v>
      </c>
      <c r="C72" s="161"/>
      <c r="D72" s="162" t="s">
        <v>6</v>
      </c>
      <c r="E72" s="163">
        <v>4.3</v>
      </c>
      <c r="F72" s="164">
        <f t="shared" si="14"/>
        <v>4.6566666666666672</v>
      </c>
      <c r="G72" s="165">
        <f>(0.5*E66+SUM(E67:E77)+0.5*E78)/$K$13</f>
        <v>4.0079166666666657</v>
      </c>
      <c r="H72" s="166">
        <f t="shared" si="31"/>
        <v>1.0728765983990023</v>
      </c>
      <c r="I72" s="167">
        <f t="shared" si="19"/>
        <v>0.29208333333333414</v>
      </c>
      <c r="J72" s="166">
        <f t="shared" si="32"/>
        <v>3.8674991364408027</v>
      </c>
      <c r="K72" s="167">
        <f t="shared" si="33"/>
        <v>3.863645833333333</v>
      </c>
      <c r="L72" s="166">
        <f>(3.87+0.0012*B72)*$N$8</f>
        <v>4.3748270918997214</v>
      </c>
      <c r="M72" s="167">
        <f>(3.88+0.001*B72)+$O$8</f>
        <v>4.370354166666667</v>
      </c>
      <c r="N72" s="165"/>
      <c r="O72" s="166">
        <f t="shared" si="27"/>
        <v>-7.4827091899721587E-2</v>
      </c>
      <c r="P72" s="165"/>
      <c r="Q72" s="167">
        <f t="shared" si="28"/>
        <v>-7.0354166666667162E-2</v>
      </c>
      <c r="R72" s="161"/>
      <c r="S72" s="166">
        <f t="shared" si="7"/>
        <v>6.9036033727934666E-3</v>
      </c>
      <c r="T72" s="165"/>
      <c r="U72" s="168">
        <f t="shared" si="8"/>
        <v>5.6252604196808326E-3</v>
      </c>
      <c r="W72" s="209">
        <f t="shared" si="9"/>
        <v>0.14125069444444488</v>
      </c>
      <c r="X72" s="100">
        <f t="shared" si="10"/>
        <v>0.2030948188712384</v>
      </c>
      <c r="Y72" s="111">
        <f t="shared" si="11"/>
        <v>0.19908328515625096</v>
      </c>
    </row>
    <row r="73" spans="1:26" ht="15.6" x14ac:dyDescent="0.3">
      <c r="B73" s="126">
        <v>55</v>
      </c>
      <c r="C73" s="89"/>
      <c r="D73" s="93" t="s">
        <v>7</v>
      </c>
      <c r="E73" s="157">
        <v>4.49</v>
      </c>
      <c r="F73" s="101">
        <f t="shared" si="14"/>
        <v>4.2566666666666668</v>
      </c>
      <c r="G73" s="100"/>
      <c r="H73" s="139"/>
      <c r="I73" s="133"/>
      <c r="J73" s="139">
        <f t="shared" si="32"/>
        <v>4.2394410784553065</v>
      </c>
      <c r="K73" s="133">
        <f t="shared" si="33"/>
        <v>4.256145833333334</v>
      </c>
      <c r="L73" s="139">
        <f>(3.87+0.0012*B73)*$N$9</f>
        <v>4.1686249845083942</v>
      </c>
      <c r="M73" s="133">
        <f>(3.88+0.001*B73)+$O$9</f>
        <v>4.1688541666666667</v>
      </c>
      <c r="N73" s="100"/>
      <c r="O73" s="139">
        <f t="shared" si="27"/>
        <v>0.32137501549160596</v>
      </c>
      <c r="P73" s="100"/>
      <c r="Q73" s="133">
        <f t="shared" si="28"/>
        <v>0.32114583333333346</v>
      </c>
      <c r="R73" s="89"/>
      <c r="S73" s="139">
        <f t="shared" si="7"/>
        <v>9.8040490867936314E-2</v>
      </c>
      <c r="T73" s="100"/>
      <c r="U73" s="151">
        <f t="shared" si="8"/>
        <v>0.1001711510446808</v>
      </c>
      <c r="W73" s="209">
        <f t="shared" si="9"/>
        <v>0.32016736111111221</v>
      </c>
      <c r="X73" s="100">
        <f t="shared" si="10"/>
        <v>5.9759869162007477E-2</v>
      </c>
      <c r="Y73" s="111">
        <f t="shared" si="11"/>
        <v>5.9871972656250411E-2</v>
      </c>
    </row>
    <row r="74" spans="1:26" ht="15.6" x14ac:dyDescent="0.3">
      <c r="B74" s="126">
        <v>56</v>
      </c>
      <c r="C74" s="89"/>
      <c r="D74" s="93" t="s">
        <v>8</v>
      </c>
      <c r="E74" s="157">
        <v>3.98</v>
      </c>
      <c r="F74" s="101">
        <f t="shared" si="14"/>
        <v>4.123333333333334</v>
      </c>
      <c r="G74" s="100"/>
      <c r="H74" s="139"/>
      <c r="I74" s="133"/>
      <c r="J74" s="139">
        <f t="shared" si="32"/>
        <v>4.0268710056761039</v>
      </c>
      <c r="K74" s="133">
        <f t="shared" si="33"/>
        <v>4.026979166666667</v>
      </c>
      <c r="L74" s="139">
        <f>(3.87+0.0012*B74)*$N$10</f>
        <v>3.8913727253523058</v>
      </c>
      <c r="M74" s="133">
        <f>(3.88+0.001*B74)+$O$10</f>
        <v>3.8890208333333334</v>
      </c>
      <c r="N74" s="100"/>
      <c r="O74" s="139">
        <f t="shared" si="27"/>
        <v>8.8627274647694154E-2</v>
      </c>
      <c r="P74" s="100"/>
      <c r="Q74" s="133">
        <f t="shared" si="28"/>
        <v>9.0979166666666611E-2</v>
      </c>
      <c r="R74" s="89"/>
      <c r="S74" s="139">
        <f t="shared" si="7"/>
        <v>6.4587648380193437E-3</v>
      </c>
      <c r="T74" s="100"/>
      <c r="U74" s="151">
        <f t="shared" si="8"/>
        <v>7.4531446789399859E-3</v>
      </c>
      <c r="W74" s="209">
        <f t="shared" si="9"/>
        <v>3.1173611111111931E-3</v>
      </c>
      <c r="X74" s="100">
        <f t="shared" si="10"/>
        <v>1.0754425869296935E-3</v>
      </c>
      <c r="Y74" s="111">
        <f t="shared" si="11"/>
        <v>1.235229600694389E-3</v>
      </c>
    </row>
    <row r="75" spans="1:26" ht="15.6" x14ac:dyDescent="0.3">
      <c r="B75" s="126">
        <v>57</v>
      </c>
      <c r="C75" s="89"/>
      <c r="D75" s="93" t="s">
        <v>9</v>
      </c>
      <c r="E75" s="157">
        <v>3.9</v>
      </c>
      <c r="F75" s="101">
        <f t="shared" si="14"/>
        <v>3.6833333333333336</v>
      </c>
      <c r="G75" s="100"/>
      <c r="H75" s="139"/>
      <c r="I75" s="133"/>
      <c r="J75" s="139">
        <f t="shared" si="32"/>
        <v>3.8826061694199994</v>
      </c>
      <c r="K75" s="133">
        <f t="shared" si="33"/>
        <v>3.8832291666666663</v>
      </c>
      <c r="L75" s="139">
        <f>(3.87+0.0012*B75)*$N$11</f>
        <v>3.9560437834194517</v>
      </c>
      <c r="M75" s="133">
        <f>(3.88+0.001*B75)+$O$11</f>
        <v>3.9537708333333335</v>
      </c>
      <c r="N75" s="100"/>
      <c r="O75" s="139">
        <f t="shared" si="27"/>
        <v>-5.604378341945182E-2</v>
      </c>
      <c r="P75" s="100"/>
      <c r="Q75" s="133">
        <f t="shared" si="28"/>
        <v>-5.3770833333333545E-2</v>
      </c>
      <c r="R75" s="89"/>
      <c r="S75" s="139">
        <f t="shared" si="7"/>
        <v>4.1350837769421325E-3</v>
      </c>
      <c r="T75" s="100"/>
      <c r="U75" s="151">
        <f t="shared" si="8"/>
        <v>3.4127097831067078E-3</v>
      </c>
      <c r="W75" s="209">
        <f t="shared" si="9"/>
        <v>5.8402777777774573E-4</v>
      </c>
      <c r="X75" s="100">
        <f t="shared" si="10"/>
        <v>1.0161505724707381E-3</v>
      </c>
      <c r="Y75" s="111">
        <f t="shared" si="11"/>
        <v>8.7640668402782964E-4</v>
      </c>
    </row>
    <row r="76" spans="1:26" ht="15.6" x14ac:dyDescent="0.3">
      <c r="B76" s="126">
        <v>58</v>
      </c>
      <c r="C76" s="89"/>
      <c r="D76" s="93" t="s">
        <v>10</v>
      </c>
      <c r="E76" s="157">
        <v>3.17</v>
      </c>
      <c r="F76" s="101">
        <f t="shared" si="14"/>
        <v>3.44</v>
      </c>
      <c r="G76" s="100"/>
      <c r="H76" s="139"/>
      <c r="I76" s="133"/>
      <c r="J76" s="139">
        <f t="shared" si="32"/>
        <v>3.7310316978673841</v>
      </c>
      <c r="K76" s="133">
        <f t="shared" si="33"/>
        <v>3.7621874999999996</v>
      </c>
      <c r="L76" s="139">
        <f>(3.87+0.0012*B76)*$N$12</f>
        <v>3.3472060843488154</v>
      </c>
      <c r="M76" s="133">
        <f>(3.88+0.001*B76)+$O$12</f>
        <v>3.3458125000000001</v>
      </c>
      <c r="N76" s="100"/>
      <c r="O76" s="139">
        <f t="shared" si="27"/>
        <v>-0.17720608434881546</v>
      </c>
      <c r="P76" s="100"/>
      <c r="Q76" s="133">
        <f t="shared" si="28"/>
        <v>-0.17581250000000015</v>
      </c>
      <c r="R76" s="89"/>
      <c r="S76" s="139">
        <f t="shared" si="7"/>
        <v>3.4397977673402108E-2</v>
      </c>
      <c r="T76" s="100"/>
      <c r="U76" s="151">
        <f t="shared" si="8"/>
        <v>3.2565836663893795E-2</v>
      </c>
      <c r="W76" s="209">
        <f t="shared" si="9"/>
        <v>0.56876736111111004</v>
      </c>
      <c r="X76" s="100">
        <f t="shared" si="10"/>
        <v>0.33288351354855317</v>
      </c>
      <c r="Y76" s="111">
        <f t="shared" si="11"/>
        <v>0.33449354210069349</v>
      </c>
    </row>
    <row r="77" spans="1:26" ht="15.6" x14ac:dyDescent="0.3">
      <c r="B77" s="126">
        <v>59</v>
      </c>
      <c r="C77" s="89"/>
      <c r="D77" s="93" t="s">
        <v>11</v>
      </c>
      <c r="E77" s="157">
        <v>3.25</v>
      </c>
      <c r="F77" s="101">
        <f>AVERAGE(E76:E78)</f>
        <v>3.4133333333333336</v>
      </c>
      <c r="G77" s="100"/>
      <c r="H77" s="139"/>
      <c r="I77" s="133"/>
      <c r="J77" s="139">
        <f t="shared" si="32"/>
        <v>3.956720854027886</v>
      </c>
      <c r="K77" s="133">
        <f t="shared" si="33"/>
        <v>3.9528125000000003</v>
      </c>
      <c r="L77" s="139">
        <f>(3.87+0.0012*B77)*$N$13</f>
        <v>3.2369228137390698</v>
      </c>
      <c r="M77" s="133">
        <f>(3.88+0.001*B77)+$O$13</f>
        <v>3.2361874999999998</v>
      </c>
      <c r="N77" s="100"/>
      <c r="O77" s="139">
        <f t="shared" si="27"/>
        <v>1.307718626093024E-2</v>
      </c>
      <c r="P77" s="100"/>
      <c r="Q77" s="133">
        <f t="shared" si="28"/>
        <v>1.3812500000000227E-2</v>
      </c>
      <c r="R77" s="89"/>
      <c r="S77" s="139">
        <f t="shared" si="7"/>
        <v>2.3197252435866964E-5</v>
      </c>
      <c r="T77" s="100"/>
      <c r="U77" s="151">
        <f t="shared" si="8"/>
        <v>8.3995952088158703E-5</v>
      </c>
      <c r="W77" s="209">
        <f t="shared" si="9"/>
        <v>0.45450069444444341</v>
      </c>
      <c r="X77" s="100">
        <f t="shared" si="10"/>
        <v>0.47230411338676742</v>
      </c>
      <c r="Y77" s="111">
        <f t="shared" si="11"/>
        <v>0.4733153337673604</v>
      </c>
      <c r="Z77" s="95"/>
    </row>
    <row r="78" spans="1:26" ht="16.2" thickBot="1" x14ac:dyDescent="0.35">
      <c r="B78" s="126">
        <v>60</v>
      </c>
      <c r="C78" s="89"/>
      <c r="D78" s="93" t="s">
        <v>12</v>
      </c>
      <c r="E78" s="157">
        <v>3.82</v>
      </c>
      <c r="F78" s="101">
        <v>0</v>
      </c>
      <c r="G78" s="100"/>
      <c r="H78" s="139"/>
      <c r="I78" s="133"/>
      <c r="J78" s="139">
        <f t="shared" si="32"/>
        <v>3.795934741812621</v>
      </c>
      <c r="K78" s="133">
        <f t="shared" si="33"/>
        <v>3.7955208333333332</v>
      </c>
      <c r="L78" s="139">
        <f>(3.87+0.0012*B78)*$N$14</f>
        <v>3.9669912746733229</v>
      </c>
      <c r="M78" s="133">
        <f>(3.88+0.001*B78)+$O$14</f>
        <v>3.9644791666666666</v>
      </c>
      <c r="N78" s="100"/>
      <c r="O78" s="139">
        <f t="shared" si="27"/>
        <v>-0.14699127467332307</v>
      </c>
      <c r="P78" s="100"/>
      <c r="Q78" s="133">
        <f t="shared" si="28"/>
        <v>-0.14447916666666671</v>
      </c>
      <c r="R78" s="89"/>
      <c r="S78" s="139">
        <f>POWER(O78-$O$79,2)</f>
        <v>2.4103217140027826E-2</v>
      </c>
      <c r="T78" s="100"/>
      <c r="U78" s="151">
        <f>POWER(Q78-$Q$79,2)</f>
        <v>2.2238783423153011E-2</v>
      </c>
      <c r="W78" s="209">
        <f t="shared" si="9"/>
        <v>1.0850694444444321E-2</v>
      </c>
      <c r="X78" s="100">
        <f t="shared" si="10"/>
        <v>1.8339470509238303E-3</v>
      </c>
      <c r="Y78" s="111">
        <f t="shared" si="11"/>
        <v>1.6250976562500515E-3</v>
      </c>
    </row>
    <row r="79" spans="1:26" ht="21.6" thickBot="1" x14ac:dyDescent="0.45">
      <c r="B79" s="129">
        <v>61</v>
      </c>
      <c r="C79" s="116"/>
      <c r="D79" s="117" t="s">
        <v>1</v>
      </c>
      <c r="E79" s="148"/>
      <c r="F79" s="118"/>
      <c r="G79" s="118"/>
      <c r="H79" s="142"/>
      <c r="I79" s="136"/>
      <c r="J79" s="142"/>
      <c r="K79" s="200" t="s">
        <v>75</v>
      </c>
      <c r="L79" s="142">
        <f>(3.87+0.0012*B79)*$N$3</f>
        <v>4.4582549828337719</v>
      </c>
      <c r="M79" s="136">
        <f>(3.88+0.001*B79)+$O$3</f>
        <v>4.4587083333333331</v>
      </c>
      <c r="N79" s="176" t="s">
        <v>85</v>
      </c>
      <c r="O79" s="174">
        <f>AVERAGE(O19:O78)</f>
        <v>8.2608336538356388E-3</v>
      </c>
      <c r="P79" s="176" t="s">
        <v>86</v>
      </c>
      <c r="Q79" s="175">
        <f>AVERAGE(Q19:Q78)</f>
        <v>4.6475694444445175E-3</v>
      </c>
      <c r="R79" s="177" t="s">
        <v>87</v>
      </c>
      <c r="S79" s="174">
        <f>SUM(S19:S78)</f>
        <v>4.8709904522926868</v>
      </c>
      <c r="T79" s="177" t="s">
        <v>22</v>
      </c>
      <c r="U79" s="175">
        <f>SUM(U19:U78)</f>
        <v>4.8486396070240119</v>
      </c>
      <c r="V79" s="208" t="s">
        <v>22</v>
      </c>
      <c r="W79" s="210">
        <f>SUM(W19:W78)</f>
        <v>23.858458333333328</v>
      </c>
      <c r="X79" s="113">
        <f>SUM(X19:X78)</f>
        <v>16.763004557934522</v>
      </c>
      <c r="Y79" s="115">
        <f>SUM(Y19:Y78)</f>
        <v>16.993838135850702</v>
      </c>
    </row>
    <row r="80" spans="1:26" ht="15.6" x14ac:dyDescent="0.3">
      <c r="B80" s="130">
        <v>62</v>
      </c>
      <c r="C80" s="89"/>
      <c r="D80" s="93" t="s">
        <v>2</v>
      </c>
      <c r="E80" s="147"/>
      <c r="F80" s="100"/>
      <c r="G80" s="100"/>
      <c r="H80" s="139"/>
      <c r="I80" s="133"/>
      <c r="J80" s="139"/>
      <c r="K80" s="133"/>
      <c r="L80" s="139">
        <f>(3.87+0.0012*B80)*$N$4</f>
        <v>3.4538866747235195</v>
      </c>
      <c r="M80" s="133">
        <f>(3.88+0.001*B80)+$O$4</f>
        <v>3.4543958333333329</v>
      </c>
      <c r="N80" s="100"/>
      <c r="O80" s="139"/>
      <c r="P80" s="100"/>
      <c r="Q80" s="133"/>
      <c r="R80" s="89"/>
      <c r="S80" s="139"/>
      <c r="T80" s="100"/>
      <c r="U80" s="154"/>
    </row>
    <row r="81" spans="2:21" ht="15.6" x14ac:dyDescent="0.3">
      <c r="B81" s="130">
        <v>63</v>
      </c>
      <c r="C81" s="89"/>
      <c r="D81" s="93" t="s">
        <v>3</v>
      </c>
      <c r="E81" s="147"/>
      <c r="F81" s="100"/>
      <c r="G81" s="100"/>
      <c r="H81" s="139"/>
      <c r="I81" s="133"/>
      <c r="J81" s="139"/>
      <c r="K81" s="133"/>
      <c r="L81" s="139">
        <f>(3.87+0.0012*B81)*$N$5</f>
        <v>3.1866595216567415</v>
      </c>
      <c r="M81" s="133">
        <f>(3.88+0.001*B81)+$O$5</f>
        <v>3.1849791666666665</v>
      </c>
      <c r="N81" s="100"/>
      <c r="O81" s="139"/>
      <c r="P81" s="100"/>
      <c r="Q81" s="133"/>
      <c r="R81" s="119"/>
      <c r="S81" s="144"/>
      <c r="T81" s="89"/>
      <c r="U81" s="155"/>
    </row>
    <row r="82" spans="2:21" ht="15.6" x14ac:dyDescent="0.3">
      <c r="B82" s="130">
        <v>64</v>
      </c>
      <c r="C82" s="89"/>
      <c r="D82" s="93" t="s">
        <v>4</v>
      </c>
      <c r="E82" s="147"/>
      <c r="F82" s="100"/>
      <c r="G82" s="100"/>
      <c r="H82" s="139"/>
      <c r="I82" s="133"/>
      <c r="J82" s="139"/>
      <c r="K82" s="133"/>
      <c r="L82" s="139">
        <f>(3.87+0.0012*B82)*$N$6</f>
        <v>4.4027771446184376</v>
      </c>
      <c r="M82" s="133">
        <f>(3.88+0.001*B82)+$O$6</f>
        <v>4.3954583333333339</v>
      </c>
      <c r="N82" s="100"/>
      <c r="O82" s="139"/>
      <c r="P82" s="100"/>
      <c r="Q82" s="133"/>
      <c r="R82" s="119"/>
      <c r="S82" s="144"/>
      <c r="T82" s="89"/>
      <c r="U82" s="155"/>
    </row>
    <row r="83" spans="2:21" ht="15.6" x14ac:dyDescent="0.3">
      <c r="B83" s="130">
        <v>65</v>
      </c>
      <c r="C83" s="89"/>
      <c r="D83" s="93" t="s">
        <v>5</v>
      </c>
      <c r="E83" s="147"/>
      <c r="F83" s="100"/>
      <c r="G83" s="100"/>
      <c r="H83" s="139"/>
      <c r="I83" s="133"/>
      <c r="J83" s="139"/>
      <c r="K83" s="133"/>
      <c r="L83" s="139">
        <f>(3.87+0.0012*B83)*$N$7</f>
        <v>4.9684452865958875</v>
      </c>
      <c r="M83" s="133">
        <f>(3.88+0.001*B83)+$O$7</f>
        <v>4.9602083333333331</v>
      </c>
      <c r="N83" s="100"/>
      <c r="O83" s="139"/>
      <c r="P83" s="100"/>
      <c r="Q83" s="133"/>
      <c r="R83" s="89"/>
      <c r="S83" s="144"/>
      <c r="T83" s="89"/>
      <c r="U83" s="155"/>
    </row>
    <row r="84" spans="2:21" ht="15.6" x14ac:dyDescent="0.3">
      <c r="B84" s="169">
        <v>66</v>
      </c>
      <c r="C84" s="161"/>
      <c r="D84" s="162" t="s">
        <v>6</v>
      </c>
      <c r="E84" s="170"/>
      <c r="F84" s="165"/>
      <c r="G84" s="165"/>
      <c r="H84" s="166"/>
      <c r="I84" s="167"/>
      <c r="J84" s="166"/>
      <c r="K84" s="167"/>
      <c r="L84" s="166">
        <f>(3.87+0.0012*B84)*$N$8</f>
        <v>4.3908374380731878</v>
      </c>
      <c r="M84" s="167">
        <f>(3.88+0.001*B84)+$O$8</f>
        <v>4.3823541666666666</v>
      </c>
      <c r="N84" s="165"/>
      <c r="O84" s="166"/>
      <c r="P84" s="165"/>
      <c r="Q84" s="167"/>
      <c r="R84" s="161"/>
      <c r="S84" s="171"/>
      <c r="T84" s="161"/>
      <c r="U84" s="172"/>
    </row>
    <row r="85" spans="2:21" ht="15.6" x14ac:dyDescent="0.3">
      <c r="B85" s="130">
        <v>67</v>
      </c>
      <c r="C85" s="89"/>
      <c r="D85" s="93" t="s">
        <v>7</v>
      </c>
      <c r="E85" s="147"/>
      <c r="F85" s="100"/>
      <c r="G85" s="100"/>
      <c r="H85" s="139"/>
      <c r="I85" s="133"/>
      <c r="J85" s="139"/>
      <c r="K85" s="133"/>
      <c r="L85" s="139">
        <f>(3.87+0.0012*B85)*$N$9</f>
        <v>4.183876051524889</v>
      </c>
      <c r="M85" s="133">
        <f>(3.88+0.001*B85)+$O$9</f>
        <v>4.1808541666666663</v>
      </c>
      <c r="N85" s="100"/>
      <c r="O85" s="139"/>
      <c r="P85" s="100"/>
      <c r="Q85" s="133"/>
      <c r="R85" s="89"/>
      <c r="S85" s="144"/>
      <c r="T85" s="89"/>
      <c r="U85" s="155"/>
    </row>
    <row r="86" spans="2:21" ht="15.6" x14ac:dyDescent="0.3">
      <c r="B86" s="130">
        <v>68</v>
      </c>
      <c r="C86" s="89"/>
      <c r="D86" s="93" t="s">
        <v>8</v>
      </c>
      <c r="E86" s="147"/>
      <c r="F86" s="100"/>
      <c r="G86" s="100"/>
      <c r="H86" s="139"/>
      <c r="I86" s="133"/>
      <c r="J86" s="139"/>
      <c r="K86" s="133"/>
      <c r="L86" s="139">
        <f>(3.87+0.0012*B86)*$N$10</f>
        <v>3.9056051156919058</v>
      </c>
      <c r="M86" s="133">
        <f>(3.88+0.001*B86)+$O$10</f>
        <v>3.9010208333333334</v>
      </c>
      <c r="N86" s="100"/>
      <c r="O86" s="139"/>
      <c r="P86" s="100"/>
      <c r="Q86" s="133"/>
      <c r="R86" s="89"/>
      <c r="S86" s="144"/>
      <c r="T86" s="89"/>
      <c r="U86" s="155"/>
    </row>
    <row r="87" spans="2:21" ht="15.6" x14ac:dyDescent="0.3">
      <c r="B87" s="130">
        <v>69</v>
      </c>
      <c r="C87" s="89"/>
      <c r="D87" s="93" t="s">
        <v>9</v>
      </c>
      <c r="E87" s="147"/>
      <c r="F87" s="100"/>
      <c r="G87" s="100"/>
      <c r="H87" s="139"/>
      <c r="I87" s="133"/>
      <c r="J87" s="139"/>
      <c r="K87" s="133"/>
      <c r="L87" s="139">
        <f>(3.87+0.0012*B87)*$N$11</f>
        <v>3.9705082945105654</v>
      </c>
      <c r="M87" s="133">
        <f>(3.88+0.001*B87)+$O$11</f>
        <v>3.965770833333333</v>
      </c>
      <c r="N87" s="100"/>
      <c r="O87" s="139"/>
      <c r="P87" s="100"/>
      <c r="Q87" s="133"/>
      <c r="R87" s="89"/>
      <c r="S87" s="144"/>
      <c r="T87" s="89"/>
      <c r="U87" s="155"/>
    </row>
    <row r="88" spans="2:21" ht="15.6" x14ac:dyDescent="0.3">
      <c r="B88" s="130">
        <v>70</v>
      </c>
      <c r="C88" s="89"/>
      <c r="D88" s="93" t="s">
        <v>10</v>
      </c>
      <c r="E88" s="147"/>
      <c r="F88" s="100"/>
      <c r="G88" s="100"/>
      <c r="H88" s="139"/>
      <c r="I88" s="133"/>
      <c r="J88" s="139"/>
      <c r="K88" s="133"/>
      <c r="L88" s="139">
        <f>(3.87+0.0012*B88)*$N$12</f>
        <v>3.3594407700058935</v>
      </c>
      <c r="M88" s="133">
        <f>(3.88+0.001*B88)+$O$12</f>
        <v>3.3578125000000001</v>
      </c>
      <c r="N88" s="100"/>
      <c r="O88" s="139"/>
      <c r="P88" s="100"/>
      <c r="Q88" s="133"/>
      <c r="R88" s="89"/>
      <c r="S88" s="144"/>
      <c r="T88" s="89"/>
      <c r="U88" s="155"/>
    </row>
    <row r="89" spans="2:21" ht="15.6" x14ac:dyDescent="0.3">
      <c r="B89" s="130">
        <v>71</v>
      </c>
      <c r="C89" s="89"/>
      <c r="D89" s="93" t="s">
        <v>11</v>
      </c>
      <c r="E89" s="147"/>
      <c r="F89" s="100"/>
      <c r="G89" s="100"/>
      <c r="H89" s="139"/>
      <c r="I89" s="133"/>
      <c r="J89" s="139"/>
      <c r="K89" s="133"/>
      <c r="L89" s="139">
        <f>(3.87+0.0012*B89)*$N$13</f>
        <v>3.248750789915948</v>
      </c>
      <c r="M89" s="133">
        <f>(3.88+0.001*B89)+$O$13</f>
        <v>3.2481874999999998</v>
      </c>
      <c r="N89" s="100"/>
      <c r="O89" s="139"/>
      <c r="P89" s="100"/>
      <c r="Q89" s="133"/>
      <c r="R89" s="89"/>
      <c r="S89" s="144"/>
      <c r="T89" s="89"/>
      <c r="U89" s="155"/>
    </row>
    <row r="90" spans="2:21" ht="16.2" thickBot="1" x14ac:dyDescent="0.35">
      <c r="B90" s="131">
        <v>72</v>
      </c>
      <c r="C90" s="120"/>
      <c r="D90" s="121" t="s">
        <v>12</v>
      </c>
      <c r="E90" s="149"/>
      <c r="F90" s="122"/>
      <c r="G90" s="122"/>
      <c r="H90" s="143"/>
      <c r="I90" s="137"/>
      <c r="J90" s="143"/>
      <c r="K90" s="137"/>
      <c r="L90" s="143">
        <f>(3.87+0.0012*B90)*$N$14</f>
        <v>3.9814825670008962</v>
      </c>
      <c r="M90" s="137">
        <f>(3.88+0.001*B90)+$O$14</f>
        <v>3.9764791666666666</v>
      </c>
      <c r="N90" s="122"/>
      <c r="O90" s="143"/>
      <c r="P90" s="122"/>
      <c r="Q90" s="137"/>
      <c r="R90" s="120"/>
      <c r="S90" s="145"/>
      <c r="T90" s="120"/>
      <c r="U90" s="156"/>
    </row>
  </sheetData>
  <mergeCells count="14">
    <mergeCell ref="AB18:AH18"/>
    <mergeCell ref="V7:W7"/>
    <mergeCell ref="T2:U2"/>
    <mergeCell ref="W17:Y17"/>
    <mergeCell ref="V9:W9"/>
    <mergeCell ref="T9:U9"/>
    <mergeCell ref="T10:U10"/>
    <mergeCell ref="T11:U11"/>
    <mergeCell ref="T3:U3"/>
    <mergeCell ref="T4:U4"/>
    <mergeCell ref="T5:U5"/>
    <mergeCell ref="T6:U6"/>
    <mergeCell ref="T8:U8"/>
    <mergeCell ref="T7:U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topLeftCell="P1" zoomScale="55" zoomScaleNormal="55" workbookViewId="0">
      <selection activeCell="AG19" sqref="AG19"/>
    </sheetView>
  </sheetViews>
  <sheetFormatPr defaultRowHeight="14.4" x14ac:dyDescent="0.3"/>
  <cols>
    <col min="3" max="3" width="14.77734375" customWidth="1"/>
    <col min="6" max="6" width="14.21875" customWidth="1"/>
    <col min="8" max="8" width="14.77734375" customWidth="1"/>
    <col min="9" max="9" width="12.21875" customWidth="1"/>
    <col min="10" max="10" width="26.44140625" customWidth="1"/>
    <col min="11" max="11" width="23.6640625" customWidth="1"/>
    <col min="12" max="12" width="13.5546875" customWidth="1"/>
    <col min="13" max="13" width="11.77734375" customWidth="1"/>
    <col min="14" max="14" width="11.21875" customWidth="1"/>
    <col min="15" max="15" width="13.33203125" customWidth="1"/>
    <col min="16" max="17" width="11.21875" customWidth="1"/>
    <col min="19" max="19" width="19.6640625" customWidth="1"/>
    <col min="20" max="20" width="6.6640625" customWidth="1"/>
    <col min="21" max="21" width="18.88671875" customWidth="1"/>
    <col min="22" max="22" width="24.88671875" customWidth="1"/>
    <col min="23" max="23" width="20.109375" customWidth="1"/>
    <col min="24" max="24" width="13.77734375" customWidth="1"/>
    <col min="25" max="25" width="16.5546875" customWidth="1"/>
    <col min="27" max="27" width="16.33203125" customWidth="1"/>
    <col min="28" max="28" width="13.21875" customWidth="1"/>
    <col min="29" max="29" width="16.5546875" customWidth="1"/>
  </cols>
  <sheetData>
    <row r="1" spans="3:27" ht="15" thickBot="1" x14ac:dyDescent="0.35"/>
    <row r="2" spans="3:27" ht="21" x14ac:dyDescent="0.4">
      <c r="C2" s="89"/>
      <c r="D2" s="92"/>
      <c r="E2" s="92"/>
      <c r="F2" s="92"/>
      <c r="G2" s="92"/>
      <c r="H2" s="92"/>
      <c r="J2" s="86"/>
      <c r="M2" s="3"/>
      <c r="N2" s="87" t="s">
        <v>71</v>
      </c>
      <c r="O2" s="87" t="s">
        <v>72</v>
      </c>
      <c r="P2" s="179">
        <v>0.99758562533904949</v>
      </c>
      <c r="Q2" s="179"/>
      <c r="T2" s="222"/>
      <c r="U2" s="223"/>
      <c r="V2" s="181" t="s">
        <v>94</v>
      </c>
      <c r="W2" s="185" t="s">
        <v>95</v>
      </c>
    </row>
    <row r="3" spans="3:27" ht="23.4" x14ac:dyDescent="0.45">
      <c r="C3" s="93"/>
      <c r="D3" s="89"/>
      <c r="E3" s="89"/>
      <c r="F3" s="89"/>
      <c r="G3" s="89"/>
      <c r="H3" s="89"/>
      <c r="J3" s="85"/>
      <c r="M3" s="5" t="s">
        <v>1</v>
      </c>
      <c r="N3" s="3">
        <v>1.127888792090475</v>
      </c>
      <c r="O3" s="3">
        <f t="shared" ref="O3:O8" si="0">AVERAGE(I31,I43,I55,I67)</f>
        <v>0.51770833333333344</v>
      </c>
      <c r="P3" s="179">
        <f>N3*$P$2</f>
        <v>1.1251656459704817</v>
      </c>
      <c r="Q3" s="179">
        <v>0.51770833333333344</v>
      </c>
      <c r="T3" s="230" t="s">
        <v>89</v>
      </c>
      <c r="U3" s="231"/>
      <c r="V3" s="182">
        <v>3.8737315852343941</v>
      </c>
      <c r="W3" s="186">
        <v>3.8841049317325806</v>
      </c>
    </row>
    <row r="4" spans="3:27" ht="15.6" x14ac:dyDescent="0.3">
      <c r="C4" s="93"/>
      <c r="D4" s="89"/>
      <c r="E4" s="89"/>
      <c r="F4" s="89"/>
      <c r="G4" s="89"/>
      <c r="H4" s="89"/>
      <c r="M4" s="5" t="s">
        <v>2</v>
      </c>
      <c r="N4" s="3">
        <v>0.87352897734871526</v>
      </c>
      <c r="O4" s="3">
        <f t="shared" si="0"/>
        <v>-0.48760416666666662</v>
      </c>
      <c r="P4" s="179">
        <f t="shared" ref="P4:P13" si="1">N4*$P$2</f>
        <v>0.87141995112019854</v>
      </c>
      <c r="Q4" s="179">
        <v>-0.48760416666666662</v>
      </c>
      <c r="T4" s="230" t="s">
        <v>90</v>
      </c>
      <c r="U4" s="231"/>
      <c r="V4" s="182">
        <v>1.1942117886198107E-3</v>
      </c>
      <c r="W4" s="186">
        <v>1.0177914003889985E-3</v>
      </c>
    </row>
    <row r="5" spans="3:27" ht="15.6" x14ac:dyDescent="0.3">
      <c r="C5" s="93"/>
      <c r="D5" s="89"/>
      <c r="E5" s="89"/>
      <c r="F5" s="89"/>
      <c r="G5" s="89"/>
      <c r="H5" s="89"/>
      <c r="M5" s="5" t="s">
        <v>3</v>
      </c>
      <c r="N5" s="3">
        <v>0.80569893847693042</v>
      </c>
      <c r="O5" s="3">
        <f t="shared" si="0"/>
        <v>-0.75802083333333381</v>
      </c>
      <c r="P5" s="179">
        <f t="shared" si="1"/>
        <v>0.80375367937551701</v>
      </c>
      <c r="Q5" s="179">
        <v>-0.75802083333333381</v>
      </c>
      <c r="T5" s="230" t="s">
        <v>58</v>
      </c>
      <c r="U5" s="231"/>
      <c r="V5" s="183" t="s">
        <v>76</v>
      </c>
      <c r="W5" s="187" t="s">
        <v>77</v>
      </c>
    </row>
    <row r="6" spans="3:27" ht="15.6" x14ac:dyDescent="0.3">
      <c r="C6" s="93"/>
      <c r="D6" s="89"/>
      <c r="E6" s="89"/>
      <c r="F6" s="89"/>
      <c r="G6" s="89"/>
      <c r="H6" s="89"/>
      <c r="M6" s="5" t="s">
        <v>4</v>
      </c>
      <c r="N6" s="3">
        <v>1.1128375370028019</v>
      </c>
      <c r="O6" s="3">
        <f t="shared" si="0"/>
        <v>0.45145833333333352</v>
      </c>
      <c r="P6" s="179">
        <f t="shared" si="1"/>
        <v>1.1101507302517077</v>
      </c>
      <c r="Q6" s="179">
        <v>0.45145833333333352</v>
      </c>
      <c r="T6" s="230" t="s">
        <v>91</v>
      </c>
      <c r="U6" s="231"/>
      <c r="V6" s="182">
        <f>SQRT(S79/($K$12-1))</f>
        <v>0.28749262973341783</v>
      </c>
      <c r="W6" s="186">
        <f>SQRT(U79/($K$12-1))</f>
        <v>0.28667112223319752</v>
      </c>
    </row>
    <row r="7" spans="3:27" ht="15.6" x14ac:dyDescent="0.3">
      <c r="C7" s="93"/>
      <c r="D7" s="89"/>
      <c r="E7" s="89"/>
      <c r="F7" s="89"/>
      <c r="G7" s="89"/>
      <c r="H7" s="89"/>
      <c r="M7" s="5" t="s">
        <v>5</v>
      </c>
      <c r="N7" s="3">
        <v>1.2554330289239137</v>
      </c>
      <c r="O7" s="3">
        <f t="shared" si="0"/>
        <v>1.0152083333333333</v>
      </c>
      <c r="P7" s="179">
        <f t="shared" si="1"/>
        <v>1.2524019432303595</v>
      </c>
      <c r="Q7" s="179">
        <v>1.0152083333333333</v>
      </c>
      <c r="T7" s="230" t="s">
        <v>80</v>
      </c>
      <c r="U7" s="231"/>
      <c r="V7" s="220">
        <v>2</v>
      </c>
      <c r="W7" s="221"/>
    </row>
    <row r="8" spans="3:27" ht="18" x14ac:dyDescent="0.35">
      <c r="C8" s="93"/>
      <c r="D8" s="89"/>
      <c r="E8" s="89"/>
      <c r="F8" s="89"/>
      <c r="G8" s="89"/>
      <c r="H8" s="89"/>
      <c r="M8" s="5" t="s">
        <v>6</v>
      </c>
      <c r="N8" s="3">
        <v>1.1091452221772387</v>
      </c>
      <c r="O8" s="3">
        <f t="shared" si="0"/>
        <v>0.43635416666666682</v>
      </c>
      <c r="P8" s="179">
        <f t="shared" si="1"/>
        <v>1.1064673300574996</v>
      </c>
      <c r="Q8" s="179">
        <v>0.43635416666666682</v>
      </c>
      <c r="T8" s="228" t="s">
        <v>96</v>
      </c>
      <c r="U8" s="229"/>
      <c r="V8" s="205">
        <f>$V$7*V6</f>
        <v>0.57498525946683565</v>
      </c>
      <c r="W8" s="206">
        <f>$V$7*W6</f>
        <v>0.57334224446639503</v>
      </c>
      <c r="X8" s="14"/>
      <c r="Y8" s="103"/>
      <c r="Z8" s="14"/>
      <c r="AA8" s="14"/>
    </row>
    <row r="9" spans="3:27" ht="18.600000000000001" thickBot="1" x14ac:dyDescent="0.4">
      <c r="C9" s="93"/>
      <c r="D9" s="89"/>
      <c r="E9" s="89"/>
      <c r="F9" s="89"/>
      <c r="G9" s="89"/>
      <c r="H9" s="89"/>
      <c r="M9" s="5" t="s">
        <v>7</v>
      </c>
      <c r="N9" s="3">
        <v>1.0565448074122947</v>
      </c>
      <c r="O9" s="3">
        <f t="shared" ref="O9:O14" si="2">AVERAGE(I37,I49,I61,I25)</f>
        <v>0.23385416666666659</v>
      </c>
      <c r="P9" s="179">
        <f t="shared" si="1"/>
        <v>1.0539939124011197</v>
      </c>
      <c r="Q9" s="179">
        <v>0.23385416666666659</v>
      </c>
      <c r="T9" s="90"/>
      <c r="U9" s="207" t="s">
        <v>102</v>
      </c>
      <c r="V9" s="184">
        <f>(CORREL(E19:E78,L19:L78))^2</f>
        <v>0.79894327708986135</v>
      </c>
      <c r="W9" s="188">
        <f>(CORREL(E19:E78,M19:M78))^2</f>
        <v>0.79928421666695315</v>
      </c>
      <c r="X9" s="14"/>
      <c r="Z9" s="14"/>
      <c r="AA9" s="14"/>
    </row>
    <row r="10" spans="3:27" x14ac:dyDescent="0.3">
      <c r="C10" s="93"/>
      <c r="D10" s="89"/>
      <c r="E10" s="89"/>
      <c r="F10" s="89"/>
      <c r="G10" s="89"/>
      <c r="H10" s="89"/>
      <c r="M10" s="5" t="s">
        <v>8</v>
      </c>
      <c r="N10" s="3">
        <v>0.98597416784717595</v>
      </c>
      <c r="O10" s="3">
        <f t="shared" si="2"/>
        <v>-4.6979166666666683E-2</v>
      </c>
      <c r="P10" s="179">
        <f t="shared" si="1"/>
        <v>0.98359365679997401</v>
      </c>
      <c r="Q10" s="179">
        <v>-4.6979166666666683E-2</v>
      </c>
    </row>
    <row r="11" spans="3:27" ht="15" thickBot="1" x14ac:dyDescent="0.35">
      <c r="C11" s="93"/>
      <c r="D11" s="89"/>
      <c r="E11" s="89"/>
      <c r="F11" s="89"/>
      <c r="G11" s="89"/>
      <c r="H11" s="89"/>
      <c r="M11" s="5" t="s">
        <v>9</v>
      </c>
      <c r="N11" s="3">
        <v>1.0020547459758158</v>
      </c>
      <c r="O11" s="3">
        <f t="shared" si="2"/>
        <v>1.6770833333333401E-2</v>
      </c>
      <c r="P11" s="179">
        <f t="shared" si="1"/>
        <v>0.99963541038824655</v>
      </c>
      <c r="Q11" s="179">
        <v>1.6770833333333401E-2</v>
      </c>
    </row>
    <row r="12" spans="3:27" ht="18" x14ac:dyDescent="0.35">
      <c r="C12" s="93"/>
      <c r="D12" s="89"/>
      <c r="E12" s="89"/>
      <c r="F12" s="89"/>
      <c r="G12" s="89"/>
      <c r="H12" s="89"/>
      <c r="J12" s="96" t="s">
        <v>88</v>
      </c>
      <c r="K12" s="106">
        <f>K13*5</f>
        <v>60</v>
      </c>
      <c r="M12" s="5" t="s">
        <v>10</v>
      </c>
      <c r="N12" s="3">
        <v>0.84757962097517114</v>
      </c>
      <c r="O12" s="3">
        <f t="shared" si="2"/>
        <v>-0.59218749999999953</v>
      </c>
      <c r="P12" s="179">
        <f t="shared" si="1"/>
        <v>0.84553324621515069</v>
      </c>
      <c r="Q12" s="179">
        <v>-0.59218749999999953</v>
      </c>
    </row>
    <row r="13" spans="3:27" ht="18" x14ac:dyDescent="0.35">
      <c r="C13" s="93"/>
      <c r="D13" s="89"/>
      <c r="E13" s="89"/>
      <c r="F13" s="89"/>
      <c r="G13" s="89"/>
      <c r="H13" s="89"/>
      <c r="J13" s="97" t="s">
        <v>65</v>
      </c>
      <c r="K13" s="104">
        <v>12</v>
      </c>
      <c r="M13" s="5" t="s">
        <v>11</v>
      </c>
      <c r="N13" s="3">
        <v>0.81940409797962988</v>
      </c>
      <c r="O13" s="3">
        <f t="shared" si="2"/>
        <v>-0.70281250000000028</v>
      </c>
      <c r="P13" s="179">
        <f t="shared" si="1"/>
        <v>0.81742574948838886</v>
      </c>
      <c r="Q13" s="179">
        <v>-0.70281250000000028</v>
      </c>
      <c r="U13" s="189"/>
      <c r="V13" s="89"/>
    </row>
    <row r="14" spans="3:27" ht="18" x14ac:dyDescent="0.35">
      <c r="C14" s="93"/>
      <c r="D14" s="89"/>
      <c r="E14" s="89"/>
      <c r="F14" s="89"/>
      <c r="G14" s="89"/>
      <c r="H14" s="89"/>
      <c r="J14" s="97" t="s">
        <v>66</v>
      </c>
      <c r="K14" s="104">
        <f>K13/2</f>
        <v>6</v>
      </c>
      <c r="M14" s="5" t="s">
        <v>12</v>
      </c>
      <c r="N14" s="3">
        <v>1.0039100637898375</v>
      </c>
      <c r="O14" s="3">
        <f t="shared" si="2"/>
        <v>2.4479166666666718E-2</v>
      </c>
      <c r="P14" s="179">
        <f>N14*$P$2</f>
        <v>1.0014862487699501</v>
      </c>
      <c r="Q14" s="179">
        <v>2.4479166666666718E-2</v>
      </c>
      <c r="U14" s="190"/>
      <c r="V14" s="89"/>
    </row>
    <row r="15" spans="3:27" ht="18.600000000000001" thickBot="1" x14ac:dyDescent="0.4">
      <c r="C15" s="94"/>
      <c r="D15" s="89"/>
      <c r="E15" s="89"/>
      <c r="F15" s="89"/>
      <c r="G15" s="89"/>
      <c r="H15" s="89"/>
      <c r="J15" s="98" t="s">
        <v>67</v>
      </c>
      <c r="K15" s="105">
        <f>K14+1</f>
        <v>7</v>
      </c>
      <c r="M15" s="178" t="s">
        <v>22</v>
      </c>
      <c r="N15" s="87">
        <f>SUM(N3:N14)</f>
        <v>12</v>
      </c>
      <c r="O15" s="87">
        <f>SUM(O3:O14)</f>
        <v>0.10822916666666682</v>
      </c>
      <c r="P15" s="179">
        <f>SUM(P3:P14)</f>
        <v>11.971027504068594</v>
      </c>
      <c r="Q15" s="179">
        <f>SUM(Q3:Q14)</f>
        <v>0.10822916666666682</v>
      </c>
      <c r="U15" s="89"/>
      <c r="V15" s="89"/>
    </row>
    <row r="16" spans="3:27" ht="15" thickBot="1" x14ac:dyDescent="0.35"/>
    <row r="17" spans="1:29" ht="24" customHeight="1" thickBot="1" x14ac:dyDescent="0.35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W17" s="217" t="s">
        <v>99</v>
      </c>
      <c r="X17" s="218"/>
      <c r="Y17" s="218"/>
      <c r="Z17" s="218"/>
      <c r="AA17" s="218"/>
      <c r="AB17" s="218"/>
      <c r="AC17" s="219"/>
    </row>
    <row r="18" spans="1:29" ht="31.8" customHeight="1" thickTop="1" thickBot="1" x14ac:dyDescent="0.35">
      <c r="B18" s="123"/>
      <c r="C18" s="124"/>
      <c r="D18" s="124"/>
      <c r="E18" s="146" t="s">
        <v>64</v>
      </c>
      <c r="F18" s="125" t="s">
        <v>70</v>
      </c>
      <c r="G18" s="124" t="s">
        <v>69</v>
      </c>
      <c r="H18" s="138" t="s">
        <v>71</v>
      </c>
      <c r="I18" s="132" t="s">
        <v>72</v>
      </c>
      <c r="J18" s="138" t="s">
        <v>78</v>
      </c>
      <c r="K18" s="132" t="s">
        <v>79</v>
      </c>
      <c r="L18" s="138" t="s">
        <v>83</v>
      </c>
      <c r="M18" s="132" t="s">
        <v>84</v>
      </c>
      <c r="N18" s="124"/>
      <c r="O18" s="138" t="s">
        <v>81</v>
      </c>
      <c r="P18" s="124"/>
      <c r="Q18" s="132" t="s">
        <v>82</v>
      </c>
      <c r="R18" s="124"/>
      <c r="S18" s="138" t="s">
        <v>92</v>
      </c>
      <c r="T18" s="124"/>
      <c r="U18" s="150" t="s">
        <v>93</v>
      </c>
      <c r="W18" s="201" t="s">
        <v>97</v>
      </c>
      <c r="X18" s="202" t="s">
        <v>83</v>
      </c>
      <c r="Y18" s="203" t="s">
        <v>98</v>
      </c>
      <c r="AA18" s="201" t="s">
        <v>97</v>
      </c>
      <c r="AB18" s="204" t="s">
        <v>84</v>
      </c>
      <c r="AC18" s="203" t="s">
        <v>98</v>
      </c>
    </row>
    <row r="19" spans="1:29" ht="16.2" thickTop="1" x14ac:dyDescent="0.3">
      <c r="A19" t="s">
        <v>68</v>
      </c>
      <c r="B19" s="126">
        <v>1</v>
      </c>
      <c r="C19" s="92">
        <v>1985</v>
      </c>
      <c r="D19" s="93" t="s">
        <v>1</v>
      </c>
      <c r="E19" s="157">
        <v>4.43</v>
      </c>
      <c r="F19" s="101">
        <v>0</v>
      </c>
      <c r="G19" s="100"/>
      <c r="H19" s="139"/>
      <c r="I19" s="133"/>
      <c r="J19" s="139">
        <f t="shared" ref="J19:J30" si="3">E19/N3</f>
        <v>3.9276921901043607</v>
      </c>
      <c r="K19" s="133">
        <f t="shared" ref="K19:K30" si="4">E19-O3</f>
        <v>3.9122916666666665</v>
      </c>
      <c r="L19" s="139">
        <f>(3.87+0.0012*B19)*$N$3</f>
        <v>4.3662830919406463</v>
      </c>
      <c r="M19" s="133">
        <f>(3.88+0.001*B19)+$O$3</f>
        <v>4.3987083333333334</v>
      </c>
      <c r="N19" s="100"/>
      <c r="O19" s="139">
        <f t="shared" ref="O19:O50" si="5">E19-L19</f>
        <v>6.3716908059353372E-2</v>
      </c>
      <c r="P19" s="100"/>
      <c r="Q19" s="133">
        <f t="shared" ref="Q19:Q50" si="6">E19-M19</f>
        <v>3.1291666666666273E-2</v>
      </c>
      <c r="R19" s="89"/>
      <c r="S19" s="139">
        <f>POWER(O19-$O$79,2)</f>
        <v>2.1161481766553288E-3</v>
      </c>
      <c r="T19" s="100"/>
      <c r="U19" s="151">
        <f>POWER(Q19-$Q$79,2)</f>
        <v>7.0990791678720514E-4</v>
      </c>
      <c r="W19" s="191">
        <f>X19-$V$8</f>
        <v>3.8725058255043256</v>
      </c>
      <c r="X19" s="100">
        <f t="shared" ref="X19:X30" si="7">L79</f>
        <v>4.4474910849711611</v>
      </c>
      <c r="Y19" s="193">
        <f>X19+$V$8</f>
        <v>5.0224763444379965</v>
      </c>
      <c r="AA19" s="195">
        <f>AB19-$W$8</f>
        <v>3.8853660888669381</v>
      </c>
      <c r="AB19" s="100">
        <f t="shared" ref="AB19:AB30" si="8">M79</f>
        <v>4.4587083333333331</v>
      </c>
      <c r="AC19" s="197">
        <f>AB19+$W$8</f>
        <v>5.032050577799728</v>
      </c>
    </row>
    <row r="20" spans="1:29" ht="15.6" x14ac:dyDescent="0.3">
      <c r="B20" s="126">
        <v>2</v>
      </c>
      <c r="C20" s="89"/>
      <c r="D20" s="93" t="s">
        <v>2</v>
      </c>
      <c r="E20" s="157">
        <v>3.05</v>
      </c>
      <c r="F20" s="101">
        <f>AVERAGE(E19:E21)</f>
        <v>3.3699999999999997</v>
      </c>
      <c r="G20" s="100"/>
      <c r="H20" s="139"/>
      <c r="I20" s="133"/>
      <c r="J20" s="139">
        <f t="shared" si="3"/>
        <v>3.4915842279865559</v>
      </c>
      <c r="K20" s="133">
        <f t="shared" si="4"/>
        <v>3.5376041666666662</v>
      </c>
      <c r="L20" s="139">
        <f>(3.87+0.0012*B20)*$N$4</f>
        <v>3.3826536118851651</v>
      </c>
      <c r="M20" s="133">
        <f>(3.88+0.001*B20)+$O$4</f>
        <v>3.3943958333333333</v>
      </c>
      <c r="N20" s="100"/>
      <c r="O20" s="139">
        <f t="shared" si="5"/>
        <v>-0.33265361188516529</v>
      </c>
      <c r="P20" s="100"/>
      <c r="Q20" s="133">
        <f t="shared" si="6"/>
        <v>-0.34439583333333346</v>
      </c>
      <c r="R20" s="89"/>
      <c r="S20" s="139">
        <f t="shared" ref="S20:S77" si="9">POWER(O20-$O$79,2)</f>
        <v>0.12275837264394043</v>
      </c>
      <c r="T20" s="100"/>
      <c r="U20" s="151">
        <f t="shared" ref="U20:U77" si="10">POWER(Q20-$Q$79,2)</f>
        <v>0.12183129702269013</v>
      </c>
      <c r="W20" s="191">
        <f t="shared" ref="W20:W28" si="11">X20-$V$8</f>
        <v>2.8705624387874371</v>
      </c>
      <c r="X20" s="100">
        <f t="shared" si="7"/>
        <v>3.4455476982542725</v>
      </c>
      <c r="Y20" s="193">
        <f t="shared" ref="Y20:Y30" si="12">X20+$V$8</f>
        <v>4.020532957721108</v>
      </c>
      <c r="AA20" s="195">
        <f t="shared" ref="AA20:AA29" si="13">AB20-$W$8</f>
        <v>2.881053588866938</v>
      </c>
      <c r="AB20" s="100">
        <f t="shared" si="8"/>
        <v>3.4543958333333329</v>
      </c>
      <c r="AC20" s="197">
        <f t="shared" ref="AC20:AC30" si="14">AB20+$W$8</f>
        <v>4.0277380777997278</v>
      </c>
    </row>
    <row r="21" spans="1:29" ht="15.6" x14ac:dyDescent="0.3">
      <c r="B21" s="126">
        <v>3</v>
      </c>
      <c r="C21" s="89"/>
      <c r="D21" s="93" t="s">
        <v>3</v>
      </c>
      <c r="E21" s="157">
        <v>2.63</v>
      </c>
      <c r="F21" s="101">
        <f t="shared" ref="F21:F76" si="15">AVERAGE(E20:E22)</f>
        <v>3.3699999999999997</v>
      </c>
      <c r="G21" s="100"/>
      <c r="H21" s="139"/>
      <c r="I21" s="133"/>
      <c r="J21" s="139">
        <f t="shared" si="3"/>
        <v>3.264246574498006</v>
      </c>
      <c r="K21" s="133">
        <f t="shared" si="4"/>
        <v>3.3880208333333339</v>
      </c>
      <c r="L21" s="139">
        <f>(3.87+0.0012*B21)*$N$5</f>
        <v>3.1209554080842379</v>
      </c>
      <c r="M21" s="133">
        <f>(3.88+0.001*B21)+$O$5</f>
        <v>3.124979166666666</v>
      </c>
      <c r="N21" s="100"/>
      <c r="O21" s="139">
        <f t="shared" si="5"/>
        <v>-0.49095540808423799</v>
      </c>
      <c r="P21" s="100"/>
      <c r="Q21" s="133">
        <f t="shared" si="6"/>
        <v>-0.49497916666666608</v>
      </c>
      <c r="R21" s="89"/>
      <c r="S21" s="139">
        <f t="shared" si="9"/>
        <v>0.25874588669080645</v>
      </c>
      <c r="T21" s="100"/>
      <c r="U21" s="151">
        <f t="shared" si="10"/>
        <v>0.24962687543704132</v>
      </c>
      <c r="W21" s="191">
        <f t="shared" si="11"/>
        <v>2.6039804721877413</v>
      </c>
      <c r="X21" s="100">
        <f t="shared" si="7"/>
        <v>3.1789657316545767</v>
      </c>
      <c r="Y21" s="193">
        <f t="shared" si="12"/>
        <v>3.7539509911214122</v>
      </c>
      <c r="AA21" s="195">
        <f t="shared" si="13"/>
        <v>2.6116369222002715</v>
      </c>
      <c r="AB21" s="100">
        <f t="shared" si="8"/>
        <v>3.1849791666666665</v>
      </c>
      <c r="AC21" s="197">
        <f t="shared" si="14"/>
        <v>3.7583214111330614</v>
      </c>
    </row>
    <row r="22" spans="1:29" ht="15.6" x14ac:dyDescent="0.3">
      <c r="B22" s="126">
        <v>4</v>
      </c>
      <c r="C22" s="89"/>
      <c r="D22" s="93" t="s">
        <v>4</v>
      </c>
      <c r="E22" s="157">
        <v>4.43</v>
      </c>
      <c r="F22" s="101">
        <f t="shared" si="15"/>
        <v>4.1099999999999994</v>
      </c>
      <c r="G22" s="100"/>
      <c r="H22" s="139"/>
      <c r="I22" s="133"/>
      <c r="J22" s="139">
        <f t="shared" si="3"/>
        <v>3.9808146766250267</v>
      </c>
      <c r="K22" s="133">
        <f t="shared" si="4"/>
        <v>3.9785416666666662</v>
      </c>
      <c r="L22" s="139">
        <f>(3.87+0.0012*B22)*$N$6</f>
        <v>4.3120228883784568</v>
      </c>
      <c r="M22" s="133">
        <f>(3.88+0.001*B22)+$O$6</f>
        <v>4.3354583333333334</v>
      </c>
      <c r="N22" s="100"/>
      <c r="O22" s="139">
        <f t="shared" si="5"/>
        <v>0.1179771116215429</v>
      </c>
      <c r="P22" s="100"/>
      <c r="Q22" s="133">
        <f t="shared" si="6"/>
        <v>9.4541666666666302E-2</v>
      </c>
      <c r="R22" s="89"/>
      <c r="S22" s="139">
        <f t="shared" si="9"/>
        <v>1.0052431376611591E-2</v>
      </c>
      <c r="T22" s="100"/>
      <c r="U22" s="151">
        <f t="shared" si="10"/>
        <v>8.0809487153982625E-3</v>
      </c>
      <c r="W22" s="191">
        <f t="shared" si="11"/>
        <v>3.8171619315758232</v>
      </c>
      <c r="X22" s="100">
        <f t="shared" si="7"/>
        <v>4.3921471910426586</v>
      </c>
      <c r="Y22" s="193">
        <f t="shared" si="12"/>
        <v>4.967132450509494</v>
      </c>
      <c r="AA22" s="195">
        <f t="shared" si="13"/>
        <v>3.822116088866939</v>
      </c>
      <c r="AB22" s="100">
        <f t="shared" si="8"/>
        <v>4.3954583333333339</v>
      </c>
      <c r="AC22" s="197">
        <f t="shared" si="14"/>
        <v>4.9688005777997288</v>
      </c>
    </row>
    <row r="23" spans="1:29" ht="15.6" x14ac:dyDescent="0.3">
      <c r="B23" s="126">
        <v>5</v>
      </c>
      <c r="C23" s="89"/>
      <c r="D23" s="93" t="s">
        <v>5</v>
      </c>
      <c r="E23" s="157">
        <v>5.27</v>
      </c>
      <c r="F23" s="101">
        <f t="shared" si="15"/>
        <v>4.63</v>
      </c>
      <c r="G23" s="100"/>
      <c r="H23" s="139"/>
      <c r="I23" s="133"/>
      <c r="J23" s="139">
        <f t="shared" si="3"/>
        <v>4.1977547814853544</v>
      </c>
      <c r="K23" s="133">
        <f t="shared" si="4"/>
        <v>4.2547916666666659</v>
      </c>
      <c r="L23" s="139">
        <f>(3.87+0.0012*B23)*$N$7</f>
        <v>4.8660584201090895</v>
      </c>
      <c r="M23" s="133">
        <f>(3.88+0.001*B23)+$O$7</f>
        <v>4.9002083333333335</v>
      </c>
      <c r="N23" s="100"/>
      <c r="O23" s="139">
        <f t="shared" si="5"/>
        <v>0.40394157989091006</v>
      </c>
      <c r="P23" s="100"/>
      <c r="Q23" s="133">
        <f t="shared" si="6"/>
        <v>0.36979166666666607</v>
      </c>
      <c r="R23" s="89"/>
      <c r="S23" s="139">
        <f t="shared" si="9"/>
        <v>0.14917074123134011</v>
      </c>
      <c r="T23" s="100"/>
      <c r="U23" s="151">
        <f t="shared" si="10"/>
        <v>0.13333021173623119</v>
      </c>
      <c r="W23" s="191">
        <f t="shared" si="11"/>
        <v>4.3814643387247756</v>
      </c>
      <c r="X23" s="100">
        <f t="shared" si="7"/>
        <v>4.956449598191611</v>
      </c>
      <c r="Y23" s="193">
        <f t="shared" si="12"/>
        <v>5.5314348576584464</v>
      </c>
      <c r="Z23" s="199"/>
      <c r="AA23" s="195">
        <f t="shared" si="13"/>
        <v>4.3868660888669382</v>
      </c>
      <c r="AB23" s="100">
        <f t="shared" si="8"/>
        <v>4.9602083333333331</v>
      </c>
      <c r="AC23" s="197">
        <f t="shared" si="14"/>
        <v>5.533550577799728</v>
      </c>
    </row>
    <row r="24" spans="1:29" ht="15.6" x14ac:dyDescent="0.3">
      <c r="B24" s="160">
        <v>6</v>
      </c>
      <c r="C24" s="161"/>
      <c r="D24" s="162" t="s">
        <v>6</v>
      </c>
      <c r="E24" s="163">
        <v>4.1900000000000004</v>
      </c>
      <c r="F24" s="164">
        <f t="shared" si="15"/>
        <v>4.71</v>
      </c>
      <c r="G24" s="165"/>
      <c r="H24" s="166"/>
      <c r="I24" s="167"/>
      <c r="J24" s="166">
        <f t="shared" si="3"/>
        <v>3.7776838561997148</v>
      </c>
      <c r="K24" s="167">
        <f t="shared" si="4"/>
        <v>3.7536458333333336</v>
      </c>
      <c r="L24" s="166">
        <f>(3.87+0.0012*B24)*$N$8</f>
        <v>4.30037785542559</v>
      </c>
      <c r="M24" s="167">
        <f>(3.88+0.001*B24)+$O$8</f>
        <v>4.3223541666666669</v>
      </c>
      <c r="N24" s="165"/>
      <c r="O24" s="166">
        <f t="shared" si="5"/>
        <v>-0.11037785542558964</v>
      </c>
      <c r="P24" s="165"/>
      <c r="Q24" s="167">
        <f t="shared" si="6"/>
        <v>-0.13235416666666655</v>
      </c>
      <c r="R24" s="161"/>
      <c r="S24" s="166">
        <f t="shared" si="9"/>
        <v>1.6407855819176146E-2</v>
      </c>
      <c r="T24" s="165"/>
      <c r="U24" s="168">
        <f t="shared" si="10"/>
        <v>1.8769475697458519E-2</v>
      </c>
      <c r="W24" s="191">
        <f t="shared" si="11"/>
        <v>3.8052510519555156</v>
      </c>
      <c r="X24" s="100">
        <f t="shared" si="7"/>
        <v>4.380236311422351</v>
      </c>
      <c r="Y24" s="193">
        <f t="shared" si="12"/>
        <v>4.9552215708891865</v>
      </c>
      <c r="AA24" s="195">
        <f t="shared" si="13"/>
        <v>3.8090119222002716</v>
      </c>
      <c r="AB24" s="100">
        <f t="shared" si="8"/>
        <v>4.3823541666666666</v>
      </c>
      <c r="AC24" s="197">
        <f t="shared" si="14"/>
        <v>4.9556964111330615</v>
      </c>
    </row>
    <row r="25" spans="1:29" ht="15.6" x14ac:dyDescent="0.3">
      <c r="B25" s="126">
        <v>7</v>
      </c>
      <c r="C25" s="89"/>
      <c r="D25" s="93" t="s">
        <v>7</v>
      </c>
      <c r="E25" s="157">
        <v>4.67</v>
      </c>
      <c r="F25" s="101">
        <f t="shared" si="15"/>
        <v>4.29</v>
      </c>
      <c r="G25" s="100">
        <f>(0.5*E19+SUM(E20:E30)+0.5*E31)/$K$13</f>
        <v>3.9120833333333338</v>
      </c>
      <c r="H25" s="139">
        <f>E25/G25</f>
        <v>1.1937373522206836</v>
      </c>
      <c r="I25" s="133">
        <f>E25-G25</f>
        <v>0.75791666666666613</v>
      </c>
      <c r="J25" s="139">
        <f t="shared" si="3"/>
        <v>4.4200681005075717</v>
      </c>
      <c r="K25" s="133">
        <f t="shared" si="4"/>
        <v>4.4361458333333337</v>
      </c>
      <c r="L25" s="139">
        <f>(3.87+0.0012*B25)*$N$9</f>
        <v>4.097703381067844</v>
      </c>
      <c r="M25" s="133">
        <f>(3.88+0.001*B25)+$O$9</f>
        <v>4.1208541666666667</v>
      </c>
      <c r="N25" s="100"/>
      <c r="O25" s="139">
        <f t="shared" si="5"/>
        <v>0.57229661893215589</v>
      </c>
      <c r="P25" s="100"/>
      <c r="Q25" s="133">
        <f t="shared" si="6"/>
        <v>0.54914583333333322</v>
      </c>
      <c r="R25" s="89"/>
      <c r="S25" s="139">
        <f t="shared" si="9"/>
        <v>0.30756044211279204</v>
      </c>
      <c r="T25" s="100"/>
      <c r="U25" s="173">
        <f t="shared" si="10"/>
        <v>0.29647835937801387</v>
      </c>
      <c r="W25" s="191">
        <f t="shared" si="11"/>
        <v>3.5987893477346935</v>
      </c>
      <c r="X25" s="100">
        <f t="shared" si="7"/>
        <v>4.1737746072015289</v>
      </c>
      <c r="Y25" s="193">
        <f t="shared" si="12"/>
        <v>4.7487598666683644</v>
      </c>
      <c r="AA25" s="195">
        <f t="shared" si="13"/>
        <v>3.6075119222002714</v>
      </c>
      <c r="AB25" s="100">
        <f t="shared" si="8"/>
        <v>4.1808541666666663</v>
      </c>
      <c r="AC25" s="197">
        <f t="shared" si="14"/>
        <v>4.7541964111330612</v>
      </c>
    </row>
    <row r="26" spans="1:29" ht="15.6" x14ac:dyDescent="0.3">
      <c r="B26" s="126">
        <v>8</v>
      </c>
      <c r="C26" s="89"/>
      <c r="D26" s="93" t="s">
        <v>8</v>
      </c>
      <c r="E26" s="157">
        <v>4.01</v>
      </c>
      <c r="F26" s="101">
        <f t="shared" si="15"/>
        <v>4.3299999999999992</v>
      </c>
      <c r="G26" s="100">
        <f>(0.5*E20+SUM(E21:E31)+0.5*E32)/$K$13</f>
        <v>3.8849999999999998</v>
      </c>
      <c r="H26" s="139">
        <f>E26/G26</f>
        <v>1.0321750321750323</v>
      </c>
      <c r="I26" s="133">
        <f t="shared" ref="I26:I72" si="16">E26-G26</f>
        <v>0.125</v>
      </c>
      <c r="J26" s="139">
        <f t="shared" si="3"/>
        <v>4.0670436719002785</v>
      </c>
      <c r="K26" s="133">
        <f t="shared" si="4"/>
        <v>4.0569791666666664</v>
      </c>
      <c r="L26" s="139">
        <f>(3.87+0.0012*B26)*$N$10</f>
        <v>3.825185381579904</v>
      </c>
      <c r="M26" s="133">
        <f>(3.88+0.001*B26)+$O$10</f>
        <v>3.8410208333333333</v>
      </c>
      <c r="N26" s="100"/>
      <c r="O26" s="139">
        <f t="shared" si="5"/>
        <v>0.18481461842009583</v>
      </c>
      <c r="P26" s="100"/>
      <c r="Q26" s="133">
        <f t="shared" si="6"/>
        <v>0.16897916666666646</v>
      </c>
      <c r="R26" s="89"/>
      <c r="S26" s="139">
        <f t="shared" si="9"/>
        <v>2.7922183061404923E-2</v>
      </c>
      <c r="T26" s="100"/>
      <c r="U26" s="151">
        <f t="shared" si="10"/>
        <v>2.700487384560658E-2</v>
      </c>
      <c r="W26" s="191">
        <f t="shared" si="11"/>
        <v>3.3211902621980647</v>
      </c>
      <c r="X26" s="100">
        <f t="shared" si="7"/>
        <v>3.8961755216649006</v>
      </c>
      <c r="Y26" s="193">
        <f t="shared" si="12"/>
        <v>4.4711607811317364</v>
      </c>
      <c r="AA26" s="195">
        <f t="shared" si="13"/>
        <v>3.3276785888669385</v>
      </c>
      <c r="AB26" s="100">
        <f t="shared" si="8"/>
        <v>3.9010208333333334</v>
      </c>
      <c r="AC26" s="197">
        <f t="shared" si="14"/>
        <v>4.4743630777997287</v>
      </c>
    </row>
    <row r="27" spans="1:29" ht="15.6" x14ac:dyDescent="0.3">
      <c r="B27" s="126">
        <v>9</v>
      </c>
      <c r="C27" s="89"/>
      <c r="D27" s="93" t="s">
        <v>9</v>
      </c>
      <c r="E27" s="157">
        <v>4.3099999999999996</v>
      </c>
      <c r="F27" s="101">
        <f t="shared" si="15"/>
        <v>3.7566666666666664</v>
      </c>
      <c r="G27" s="100">
        <f t="shared" ref="G27:G71" si="17">(0.5*E21+SUM(E22:E32)+0.5*E33)/$K$13</f>
        <v>3.9324999999999997</v>
      </c>
      <c r="H27" s="139">
        <f t="shared" ref="H27:H43" si="18">E27/G27</f>
        <v>1.0959949141767324</v>
      </c>
      <c r="I27" s="133">
        <f>E27-G27</f>
        <v>0.37749999999999995</v>
      </c>
      <c r="J27" s="139">
        <f t="shared" si="3"/>
        <v>4.3011622042694464</v>
      </c>
      <c r="K27" s="133">
        <f t="shared" si="4"/>
        <v>4.2932291666666664</v>
      </c>
      <c r="L27" s="139">
        <f>(3.87+0.0012*B27)*$N$11</f>
        <v>3.8887740581829462</v>
      </c>
      <c r="M27" s="133">
        <f>(3.88+0.001*B27)+$O$11</f>
        <v>3.9057708333333334</v>
      </c>
      <c r="N27" s="100"/>
      <c r="O27" s="139">
        <f t="shared" si="5"/>
        <v>0.42122594181705342</v>
      </c>
      <c r="P27" s="100"/>
      <c r="Q27" s="133">
        <f t="shared" si="6"/>
        <v>0.4042291666666662</v>
      </c>
      <c r="R27" s="89"/>
      <c r="S27" s="139">
        <f t="shared" si="9"/>
        <v>0.16282084009997794</v>
      </c>
      <c r="T27" s="100"/>
      <c r="U27" s="151">
        <f t="shared" si="10"/>
        <v>0.15966545283866182</v>
      </c>
      <c r="V27" s="89"/>
      <c r="W27" s="191">
        <f t="shared" si="11"/>
        <v>3.3859367404263692</v>
      </c>
      <c r="X27" s="100">
        <f t="shared" si="7"/>
        <v>3.960921999893205</v>
      </c>
      <c r="Y27" s="193">
        <f t="shared" si="12"/>
        <v>4.5359072593600409</v>
      </c>
      <c r="AA27" s="195">
        <f t="shared" si="13"/>
        <v>3.3924285888669381</v>
      </c>
      <c r="AB27" s="100">
        <f t="shared" si="8"/>
        <v>3.965770833333333</v>
      </c>
      <c r="AC27" s="197">
        <f t="shared" si="14"/>
        <v>4.5391130777997279</v>
      </c>
    </row>
    <row r="28" spans="1:29" ht="15.6" x14ac:dyDescent="0.3">
      <c r="B28" s="126">
        <v>10</v>
      </c>
      <c r="C28" s="89"/>
      <c r="D28" s="93" t="s">
        <v>10</v>
      </c>
      <c r="E28" s="157">
        <v>2.95</v>
      </c>
      <c r="F28" s="101">
        <f t="shared" si="15"/>
        <v>3.4566666666666666</v>
      </c>
      <c r="G28" s="100">
        <f t="shared" si="17"/>
        <v>3.9704166666666665</v>
      </c>
      <c r="H28" s="139">
        <f t="shared" si="18"/>
        <v>0.74299506768811008</v>
      </c>
      <c r="I28" s="133">
        <f t="shared" si="16"/>
        <v>-1.0204166666666663</v>
      </c>
      <c r="J28" s="139">
        <f t="shared" si="3"/>
        <v>3.4804989725990794</v>
      </c>
      <c r="K28" s="133">
        <f t="shared" si="4"/>
        <v>3.5421874999999998</v>
      </c>
      <c r="L28" s="139">
        <f>(3.87+0.0012*B28)*$N$12</f>
        <v>3.2903040886256143</v>
      </c>
      <c r="M28" s="133">
        <f>(3.88+0.001*B28)+$O$12</f>
        <v>3.2978125</v>
      </c>
      <c r="N28" s="100"/>
      <c r="O28" s="139">
        <f t="shared" si="5"/>
        <v>-0.34030408862561412</v>
      </c>
      <c r="P28" s="100"/>
      <c r="Q28" s="133">
        <f t="shared" si="6"/>
        <v>-0.34781249999999986</v>
      </c>
      <c r="R28" s="89"/>
      <c r="S28" s="139">
        <f t="shared" si="9"/>
        <v>0.12817788082151929</v>
      </c>
      <c r="T28" s="100"/>
      <c r="U28" s="151">
        <f t="shared" si="10"/>
        <v>0.12422810055278254</v>
      </c>
      <c r="V28" s="89"/>
      <c r="W28" s="191">
        <f t="shared" si="11"/>
        <v>2.7763445618689913</v>
      </c>
      <c r="X28" s="100">
        <f t="shared" si="7"/>
        <v>3.3513298213358267</v>
      </c>
      <c r="Y28" s="193">
        <f t="shared" si="12"/>
        <v>3.9263150808026621</v>
      </c>
      <c r="AA28" s="195">
        <f t="shared" si="13"/>
        <v>2.7844702555336052</v>
      </c>
      <c r="AB28" s="100">
        <f t="shared" si="8"/>
        <v>3.3578125000000001</v>
      </c>
      <c r="AC28" s="197">
        <f t="shared" si="14"/>
        <v>3.931154744466395</v>
      </c>
    </row>
    <row r="29" spans="1:29" ht="15.6" x14ac:dyDescent="0.3">
      <c r="B29" s="126">
        <v>11</v>
      </c>
      <c r="C29" s="89"/>
      <c r="D29" s="93" t="s">
        <v>11</v>
      </c>
      <c r="E29" s="157">
        <v>3.11</v>
      </c>
      <c r="F29" s="101">
        <f t="shared" si="15"/>
        <v>3.456666666666667</v>
      </c>
      <c r="G29" s="100">
        <f t="shared" si="17"/>
        <v>3.9412500000000001</v>
      </c>
      <c r="H29" s="139">
        <f t="shared" si="18"/>
        <v>0.78908975578813823</v>
      </c>
      <c r="I29" s="133">
        <f t="shared" si="16"/>
        <v>-0.83125000000000027</v>
      </c>
      <c r="J29" s="139">
        <f t="shared" si="3"/>
        <v>3.7954411110076158</v>
      </c>
      <c r="K29" s="133">
        <f t="shared" si="4"/>
        <v>3.8128125000000002</v>
      </c>
      <c r="L29" s="139">
        <f>(3.87+0.0012*B29)*$N$13</f>
        <v>3.1819099932744987</v>
      </c>
      <c r="M29" s="133">
        <f>(3.88+0.001*B29)+$O$13</f>
        <v>3.1881874999999997</v>
      </c>
      <c r="N29" s="100"/>
      <c r="O29" s="139">
        <f t="shared" si="5"/>
        <v>-7.1909993274498873E-2</v>
      </c>
      <c r="P29" s="100"/>
      <c r="Q29" s="133">
        <f t="shared" si="6"/>
        <v>-7.8187499999999854E-2</v>
      </c>
      <c r="R29" s="89"/>
      <c r="S29" s="139">
        <f t="shared" si="9"/>
        <v>8.0326927413460845E-3</v>
      </c>
      <c r="T29" s="100"/>
      <c r="U29" s="151">
        <f t="shared" si="10"/>
        <v>6.8616487298659209E-3</v>
      </c>
      <c r="V29" s="89"/>
      <c r="W29" s="191">
        <f>X29-$V$8</f>
        <v>2.6659218288621966</v>
      </c>
      <c r="X29" s="100">
        <f t="shared" si="7"/>
        <v>3.2409070883290321</v>
      </c>
      <c r="Y29" s="193">
        <f t="shared" si="12"/>
        <v>3.8158923477958675</v>
      </c>
      <c r="AA29" s="195">
        <f t="shared" si="13"/>
        <v>2.6748452555336049</v>
      </c>
      <c r="AB29" s="100">
        <f t="shared" si="8"/>
        <v>3.2481874999999998</v>
      </c>
      <c r="AC29" s="197">
        <f t="shared" si="14"/>
        <v>3.8215297444663947</v>
      </c>
    </row>
    <row r="30" spans="1:29" ht="16.2" thickBot="1" x14ac:dyDescent="0.35">
      <c r="B30" s="127">
        <v>12</v>
      </c>
      <c r="C30" s="91"/>
      <c r="D30" s="112" t="s">
        <v>12</v>
      </c>
      <c r="E30" s="158">
        <v>4.3099999999999996</v>
      </c>
      <c r="F30" s="114">
        <f t="shared" si="15"/>
        <v>3.6733333333333333</v>
      </c>
      <c r="G30" s="113">
        <f t="shared" si="17"/>
        <v>3.9245833333333331</v>
      </c>
      <c r="H30" s="140">
        <f t="shared" si="18"/>
        <v>1.0982057543263615</v>
      </c>
      <c r="I30" s="134">
        <f t="shared" si="16"/>
        <v>0.38541666666666652</v>
      </c>
      <c r="J30" s="140">
        <f t="shared" si="3"/>
        <v>4.2932132622811041</v>
      </c>
      <c r="K30" s="134">
        <f t="shared" si="4"/>
        <v>4.285520833333333</v>
      </c>
      <c r="L30" s="140">
        <f>(3.87+0.0012*B30)*$N$14</f>
        <v>3.8995882517852452</v>
      </c>
      <c r="M30" s="134">
        <f>(3.88+0.001*B30)+$O$14</f>
        <v>3.9164791666666665</v>
      </c>
      <c r="N30" s="113"/>
      <c r="O30" s="140">
        <f t="shared" si="5"/>
        <v>0.41041174821475446</v>
      </c>
      <c r="P30" s="113"/>
      <c r="Q30" s="134">
        <f t="shared" si="6"/>
        <v>0.3935208333333331</v>
      </c>
      <c r="R30" s="91"/>
      <c r="S30" s="140">
        <f t="shared" si="9"/>
        <v>0.15421050242616849</v>
      </c>
      <c r="T30" s="113"/>
      <c r="U30" s="152">
        <f t="shared" si="10"/>
        <v>0.1512224153675972</v>
      </c>
      <c r="V30" s="89"/>
      <c r="W30" s="192">
        <f>X30-$V$8</f>
        <v>3.3968845169112774</v>
      </c>
      <c r="X30" s="113">
        <f t="shared" si="7"/>
        <v>3.9718697763781128</v>
      </c>
      <c r="Y30" s="194">
        <f t="shared" si="12"/>
        <v>4.5468550358449482</v>
      </c>
      <c r="AA30" s="196">
        <f>AB30-$W$8</f>
        <v>3.4031369222002716</v>
      </c>
      <c r="AB30" s="113">
        <f t="shared" si="8"/>
        <v>3.9764791666666666</v>
      </c>
      <c r="AC30" s="198">
        <f t="shared" si="14"/>
        <v>4.5498214111330615</v>
      </c>
    </row>
    <row r="31" spans="1:29" ht="15.6" x14ac:dyDescent="0.3">
      <c r="A31" t="s">
        <v>68</v>
      </c>
      <c r="B31" s="128">
        <v>13</v>
      </c>
      <c r="C31" s="107">
        <v>1986</v>
      </c>
      <c r="D31" s="108" t="s">
        <v>1</v>
      </c>
      <c r="E31" s="159">
        <v>3.6</v>
      </c>
      <c r="F31" s="110">
        <f t="shared" si="15"/>
        <v>3.7133333333333334</v>
      </c>
      <c r="G31" s="109">
        <f t="shared" si="17"/>
        <v>3.9104166666666664</v>
      </c>
      <c r="H31" s="141">
        <f t="shared" si="18"/>
        <v>0.92061800745871081</v>
      </c>
      <c r="I31" s="135">
        <f t="shared" si="16"/>
        <v>-0.31041666666666634</v>
      </c>
      <c r="J31" s="141">
        <f t="shared" ref="J31:J42" si="19">E31/N3</f>
        <v>3.1918040371051242</v>
      </c>
      <c r="K31" s="135">
        <f t="shared" ref="K31:K42" si="20">E31-O3</f>
        <v>3.0822916666666664</v>
      </c>
      <c r="L31" s="141">
        <f>(3.87+0.0012*B31)*$N$3</f>
        <v>4.3825246905467496</v>
      </c>
      <c r="M31" s="135">
        <f>(3.88+0.001*B31)+$O$3</f>
        <v>4.410708333333333</v>
      </c>
      <c r="N31" s="109"/>
      <c r="O31" s="141">
        <f t="shared" si="5"/>
        <v>-0.78252469054674956</v>
      </c>
      <c r="P31" s="109"/>
      <c r="Q31" s="135">
        <f t="shared" si="6"/>
        <v>-0.81070833333333292</v>
      </c>
      <c r="R31" s="88"/>
      <c r="S31" s="141">
        <f t="shared" si="9"/>
        <v>0.64038403842381664</v>
      </c>
      <c r="T31" s="109"/>
      <c r="U31" s="153">
        <f t="shared" si="10"/>
        <v>0.66480524819456455</v>
      </c>
    </row>
    <row r="32" spans="1:29" ht="15.6" x14ac:dyDescent="0.3">
      <c r="B32" s="126">
        <v>14</v>
      </c>
      <c r="C32" s="89"/>
      <c r="D32" s="93" t="s">
        <v>2</v>
      </c>
      <c r="E32" s="157">
        <v>3.23</v>
      </c>
      <c r="F32" s="101">
        <f t="shared" si="15"/>
        <v>3.4733333333333332</v>
      </c>
      <c r="G32" s="100">
        <f t="shared" si="17"/>
        <v>3.8762500000000002</v>
      </c>
      <c r="H32" s="139">
        <f t="shared" si="18"/>
        <v>0.83327958722992579</v>
      </c>
      <c r="I32" s="133">
        <f t="shared" si="16"/>
        <v>-0.64625000000000021</v>
      </c>
      <c r="J32" s="139">
        <f t="shared" si="19"/>
        <v>3.6976449365234676</v>
      </c>
      <c r="K32" s="133">
        <f t="shared" si="20"/>
        <v>3.7176041666666668</v>
      </c>
      <c r="L32" s="139">
        <f>(3.87+0.0012*B32)*$N$4</f>
        <v>3.3952324291589866</v>
      </c>
      <c r="M32" s="133">
        <f>(3.88+0.001*B32)+$O$4</f>
        <v>3.4063958333333328</v>
      </c>
      <c r="N32" s="100"/>
      <c r="O32" s="139">
        <f t="shared" si="5"/>
        <v>-0.16523242915898662</v>
      </c>
      <c r="P32" s="100"/>
      <c r="Q32" s="133">
        <f t="shared" si="6"/>
        <v>-0.17639583333333286</v>
      </c>
      <c r="R32" s="89"/>
      <c r="S32" s="139">
        <f t="shared" si="9"/>
        <v>3.3469870679347473E-2</v>
      </c>
      <c r="T32" s="100"/>
      <c r="U32" s="151">
        <f t="shared" si="10"/>
        <v>3.2776713689356536E-2</v>
      </c>
    </row>
    <row r="33" spans="2:21" ht="15.6" x14ac:dyDescent="0.3">
      <c r="B33" s="126">
        <v>15</v>
      </c>
      <c r="C33" s="89"/>
      <c r="D33" s="93" t="s">
        <v>3</v>
      </c>
      <c r="E33" s="157">
        <v>3.59</v>
      </c>
      <c r="F33" s="101">
        <f t="shared" si="15"/>
        <v>3.7333333333333329</v>
      </c>
      <c r="G33" s="100">
        <f t="shared" si="17"/>
        <v>3.8420833333333331</v>
      </c>
      <c r="H33" s="139">
        <f t="shared" si="18"/>
        <v>0.93438889491378374</v>
      </c>
      <c r="I33" s="133">
        <f t="shared" si="16"/>
        <v>-0.25208333333333321</v>
      </c>
      <c r="J33" s="139">
        <f t="shared" si="19"/>
        <v>4.455758632109446</v>
      </c>
      <c r="K33" s="133">
        <f t="shared" si="20"/>
        <v>4.3480208333333339</v>
      </c>
      <c r="L33" s="139">
        <f>(3.87+0.0012*B33)*$N$5</f>
        <v>3.1325574727983052</v>
      </c>
      <c r="M33" s="133">
        <f>(3.88+0.001*B33)+$O$5</f>
        <v>3.1369791666666664</v>
      </c>
      <c r="N33" s="100"/>
      <c r="O33" s="139">
        <f t="shared" si="5"/>
        <v>0.45744252720169465</v>
      </c>
      <c r="P33" s="100"/>
      <c r="Q33" s="133">
        <f t="shared" si="6"/>
        <v>0.45302083333333343</v>
      </c>
      <c r="R33" s="89"/>
      <c r="S33" s="139">
        <f t="shared" si="9"/>
        <v>0.19336003656598896</v>
      </c>
      <c r="T33" s="100"/>
      <c r="U33" s="151">
        <f t="shared" si="10"/>
        <v>0.20103858377037523</v>
      </c>
    </row>
    <row r="34" spans="2:21" ht="15.6" x14ac:dyDescent="0.3">
      <c r="B34" s="126">
        <v>16</v>
      </c>
      <c r="C34" s="89"/>
      <c r="D34" s="93" t="s">
        <v>4</v>
      </c>
      <c r="E34" s="157">
        <v>4.38</v>
      </c>
      <c r="F34" s="101">
        <f t="shared" si="15"/>
        <v>4.1966666666666663</v>
      </c>
      <c r="G34" s="100">
        <f t="shared" si="17"/>
        <v>3.8470833333333334</v>
      </c>
      <c r="H34" s="139">
        <f t="shared" si="18"/>
        <v>1.1385248564930142</v>
      </c>
      <c r="I34" s="133">
        <f t="shared" si="16"/>
        <v>0.53291666666666648</v>
      </c>
      <c r="J34" s="139">
        <f t="shared" si="19"/>
        <v>3.935884488401268</v>
      </c>
      <c r="K34" s="133">
        <f t="shared" si="20"/>
        <v>3.9285416666666664</v>
      </c>
      <c r="L34" s="139">
        <f>(3.87+0.0012*B34)*$N$6</f>
        <v>4.3280477489112972</v>
      </c>
      <c r="M34" s="133">
        <f>(3.88+0.001*B34)+$O$6</f>
        <v>4.3474583333333339</v>
      </c>
      <c r="N34" s="100"/>
      <c r="O34" s="139">
        <f t="shared" si="5"/>
        <v>5.1952251088702717E-2</v>
      </c>
      <c r="P34" s="100"/>
      <c r="Q34" s="133">
        <f t="shared" si="6"/>
        <v>3.2541666666666025E-2</v>
      </c>
      <c r="R34" s="89"/>
      <c r="S34" s="139">
        <f t="shared" si="9"/>
        <v>1.1721689929707307E-3</v>
      </c>
      <c r="T34" s="100"/>
      <c r="U34" s="151">
        <f t="shared" si="10"/>
        <v>7.7808065984274566E-4</v>
      </c>
    </row>
    <row r="35" spans="2:21" ht="15.6" x14ac:dyDescent="0.3">
      <c r="B35" s="126">
        <v>17</v>
      </c>
      <c r="C35" s="89"/>
      <c r="D35" s="93" t="s">
        <v>5</v>
      </c>
      <c r="E35" s="157">
        <v>4.62</v>
      </c>
      <c r="F35" s="101">
        <f t="shared" si="15"/>
        <v>4.4800000000000004</v>
      </c>
      <c r="G35" s="100">
        <f t="shared" si="17"/>
        <v>3.8820833333333327</v>
      </c>
      <c r="H35" s="139">
        <f t="shared" si="18"/>
        <v>1.1900826446280994</v>
      </c>
      <c r="I35" s="133">
        <f t="shared" si="16"/>
        <v>0.73791666666666744</v>
      </c>
      <c r="J35" s="139">
        <f t="shared" si="19"/>
        <v>3.6800051405051875</v>
      </c>
      <c r="K35" s="133">
        <f t="shared" si="20"/>
        <v>3.6047916666666668</v>
      </c>
      <c r="L35" s="139">
        <f>(3.87+0.0012*B35)*$N$7</f>
        <v>4.8841366557255936</v>
      </c>
      <c r="M35" s="133">
        <f>(3.88+0.001*B35)+$O$7</f>
        <v>4.9122083333333331</v>
      </c>
      <c r="N35" s="100"/>
      <c r="O35" s="139">
        <f t="shared" si="5"/>
        <v>-0.26413665572559353</v>
      </c>
      <c r="P35" s="100"/>
      <c r="Q35" s="133">
        <f t="shared" si="6"/>
        <v>-0.29220833333333296</v>
      </c>
      <c r="R35" s="89"/>
      <c r="S35" s="139">
        <f t="shared" si="9"/>
        <v>7.9440523521146347E-2</v>
      </c>
      <c r="T35" s="100"/>
      <c r="U35" s="151">
        <f t="shared" si="10"/>
        <v>8.8123427014009256E-2</v>
      </c>
    </row>
    <row r="36" spans="2:21" ht="15.6" x14ac:dyDescent="0.3">
      <c r="B36" s="160">
        <v>18</v>
      </c>
      <c r="C36" s="161"/>
      <c r="D36" s="162" t="s">
        <v>6</v>
      </c>
      <c r="E36" s="163">
        <v>4.4400000000000004</v>
      </c>
      <c r="F36" s="164">
        <f t="shared" si="15"/>
        <v>4.38</v>
      </c>
      <c r="G36" s="165">
        <f t="shared" si="17"/>
        <v>3.8654166666666678</v>
      </c>
      <c r="H36" s="166">
        <f t="shared" si="18"/>
        <v>1.1486471919801657</v>
      </c>
      <c r="I36" s="167">
        <f t="shared" si="16"/>
        <v>0.57458333333333256</v>
      </c>
      <c r="J36" s="166">
        <f t="shared" si="19"/>
        <v>4.0030826543023235</v>
      </c>
      <c r="K36" s="167">
        <f t="shared" si="20"/>
        <v>4.0036458333333336</v>
      </c>
      <c r="L36" s="166">
        <f>(3.87+0.0012*B36)*$N$8</f>
        <v>4.3163495466249415</v>
      </c>
      <c r="M36" s="167">
        <f>(3.88+0.001*B36)+$O$8</f>
        <v>4.3343541666666665</v>
      </c>
      <c r="N36" s="165"/>
      <c r="O36" s="166">
        <f t="shared" si="5"/>
        <v>0.12365045337505887</v>
      </c>
      <c r="P36" s="165"/>
      <c r="Q36" s="167">
        <f t="shared" si="6"/>
        <v>0.10564583333333388</v>
      </c>
      <c r="R36" s="161"/>
      <c r="S36" s="166">
        <f t="shared" si="9"/>
        <v>1.1222257256262563E-2</v>
      </c>
      <c r="T36" s="165"/>
      <c r="U36" s="168">
        <f t="shared" si="10"/>
        <v>1.0200649308569735E-2</v>
      </c>
    </row>
    <row r="37" spans="2:21" ht="15.6" x14ac:dyDescent="0.3">
      <c r="B37" s="126">
        <v>19</v>
      </c>
      <c r="C37" s="89"/>
      <c r="D37" s="93" t="s">
        <v>7</v>
      </c>
      <c r="E37" s="157">
        <v>4.08</v>
      </c>
      <c r="F37" s="101">
        <f t="shared" si="15"/>
        <v>4.0999999999999996</v>
      </c>
      <c r="G37" s="100">
        <f t="shared" si="17"/>
        <v>3.9154166666666668</v>
      </c>
      <c r="H37" s="139">
        <f t="shared" si="18"/>
        <v>1.0420346919229542</v>
      </c>
      <c r="I37" s="133">
        <f t="shared" si="16"/>
        <v>0.1645833333333333</v>
      </c>
      <c r="J37" s="139">
        <f t="shared" si="19"/>
        <v>3.8616440792443028</v>
      </c>
      <c r="K37" s="133">
        <f t="shared" si="20"/>
        <v>3.8461458333333334</v>
      </c>
      <c r="L37" s="139">
        <f>(3.87+0.0012*B37)*$N$9</f>
        <v>4.112917626294581</v>
      </c>
      <c r="M37" s="133">
        <f>(3.88+0.001*B37)+$O$9</f>
        <v>4.1328541666666663</v>
      </c>
      <c r="N37" s="100"/>
      <c r="O37" s="139">
        <f t="shared" si="5"/>
        <v>-3.2917626294580948E-2</v>
      </c>
      <c r="P37" s="100"/>
      <c r="Q37" s="133">
        <f t="shared" si="6"/>
        <v>-5.2854166666666202E-2</v>
      </c>
      <c r="R37" s="89"/>
      <c r="S37" s="139">
        <f t="shared" si="9"/>
        <v>2.5636929691250717E-3</v>
      </c>
      <c r="T37" s="100"/>
      <c r="U37" s="151">
        <f t="shared" si="10"/>
        <v>3.3064496557918149E-3</v>
      </c>
    </row>
    <row r="38" spans="2:21" ht="15.6" x14ac:dyDescent="0.3">
      <c r="B38" s="126">
        <v>20</v>
      </c>
      <c r="C38" s="89"/>
      <c r="D38" s="93" t="s">
        <v>8</v>
      </c>
      <c r="E38" s="157">
        <v>3.78</v>
      </c>
      <c r="F38" s="101">
        <f t="shared" si="15"/>
        <v>3.86</v>
      </c>
      <c r="G38" s="100">
        <f t="shared" si="17"/>
        <v>4.010416666666667</v>
      </c>
      <c r="H38" s="139">
        <f t="shared" si="18"/>
        <v>0.94254545454545446</v>
      </c>
      <c r="I38" s="133">
        <f t="shared" si="16"/>
        <v>-0.23041666666666716</v>
      </c>
      <c r="J38" s="139">
        <f t="shared" si="19"/>
        <v>3.8337718403449008</v>
      </c>
      <c r="K38" s="133">
        <f t="shared" si="20"/>
        <v>3.8269791666666664</v>
      </c>
      <c r="L38" s="139">
        <f>(3.87+0.0012*B38)*$N$10</f>
        <v>3.8393834095969033</v>
      </c>
      <c r="M38" s="133">
        <f>(3.88+0.001*B38)+$O$10</f>
        <v>3.8530208333333333</v>
      </c>
      <c r="N38" s="100"/>
      <c r="O38" s="139">
        <f t="shared" si="5"/>
        <v>-5.9383409596903469E-2</v>
      </c>
      <c r="P38" s="100"/>
      <c r="Q38" s="133">
        <f t="shared" si="6"/>
        <v>-7.3020833333333535E-2</v>
      </c>
      <c r="R38" s="89"/>
      <c r="S38" s="139">
        <f t="shared" si="9"/>
        <v>5.944210631654975E-3</v>
      </c>
      <c r="T38" s="100"/>
      <c r="U38" s="151">
        <f t="shared" si="10"/>
        <v>6.0323807900511612E-3</v>
      </c>
    </row>
    <row r="39" spans="2:21" ht="15.6" x14ac:dyDescent="0.3">
      <c r="B39" s="126">
        <v>21</v>
      </c>
      <c r="C39" s="89"/>
      <c r="D39" s="93" t="s">
        <v>9</v>
      </c>
      <c r="E39" s="157">
        <v>3.72</v>
      </c>
      <c r="F39" s="101">
        <f>AVERAGE(E38:E40)</f>
        <v>3.72</v>
      </c>
      <c r="G39" s="100">
        <f t="shared" si="17"/>
        <v>4.0004166666666672</v>
      </c>
      <c r="H39" s="139">
        <f t="shared" si="18"/>
        <v>0.9299031350900947</v>
      </c>
      <c r="I39" s="133">
        <f t="shared" si="16"/>
        <v>-0.28041666666666698</v>
      </c>
      <c r="J39" s="139">
        <f t="shared" si="19"/>
        <v>3.712372018534186</v>
      </c>
      <c r="K39" s="133">
        <f t="shared" si="20"/>
        <v>3.7032291666666666</v>
      </c>
      <c r="L39" s="139">
        <f>(3.87+0.0012*B39)*$N$11</f>
        <v>3.9032036465249975</v>
      </c>
      <c r="M39" s="133">
        <f>(3.88+0.001*B39)+$O$11</f>
        <v>3.917770833333333</v>
      </c>
      <c r="N39" s="100"/>
      <c r="O39" s="139">
        <f t="shared" si="5"/>
        <v>-0.18320364652499732</v>
      </c>
      <c r="P39" s="100"/>
      <c r="Q39" s="133">
        <f t="shared" si="6"/>
        <v>-0.19777083333333279</v>
      </c>
      <c r="R39" s="89"/>
      <c r="S39" s="139">
        <f t="shared" si="9"/>
        <v>4.0368422056760112E-2</v>
      </c>
      <c r="T39" s="100"/>
      <c r="U39" s="151">
        <f t="shared" si="10"/>
        <v>4.0973209783106486E-2</v>
      </c>
    </row>
    <row r="40" spans="2:21" ht="15.6" x14ac:dyDescent="0.3">
      <c r="B40" s="126">
        <v>22</v>
      </c>
      <c r="C40" s="89"/>
      <c r="D40" s="93" t="s">
        <v>10</v>
      </c>
      <c r="E40" s="157">
        <v>3.66</v>
      </c>
      <c r="F40" s="101">
        <f t="shared" si="15"/>
        <v>3.5400000000000005</v>
      </c>
      <c r="G40" s="100">
        <f t="shared" si="17"/>
        <v>3.9549999999999996</v>
      </c>
      <c r="H40" s="139">
        <f t="shared" si="18"/>
        <v>0.92541087231352726</v>
      </c>
      <c r="I40" s="133">
        <f t="shared" si="16"/>
        <v>-0.29499999999999948</v>
      </c>
      <c r="J40" s="139">
        <f t="shared" si="19"/>
        <v>4.3181783863432646</v>
      </c>
      <c r="K40" s="133">
        <f t="shared" si="20"/>
        <v>4.2521874999999998</v>
      </c>
      <c r="L40" s="139">
        <f>(3.87+0.0012*B40)*$N$12</f>
        <v>3.302509235167657</v>
      </c>
      <c r="M40" s="133">
        <f>(3.88+0.001*B40)+$O$12</f>
        <v>3.3098125</v>
      </c>
      <c r="N40" s="100"/>
      <c r="O40" s="139">
        <f t="shared" si="5"/>
        <v>0.3574907648323431</v>
      </c>
      <c r="P40" s="100"/>
      <c r="Q40" s="133">
        <f t="shared" si="6"/>
        <v>0.3501875000000001</v>
      </c>
      <c r="R40" s="89"/>
      <c r="S40" s="139">
        <f t="shared" si="9"/>
        <v>0.11544736822012294</v>
      </c>
      <c r="T40" s="100"/>
      <c r="U40" s="151">
        <f>POWER(Q40-$Q$79,2)</f>
        <v>0.11939784360833819</v>
      </c>
    </row>
    <row r="41" spans="2:21" ht="15.6" x14ac:dyDescent="0.3">
      <c r="B41" s="126">
        <v>23</v>
      </c>
      <c r="C41" s="89"/>
      <c r="D41" s="93" t="s">
        <v>11</v>
      </c>
      <c r="E41" s="157">
        <v>3.24</v>
      </c>
      <c r="F41" s="101">
        <f t="shared" si="15"/>
        <v>3.56</v>
      </c>
      <c r="G41" s="100">
        <f t="shared" si="17"/>
        <v>3.9554166666666668</v>
      </c>
      <c r="H41" s="139">
        <f t="shared" si="18"/>
        <v>0.81912988517855267</v>
      </c>
      <c r="I41" s="133">
        <f t="shared" si="16"/>
        <v>-0.71541666666666659</v>
      </c>
      <c r="J41" s="139">
        <f t="shared" si="19"/>
        <v>3.954092990245877</v>
      </c>
      <c r="K41" s="133">
        <f t="shared" si="20"/>
        <v>3.9428125000000005</v>
      </c>
      <c r="L41" s="139">
        <f>(3.87+0.0012*B41)*$N$13</f>
        <v>3.1937094122854055</v>
      </c>
      <c r="M41" s="133">
        <f>(3.88+0.001*B41)+$O$13</f>
        <v>3.2001874999999997</v>
      </c>
      <c r="N41" s="100"/>
      <c r="O41" s="139">
        <f t="shared" si="5"/>
        <v>4.6290587714594711E-2</v>
      </c>
      <c r="P41" s="100"/>
      <c r="Q41" s="133">
        <f t="shared" si="6"/>
        <v>3.9812500000000473E-2</v>
      </c>
      <c r="R41" s="89"/>
      <c r="S41" s="139">
        <f t="shared" si="9"/>
        <v>8.1654721246395045E-4</v>
      </c>
      <c r="T41" s="100"/>
      <c r="U41" s="151">
        <f t="shared" si="10"/>
        <v>1.2365723409770728E-3</v>
      </c>
    </row>
    <row r="42" spans="2:21" ht="16.2" thickBot="1" x14ac:dyDescent="0.35">
      <c r="B42" s="127">
        <v>24</v>
      </c>
      <c r="C42" s="91"/>
      <c r="D42" s="112" t="s">
        <v>12</v>
      </c>
      <c r="E42" s="158">
        <v>3.78</v>
      </c>
      <c r="F42" s="114">
        <f t="shared" si="15"/>
        <v>4.1166666666666663</v>
      </c>
      <c r="G42" s="113">
        <f t="shared" si="17"/>
        <v>3.9633333333333334</v>
      </c>
      <c r="H42" s="140">
        <f t="shared" si="18"/>
        <v>0.95374264087468452</v>
      </c>
      <c r="I42" s="134">
        <f t="shared" si="16"/>
        <v>-0.18333333333333357</v>
      </c>
      <c r="J42" s="140">
        <f t="shared" si="19"/>
        <v>3.7652775246920127</v>
      </c>
      <c r="K42" s="134">
        <f t="shared" si="20"/>
        <v>3.7555208333333332</v>
      </c>
      <c r="L42" s="140">
        <f>(3.87+0.0012*B42)*$N$14</f>
        <v>3.9140445567038187</v>
      </c>
      <c r="M42" s="134">
        <f>(3.88+0.001*B42)+$O$14</f>
        <v>3.9284791666666665</v>
      </c>
      <c r="N42" s="113"/>
      <c r="O42" s="140">
        <f t="shared" si="5"/>
        <v>-0.13404455670381887</v>
      </c>
      <c r="P42" s="113"/>
      <c r="Q42" s="134">
        <f t="shared" si="6"/>
        <v>-0.14847916666666672</v>
      </c>
      <c r="R42" s="91"/>
      <c r="S42" s="140">
        <f t="shared" si="9"/>
        <v>2.3031053339383902E-2</v>
      </c>
      <c r="T42" s="113"/>
      <c r="U42" s="152">
        <f t="shared" si="10"/>
        <v>2.3447797312041902E-2</v>
      </c>
    </row>
    <row r="43" spans="2:21" ht="15.6" x14ac:dyDescent="0.3">
      <c r="B43" s="128">
        <v>25</v>
      </c>
      <c r="C43" s="107">
        <v>1987</v>
      </c>
      <c r="D43" s="108" t="s">
        <v>1</v>
      </c>
      <c r="E43" s="159">
        <v>5.33</v>
      </c>
      <c r="F43" s="110">
        <f t="shared" si="15"/>
        <v>4.296666666666666</v>
      </c>
      <c r="G43" s="109">
        <f t="shared" si="17"/>
        <v>3.9725000000000001</v>
      </c>
      <c r="H43" s="141">
        <f t="shared" si="18"/>
        <v>1.341724354940214</v>
      </c>
      <c r="I43" s="135">
        <f t="shared" si="16"/>
        <v>1.3574999999999999</v>
      </c>
      <c r="J43" s="141">
        <f t="shared" ref="J43:J54" si="21">E43/N3</f>
        <v>4.7256431993806425</v>
      </c>
      <c r="K43" s="135">
        <f t="shared" ref="K43:K54" si="22">E43-O3</f>
        <v>4.8122916666666669</v>
      </c>
      <c r="L43" s="141">
        <f>(3.87+0.0012*B43)*$N$3</f>
        <v>4.3987662891528521</v>
      </c>
      <c r="M43" s="135">
        <f>(3.88+0.001*B43)+$O$3</f>
        <v>4.4227083333333335</v>
      </c>
      <c r="N43" s="109"/>
      <c r="O43" s="141">
        <f t="shared" si="5"/>
        <v>0.93123371084714801</v>
      </c>
      <c r="P43" s="109"/>
      <c r="Q43" s="135">
        <f t="shared" si="6"/>
        <v>0.90729166666666661</v>
      </c>
      <c r="R43" s="88"/>
      <c r="S43" s="141">
        <f t="shared" si="9"/>
        <v>0.83451589157594075</v>
      </c>
      <c r="T43" s="109"/>
      <c r="U43" s="153">
        <f t="shared" si="10"/>
        <v>0.81476636625012022</v>
      </c>
    </row>
    <row r="44" spans="2:21" ht="15.6" x14ac:dyDescent="0.3">
      <c r="B44" s="126">
        <v>26</v>
      </c>
      <c r="C44" s="89"/>
      <c r="D44" s="93" t="s">
        <v>2</v>
      </c>
      <c r="E44" s="157">
        <v>3.78</v>
      </c>
      <c r="F44" s="101">
        <f t="shared" si="15"/>
        <v>3.97</v>
      </c>
      <c r="G44" s="100">
        <f t="shared" si="17"/>
        <v>3.9883333333333333</v>
      </c>
      <c r="H44" s="139">
        <f>E44/G44</f>
        <v>0.94776431257835347</v>
      </c>
      <c r="I44" s="133">
        <f t="shared" si="16"/>
        <v>-0.20833333333333348</v>
      </c>
      <c r="J44" s="139">
        <f t="shared" si="21"/>
        <v>4.3272748792751417</v>
      </c>
      <c r="K44" s="133">
        <f t="shared" si="22"/>
        <v>4.2676041666666666</v>
      </c>
      <c r="L44" s="139">
        <f>(3.87+0.0012*B44)*$N$4</f>
        <v>3.4078112464328081</v>
      </c>
      <c r="M44" s="133">
        <f>(3.88+0.001*B44)+$O$4</f>
        <v>3.4183958333333333</v>
      </c>
      <c r="N44" s="100"/>
      <c r="O44" s="139">
        <f t="shared" si="5"/>
        <v>0.37218875356719172</v>
      </c>
      <c r="P44" s="100"/>
      <c r="Q44" s="133">
        <f t="shared" si="6"/>
        <v>0.3616041666666665</v>
      </c>
      <c r="R44" s="89"/>
      <c r="S44" s="139">
        <f t="shared" si="9"/>
        <v>0.12565143107626112</v>
      </c>
      <c r="T44" s="100"/>
      <c r="U44" s="151">
        <f t="shared" si="10"/>
        <v>0.12741801230046762</v>
      </c>
    </row>
    <row r="45" spans="2:21" ht="15.6" x14ac:dyDescent="0.3">
      <c r="B45" s="126">
        <v>27</v>
      </c>
      <c r="C45" s="89"/>
      <c r="D45" s="93" t="s">
        <v>3</v>
      </c>
      <c r="E45" s="157">
        <v>2.8</v>
      </c>
      <c r="F45" s="101">
        <f t="shared" si="15"/>
        <v>3.5533333333333332</v>
      </c>
      <c r="G45" s="100">
        <f t="shared" si="17"/>
        <v>3.99</v>
      </c>
      <c r="H45" s="139">
        <f t="shared" ref="H45:H59" si="23">E45/G45</f>
        <v>0.70175438596491224</v>
      </c>
      <c r="I45" s="133">
        <f t="shared" si="16"/>
        <v>-1.1900000000000004</v>
      </c>
      <c r="J45" s="139">
        <f t="shared" si="21"/>
        <v>3.4752435013666982</v>
      </c>
      <c r="K45" s="133">
        <f t="shared" si="22"/>
        <v>3.5580208333333339</v>
      </c>
      <c r="L45" s="139">
        <f>(3.87+0.0012*B45)*$N$5</f>
        <v>3.1441595375123734</v>
      </c>
      <c r="M45" s="133">
        <f>(3.88+0.001*B45)+$O$5</f>
        <v>3.148979166666666</v>
      </c>
      <c r="N45" s="100"/>
      <c r="O45" s="139">
        <f t="shared" si="5"/>
        <v>-0.3441595375123736</v>
      </c>
      <c r="P45" s="100"/>
      <c r="Q45" s="133">
        <f t="shared" si="6"/>
        <v>-0.34897916666666617</v>
      </c>
      <c r="R45" s="89"/>
      <c r="S45" s="139">
        <f t="shared" si="9"/>
        <v>0.13095339619477234</v>
      </c>
      <c r="T45" s="100"/>
      <c r="U45" s="151">
        <f t="shared" si="10"/>
        <v>0.12505186849259711</v>
      </c>
    </row>
    <row r="46" spans="2:21" ht="15.6" x14ac:dyDescent="0.3">
      <c r="B46" s="126">
        <v>28</v>
      </c>
      <c r="C46" s="89"/>
      <c r="D46" s="93" t="s">
        <v>4</v>
      </c>
      <c r="E46" s="157">
        <v>4.08</v>
      </c>
      <c r="F46" s="101">
        <f t="shared" si="15"/>
        <v>3.9366666666666661</v>
      </c>
      <c r="G46" s="100">
        <f>(0.5*E40+SUM(E41:E51)+0.5*E52)/$K$13</f>
        <v>3.9795833333333328</v>
      </c>
      <c r="H46" s="139">
        <f t="shared" si="23"/>
        <v>1.0252329598994872</v>
      </c>
      <c r="I46" s="133">
        <f t="shared" si="16"/>
        <v>0.10041666666666726</v>
      </c>
      <c r="J46" s="139">
        <f t="shared" si="21"/>
        <v>3.6663033590587153</v>
      </c>
      <c r="K46" s="133">
        <f t="shared" si="22"/>
        <v>3.6285416666666666</v>
      </c>
      <c r="L46" s="139">
        <f>(3.87+0.0012*B46)*$N$6</f>
        <v>4.3440726094441375</v>
      </c>
      <c r="M46" s="133">
        <f>(3.88+0.001*B46)+$O$6</f>
        <v>4.3594583333333334</v>
      </c>
      <c r="N46" s="100"/>
      <c r="O46" s="139">
        <f t="shared" si="5"/>
        <v>-0.26407260944413746</v>
      </c>
      <c r="P46" s="100"/>
      <c r="Q46" s="133">
        <f t="shared" si="6"/>
        <v>-0.27945833333333336</v>
      </c>
      <c r="R46" s="89"/>
      <c r="S46" s="139">
        <f t="shared" si="9"/>
        <v>7.9404424484025682E-2</v>
      </c>
      <c r="T46" s="100"/>
      <c r="U46" s="151">
        <f t="shared" si="10"/>
        <v>8.0716163993176174E-2</v>
      </c>
    </row>
    <row r="47" spans="2:21" ht="15.6" x14ac:dyDescent="0.3">
      <c r="B47" s="126">
        <v>29</v>
      </c>
      <c r="C47" s="89"/>
      <c r="D47" s="93" t="s">
        <v>5</v>
      </c>
      <c r="E47" s="157">
        <v>4.93</v>
      </c>
      <c r="F47" s="101">
        <f t="shared" si="15"/>
        <v>4.4433333333333334</v>
      </c>
      <c r="G47" s="100">
        <f t="shared" si="17"/>
        <v>3.9758333333333336</v>
      </c>
      <c r="H47" s="139">
        <f t="shared" si="23"/>
        <v>1.2399916160134143</v>
      </c>
      <c r="I47" s="133">
        <f t="shared" si="16"/>
        <v>0.95416666666666616</v>
      </c>
      <c r="J47" s="139">
        <f t="shared" si="21"/>
        <v>3.9269318923572669</v>
      </c>
      <c r="K47" s="133">
        <f t="shared" si="22"/>
        <v>3.9147916666666664</v>
      </c>
      <c r="L47" s="139">
        <f>(3.87+0.0012*B47)*$N$7</f>
        <v>4.9022148913420986</v>
      </c>
      <c r="M47" s="133">
        <f>(3.88+0.001*B47)+$O$7</f>
        <v>4.9242083333333326</v>
      </c>
      <c r="N47" s="100"/>
      <c r="O47" s="139">
        <f t="shared" si="5"/>
        <v>2.778510865790107E-2</v>
      </c>
      <c r="P47" s="100"/>
      <c r="Q47" s="133">
        <f t="shared" si="6"/>
        <v>5.7916666666670835E-3</v>
      </c>
      <c r="R47" s="89"/>
      <c r="S47" s="139">
        <f t="shared" si="9"/>
        <v>1.0140109732513292E-4</v>
      </c>
      <c r="T47" s="100"/>
      <c r="U47" s="151">
        <f t="shared" si="10"/>
        <v>1.3089584538973916E-6</v>
      </c>
    </row>
    <row r="48" spans="2:21" ht="15.6" x14ac:dyDescent="0.3">
      <c r="B48" s="160">
        <v>30</v>
      </c>
      <c r="C48" s="161"/>
      <c r="D48" s="162" t="s">
        <v>6</v>
      </c>
      <c r="E48" s="163">
        <v>4.32</v>
      </c>
      <c r="F48" s="164">
        <f t="shared" si="15"/>
        <v>4.5566666666666666</v>
      </c>
      <c r="G48" s="165">
        <f t="shared" si="17"/>
        <v>3.9845833333333331</v>
      </c>
      <c r="H48" s="166">
        <f t="shared" si="23"/>
        <v>1.0841786050402595</v>
      </c>
      <c r="I48" s="167">
        <f t="shared" si="16"/>
        <v>0.33541666666666714</v>
      </c>
      <c r="J48" s="166">
        <f t="shared" si="21"/>
        <v>3.8948912312130712</v>
      </c>
      <c r="K48" s="167">
        <f t="shared" si="22"/>
        <v>3.8836458333333335</v>
      </c>
      <c r="L48" s="166">
        <f>(3.87+0.0012*B48)*$N$8</f>
        <v>4.3323212378242939</v>
      </c>
      <c r="M48" s="167">
        <f>(3.88+0.001*B48)+$O$8</f>
        <v>4.3463541666666661</v>
      </c>
      <c r="N48" s="165"/>
      <c r="O48" s="166">
        <f t="shared" si="5"/>
        <v>-1.2321237824293618E-2</v>
      </c>
      <c r="P48" s="165"/>
      <c r="Q48" s="167">
        <f t="shared" si="6"/>
        <v>-2.635416666666579E-2</v>
      </c>
      <c r="R48" s="161"/>
      <c r="S48" s="166">
        <f t="shared" si="9"/>
        <v>9.0219345258928183E-4</v>
      </c>
      <c r="T48" s="165"/>
      <c r="U48" s="168">
        <f t="shared" si="10"/>
        <v>9.6110764190292079E-4</v>
      </c>
    </row>
    <row r="49" spans="2:21" ht="15.6" x14ac:dyDescent="0.3">
      <c r="B49" s="126">
        <v>31</v>
      </c>
      <c r="C49" s="89"/>
      <c r="D49" s="93" t="s">
        <v>7</v>
      </c>
      <c r="E49" s="157">
        <v>4.42</v>
      </c>
      <c r="F49" s="101">
        <f t="shared" si="15"/>
        <v>4.1866666666666665</v>
      </c>
      <c r="G49" s="100">
        <f t="shared" si="17"/>
        <v>3.9416666666666664</v>
      </c>
      <c r="H49" s="139">
        <f t="shared" si="23"/>
        <v>1.1213530655391122</v>
      </c>
      <c r="I49" s="133">
        <f t="shared" si="16"/>
        <v>0.4783333333333335</v>
      </c>
      <c r="J49" s="139">
        <f t="shared" si="21"/>
        <v>4.1834477525146614</v>
      </c>
      <c r="K49" s="133">
        <f t="shared" si="22"/>
        <v>4.1861458333333337</v>
      </c>
      <c r="L49" s="139">
        <f>(3.87+0.0012*B49)*$N$9</f>
        <v>4.128131871521318</v>
      </c>
      <c r="M49" s="133">
        <f>(3.88+0.001*B49)+$O$9</f>
        <v>4.1448541666666667</v>
      </c>
      <c r="N49" s="100"/>
      <c r="O49" s="139">
        <f t="shared" si="5"/>
        <v>0.29186812847868193</v>
      </c>
      <c r="P49" s="100"/>
      <c r="Q49" s="133">
        <f t="shared" si="6"/>
        <v>0.2751458333333332</v>
      </c>
      <c r="R49" s="89"/>
      <c r="S49" s="139">
        <f t="shared" si="9"/>
        <v>7.5159774749126246E-2</v>
      </c>
      <c r="T49" s="100"/>
      <c r="U49" s="151">
        <f t="shared" si="10"/>
        <v>7.3169310766902876E-2</v>
      </c>
    </row>
    <row r="50" spans="2:21" ht="15.6" x14ac:dyDescent="0.3">
      <c r="B50" s="126">
        <v>32</v>
      </c>
      <c r="C50" s="89"/>
      <c r="D50" s="93" t="s">
        <v>8</v>
      </c>
      <c r="E50" s="157">
        <v>3.82</v>
      </c>
      <c r="F50" s="101">
        <f>AVERAGE(E49:E51)</f>
        <v>3.9866666666666668</v>
      </c>
      <c r="G50" s="100">
        <f t="shared" si="17"/>
        <v>3.8783333333333334</v>
      </c>
      <c r="H50" s="139">
        <f t="shared" si="23"/>
        <v>0.98495917490330898</v>
      </c>
      <c r="I50" s="133">
        <f t="shared" si="16"/>
        <v>-5.833333333333357E-2</v>
      </c>
      <c r="J50" s="139">
        <f t="shared" si="21"/>
        <v>3.8743408545284446</v>
      </c>
      <c r="K50" s="133">
        <f t="shared" si="22"/>
        <v>3.8669791666666664</v>
      </c>
      <c r="L50" s="139">
        <f>(3.87+0.0012*B50)*$N$10</f>
        <v>3.8535814376139026</v>
      </c>
      <c r="M50" s="133">
        <f>(3.88+0.001*B50)+$O$10</f>
        <v>3.8650208333333333</v>
      </c>
      <c r="N50" s="100"/>
      <c r="O50" s="139">
        <f t="shared" si="5"/>
        <v>-3.3581437613902754E-2</v>
      </c>
      <c r="P50" s="100"/>
      <c r="Q50" s="133">
        <f t="shared" si="6"/>
        <v>-4.502083333333351E-2</v>
      </c>
      <c r="R50" s="89"/>
      <c r="S50" s="139">
        <f t="shared" si="9"/>
        <v>2.6313550304456019E-3</v>
      </c>
      <c r="T50" s="100"/>
      <c r="U50" s="151">
        <f t="shared" si="10"/>
        <v>2.4669502344955882E-3</v>
      </c>
    </row>
    <row r="51" spans="2:21" ht="15.6" x14ac:dyDescent="0.3">
      <c r="B51" s="126">
        <v>33</v>
      </c>
      <c r="C51" s="89"/>
      <c r="D51" s="93" t="s">
        <v>9</v>
      </c>
      <c r="E51" s="157">
        <v>3.72</v>
      </c>
      <c r="F51" s="101">
        <f t="shared" si="15"/>
        <v>3.65</v>
      </c>
      <c r="G51" s="100">
        <f t="shared" si="17"/>
        <v>3.8658333333333328</v>
      </c>
      <c r="H51" s="139">
        <f t="shared" si="23"/>
        <v>0.9622763526622119</v>
      </c>
      <c r="I51" s="133">
        <f t="shared" si="16"/>
        <v>-0.14583333333333259</v>
      </c>
      <c r="J51" s="139">
        <f t="shared" si="21"/>
        <v>3.712372018534186</v>
      </c>
      <c r="K51" s="133">
        <f t="shared" si="22"/>
        <v>3.7032291666666666</v>
      </c>
      <c r="L51" s="139">
        <f>(3.87+0.0012*B51)*$N$11</f>
        <v>3.9176332348670497</v>
      </c>
      <c r="M51" s="133">
        <f>(3.88+0.001*B51)+$O$11</f>
        <v>3.9297708333333334</v>
      </c>
      <c r="N51" s="100"/>
      <c r="O51" s="139">
        <f t="shared" ref="O51:O78" si="24">E51-L51</f>
        <v>-0.19763323486704953</v>
      </c>
      <c r="P51" s="100"/>
      <c r="Q51" s="133">
        <f t="shared" ref="Q51:Q78" si="25">E51-M51</f>
        <v>-0.20977083333333324</v>
      </c>
      <c r="R51" s="89"/>
      <c r="S51" s="139">
        <f t="shared" si="9"/>
        <v>4.6374990380466441E-2</v>
      </c>
      <c r="T51" s="100"/>
      <c r="U51" s="151">
        <f t="shared" si="10"/>
        <v>4.5975251449773338E-2</v>
      </c>
    </row>
    <row r="52" spans="2:21" ht="15.6" x14ac:dyDescent="0.3">
      <c r="B52" s="126">
        <v>34</v>
      </c>
      <c r="C52" s="89"/>
      <c r="D52" s="93" t="s">
        <v>10</v>
      </c>
      <c r="E52" s="157">
        <v>3.41</v>
      </c>
      <c r="F52" s="101">
        <f t="shared" si="15"/>
        <v>3.5100000000000002</v>
      </c>
      <c r="G52" s="100">
        <f t="shared" si="17"/>
        <v>3.8874999999999993</v>
      </c>
      <c r="H52" s="139">
        <f t="shared" si="23"/>
        <v>0.87717041800643103</v>
      </c>
      <c r="I52" s="133">
        <f t="shared" si="16"/>
        <v>-0.47749999999999915</v>
      </c>
      <c r="J52" s="139">
        <f t="shared" si="21"/>
        <v>4.023220846292495</v>
      </c>
      <c r="K52" s="133">
        <f t="shared" si="22"/>
        <v>4.0021874999999998</v>
      </c>
      <c r="L52" s="139">
        <f>(3.87+0.0012*B52)*$N$12</f>
        <v>3.3147143817096993</v>
      </c>
      <c r="M52" s="133">
        <f>(3.88+0.001*B52)+$O$12</f>
        <v>3.3218125000000001</v>
      </c>
      <c r="N52" s="100"/>
      <c r="O52" s="139">
        <f t="shared" si="24"/>
        <v>9.52856182903008E-2</v>
      </c>
      <c r="P52" s="100"/>
      <c r="Q52" s="133">
        <f t="shared" si="25"/>
        <v>8.8187500000000085E-2</v>
      </c>
      <c r="R52" s="89"/>
      <c r="S52" s="139">
        <f t="shared" si="9"/>
        <v>6.0171546718959757E-3</v>
      </c>
      <c r="T52" s="100"/>
      <c r="U52" s="151">
        <f t="shared" si="10"/>
        <v>6.9789199972270476E-3</v>
      </c>
    </row>
    <row r="53" spans="2:21" ht="15.6" x14ac:dyDescent="0.3">
      <c r="B53" s="126">
        <v>35</v>
      </c>
      <c r="C53" s="89"/>
      <c r="D53" s="93" t="s">
        <v>11</v>
      </c>
      <c r="E53" s="157">
        <v>3.4</v>
      </c>
      <c r="F53" s="101">
        <f t="shared" si="15"/>
        <v>3.5466666666666669</v>
      </c>
      <c r="G53" s="100">
        <f t="shared" si="17"/>
        <v>3.9079166666666669</v>
      </c>
      <c r="H53" s="139">
        <f t="shared" si="23"/>
        <v>0.87002878771724057</v>
      </c>
      <c r="I53" s="133">
        <f t="shared" si="16"/>
        <v>-0.50791666666666702</v>
      </c>
      <c r="J53" s="139">
        <f t="shared" si="21"/>
        <v>4.1493568416160436</v>
      </c>
      <c r="K53" s="133">
        <f t="shared" si="22"/>
        <v>4.1028125000000006</v>
      </c>
      <c r="L53" s="139">
        <f>(3.87+0.0012*B53)*$N$13</f>
        <v>3.2055088312963118</v>
      </c>
      <c r="M53" s="133">
        <f>(3.88+0.001*B53)+$O$13</f>
        <v>3.2121874999999998</v>
      </c>
      <c r="N53" s="100"/>
      <c r="O53" s="139">
        <f t="shared" si="24"/>
        <v>0.1944911687036881</v>
      </c>
      <c r="P53" s="100"/>
      <c r="Q53" s="133">
        <f t="shared" si="25"/>
        <v>0.18781250000000016</v>
      </c>
      <c r="R53" s="89"/>
      <c r="S53" s="139">
        <f t="shared" si="9"/>
        <v>3.124970864981778E-2</v>
      </c>
      <c r="T53" s="100"/>
      <c r="U53" s="151">
        <f t="shared" si="10"/>
        <v>3.3549391785421517E-2</v>
      </c>
    </row>
    <row r="54" spans="2:21" ht="16.2" thickBot="1" x14ac:dyDescent="0.35">
      <c r="B54" s="127">
        <v>36</v>
      </c>
      <c r="C54" s="91"/>
      <c r="D54" s="112" t="s">
        <v>12</v>
      </c>
      <c r="E54" s="158">
        <v>3.83</v>
      </c>
      <c r="F54" s="114">
        <f t="shared" si="15"/>
        <v>3.8266666666666667</v>
      </c>
      <c r="G54" s="113">
        <f t="shared" si="17"/>
        <v>3.9150000000000005</v>
      </c>
      <c r="H54" s="140">
        <f t="shared" si="23"/>
        <v>0.97828863346104711</v>
      </c>
      <c r="I54" s="134">
        <f t="shared" si="16"/>
        <v>-8.5000000000000409E-2</v>
      </c>
      <c r="J54" s="140">
        <f t="shared" si="21"/>
        <v>3.8150827829551348</v>
      </c>
      <c r="K54" s="134">
        <f t="shared" si="22"/>
        <v>3.8055208333333335</v>
      </c>
      <c r="L54" s="140">
        <f>(3.87+0.0012*B54)*$N$14</f>
        <v>3.9285008616223922</v>
      </c>
      <c r="M54" s="134">
        <f>(3.88+0.001*B54)+$O$14</f>
        <v>3.9404791666666665</v>
      </c>
      <c r="N54" s="113"/>
      <c r="O54" s="140">
        <f t="shared" si="24"/>
        <v>-9.8500861622392133E-2</v>
      </c>
      <c r="P54" s="113"/>
      <c r="Q54" s="134">
        <f t="shared" si="25"/>
        <v>-0.11047916666666646</v>
      </c>
      <c r="R54" s="91"/>
      <c r="S54" s="140">
        <f t="shared" si="9"/>
        <v>1.3506195634590341E-2</v>
      </c>
      <c r="T54" s="113"/>
      <c r="U54" s="152">
        <f t="shared" si="10"/>
        <v>1.3254165367597383E-2</v>
      </c>
    </row>
    <row r="55" spans="2:21" ht="15.6" x14ac:dyDescent="0.3">
      <c r="B55" s="128">
        <v>37</v>
      </c>
      <c r="C55" s="107">
        <v>1988</v>
      </c>
      <c r="D55" s="108" t="s">
        <v>1</v>
      </c>
      <c r="E55" s="159">
        <v>4.25</v>
      </c>
      <c r="F55" s="110">
        <f t="shared" si="15"/>
        <v>3.8066666666666666</v>
      </c>
      <c r="G55" s="109">
        <f t="shared" si="17"/>
        <v>3.8745833333333337</v>
      </c>
      <c r="H55" s="141">
        <f t="shared" si="23"/>
        <v>1.0968921389396709</v>
      </c>
      <c r="I55" s="135">
        <f t="shared" si="16"/>
        <v>0.37541666666666629</v>
      </c>
      <c r="J55" s="141">
        <f t="shared" ref="J55:J66" si="26">E55/N3</f>
        <v>3.7681019882491049</v>
      </c>
      <c r="K55" s="135">
        <f t="shared" ref="K55:K66" si="27">E55-O3</f>
        <v>3.7322916666666668</v>
      </c>
      <c r="L55" s="141">
        <f>(3.87+0.0012*B55)*$N$3</f>
        <v>4.4150078877589554</v>
      </c>
      <c r="M55" s="135">
        <f>(3.88+0.001*B55)+$O$3</f>
        <v>4.434708333333333</v>
      </c>
      <c r="N55" s="109"/>
      <c r="O55" s="141">
        <f t="shared" si="24"/>
        <v>-0.16500788775895536</v>
      </c>
      <c r="P55" s="109"/>
      <c r="Q55" s="135">
        <f t="shared" si="25"/>
        <v>-0.18470833333333303</v>
      </c>
      <c r="R55" s="88"/>
      <c r="S55" s="141">
        <f t="shared" si="9"/>
        <v>3.3387762420847407E-2</v>
      </c>
      <c r="T55" s="109"/>
      <c r="U55" s="153">
        <f t="shared" si="10"/>
        <v>3.5855657916787145E-2</v>
      </c>
    </row>
    <row r="56" spans="2:21" ht="15.6" x14ac:dyDescent="0.3">
      <c r="B56" s="126">
        <v>38</v>
      </c>
      <c r="C56" s="89"/>
      <c r="D56" s="93" t="s">
        <v>2</v>
      </c>
      <c r="E56" s="157">
        <v>3.34</v>
      </c>
      <c r="F56" s="101">
        <f t="shared" si="15"/>
        <v>3.51</v>
      </c>
      <c r="G56" s="100">
        <f t="shared" si="17"/>
        <v>3.8329166666666663</v>
      </c>
      <c r="H56" s="139">
        <f t="shared" si="23"/>
        <v>0.87139906511577347</v>
      </c>
      <c r="I56" s="133">
        <f t="shared" si="16"/>
        <v>-0.49291666666666645</v>
      </c>
      <c r="J56" s="139">
        <f t="shared" si="26"/>
        <v>3.8235709250738026</v>
      </c>
      <c r="K56" s="133">
        <f t="shared" si="27"/>
        <v>3.8276041666666663</v>
      </c>
      <c r="L56" s="139">
        <f>(3.87+0.0012*B56)*$N$4</f>
        <v>3.4203900637066296</v>
      </c>
      <c r="M56" s="133">
        <f>(3.88+0.001*B56)+$O$4</f>
        <v>3.4303958333333329</v>
      </c>
      <c r="N56" s="100"/>
      <c r="O56" s="139">
        <f t="shared" si="24"/>
        <v>-8.0390063706629711E-2</v>
      </c>
      <c r="P56" s="100"/>
      <c r="Q56" s="133">
        <f t="shared" si="25"/>
        <v>-9.0395833333333009E-2</v>
      </c>
      <c r="R56" s="89"/>
      <c r="S56" s="139">
        <f t="shared" si="9"/>
        <v>9.6246618919364375E-3</v>
      </c>
      <c r="T56" s="100"/>
      <c r="U56" s="151">
        <f t="shared" si="10"/>
        <v>9.0332484115788481E-3</v>
      </c>
    </row>
    <row r="57" spans="2:21" ht="15.6" x14ac:dyDescent="0.3">
      <c r="B57" s="126">
        <v>39</v>
      </c>
      <c r="C57" s="89"/>
      <c r="D57" s="93" t="s">
        <v>3</v>
      </c>
      <c r="E57" s="157">
        <v>2.94</v>
      </c>
      <c r="F57" s="101">
        <f t="shared" si="15"/>
        <v>3.5799999999999996</v>
      </c>
      <c r="G57" s="100">
        <f t="shared" si="17"/>
        <v>3.8462500000000008</v>
      </c>
      <c r="H57" s="139">
        <f t="shared" si="23"/>
        <v>0.76438089047773783</v>
      </c>
      <c r="I57" s="133">
        <f t="shared" si="16"/>
        <v>-0.90625000000000089</v>
      </c>
      <c r="J57" s="139">
        <f t="shared" si="26"/>
        <v>3.6490056764350336</v>
      </c>
      <c r="K57" s="133">
        <f t="shared" si="27"/>
        <v>3.6980208333333335</v>
      </c>
      <c r="L57" s="139">
        <f>(3.87+0.0012*B57)*$N$5</f>
        <v>3.1557616022264412</v>
      </c>
      <c r="M57" s="133">
        <f>(3.88+0.001*B57)+$O$5</f>
        <v>3.1609791666666665</v>
      </c>
      <c r="N57" s="100"/>
      <c r="O57" s="139">
        <f t="shared" si="24"/>
        <v>-0.21576160222644125</v>
      </c>
      <c r="P57" s="100"/>
      <c r="Q57" s="133">
        <f t="shared" si="25"/>
        <v>-0.2209791666666665</v>
      </c>
      <c r="R57" s="89"/>
      <c r="S57" s="139">
        <f t="shared" si="9"/>
        <v>5.4511462692669987E-2</v>
      </c>
      <c r="T57" s="100"/>
      <c r="U57" s="151">
        <f t="shared" si="10"/>
        <v>5.0907424048152933E-2</v>
      </c>
    </row>
    <row r="58" spans="2:21" ht="15.6" x14ac:dyDescent="0.3">
      <c r="B58" s="126">
        <v>40</v>
      </c>
      <c r="C58" s="89"/>
      <c r="D58" s="93" t="s">
        <v>4</v>
      </c>
      <c r="E58" s="157">
        <v>4.46</v>
      </c>
      <c r="F58" s="101">
        <f t="shared" si="15"/>
        <v>4.1466666666666674</v>
      </c>
      <c r="G58" s="100">
        <f t="shared" si="17"/>
        <v>3.8554166666666667</v>
      </c>
      <c r="H58" s="139">
        <f t="shared" si="23"/>
        <v>1.1568140062682373</v>
      </c>
      <c r="I58" s="133">
        <f t="shared" si="16"/>
        <v>0.60458333333333325</v>
      </c>
      <c r="J58" s="139">
        <f t="shared" si="26"/>
        <v>4.0077727895592821</v>
      </c>
      <c r="K58" s="133">
        <f t="shared" si="27"/>
        <v>4.008541666666666</v>
      </c>
      <c r="L58" s="139">
        <f>(3.87+0.0012*B58)*$N$6</f>
        <v>4.3600974699769779</v>
      </c>
      <c r="M58" s="133">
        <f>(3.88+0.001*B58)+$O$6</f>
        <v>4.371458333333333</v>
      </c>
      <c r="N58" s="100"/>
      <c r="O58" s="139">
        <f t="shared" si="24"/>
        <v>9.9902530023022074E-2</v>
      </c>
      <c r="P58" s="100"/>
      <c r="Q58" s="133">
        <f t="shared" si="25"/>
        <v>8.8541666666666963E-2</v>
      </c>
      <c r="R58" s="89"/>
      <c r="S58" s="139">
        <f t="shared" si="9"/>
        <v>6.7547411944401392E-3</v>
      </c>
      <c r="T58" s="100"/>
      <c r="U58" s="151">
        <f t="shared" si="10"/>
        <v>7.0382195487317129E-3</v>
      </c>
    </row>
    <row r="59" spans="2:21" ht="15.6" x14ac:dyDescent="0.3">
      <c r="B59" s="126">
        <v>41</v>
      </c>
      <c r="C59" s="89"/>
      <c r="D59" s="93" t="s">
        <v>5</v>
      </c>
      <c r="E59" s="157">
        <v>5.04</v>
      </c>
      <c r="F59" s="101">
        <f t="shared" si="15"/>
        <v>4.626666666666666</v>
      </c>
      <c r="G59" s="100">
        <f t="shared" si="17"/>
        <v>3.842916666666667</v>
      </c>
      <c r="H59" s="139">
        <f t="shared" si="23"/>
        <v>1.3115038490729696</v>
      </c>
      <c r="I59" s="133">
        <f t="shared" si="16"/>
        <v>1.1970833333333331</v>
      </c>
      <c r="J59" s="139">
        <f t="shared" si="26"/>
        <v>4.0145510623692955</v>
      </c>
      <c r="K59" s="133">
        <f t="shared" si="27"/>
        <v>4.0247916666666672</v>
      </c>
      <c r="L59" s="139">
        <f>(3.87+0.0012*B59)*$N$7</f>
        <v>4.9202931269586028</v>
      </c>
      <c r="M59" s="133">
        <f>(3.88+0.001*B59)+$O$7</f>
        <v>4.9362083333333331</v>
      </c>
      <c r="N59" s="100"/>
      <c r="O59" s="139">
        <f t="shared" si="24"/>
        <v>0.11970687304139727</v>
      </c>
      <c r="P59" s="100"/>
      <c r="Q59" s="133">
        <f t="shared" si="25"/>
        <v>0.10379166666666695</v>
      </c>
      <c r="R59" s="89"/>
      <c r="S59" s="139">
        <f t="shared" si="9"/>
        <v>1.040228148718312E-2</v>
      </c>
      <c r="T59" s="100"/>
      <c r="U59" s="151">
        <f t="shared" si="10"/>
        <v>9.829552014009495E-3</v>
      </c>
    </row>
    <row r="60" spans="2:21" ht="15.6" x14ac:dyDescent="0.3">
      <c r="B60" s="160">
        <v>42</v>
      </c>
      <c r="C60" s="161"/>
      <c r="D60" s="162" t="s">
        <v>6</v>
      </c>
      <c r="E60" s="163">
        <v>4.38</v>
      </c>
      <c r="F60" s="164">
        <f t="shared" si="15"/>
        <v>4.2700000000000005</v>
      </c>
      <c r="G60" s="165">
        <f t="shared" si="17"/>
        <v>3.8366666666666664</v>
      </c>
      <c r="H60" s="166">
        <f>E60/G60</f>
        <v>1.1416159860990442</v>
      </c>
      <c r="I60" s="167">
        <f t="shared" si="16"/>
        <v>0.54333333333333345</v>
      </c>
      <c r="J60" s="166">
        <f t="shared" si="26"/>
        <v>3.9489869427576965</v>
      </c>
      <c r="K60" s="167">
        <f t="shared" si="27"/>
        <v>3.9436458333333331</v>
      </c>
      <c r="L60" s="166">
        <f>(3.87+0.0012*B60)*$N$8</f>
        <v>4.3482929290236463</v>
      </c>
      <c r="M60" s="167">
        <f>(3.88+0.001*B60)+$O$8</f>
        <v>4.3583541666666665</v>
      </c>
      <c r="N60" s="165"/>
      <c r="O60" s="166">
        <f t="shared" si="24"/>
        <v>3.1707070976353613E-2</v>
      </c>
      <c r="P60" s="165"/>
      <c r="Q60" s="167">
        <f t="shared" si="25"/>
        <v>2.1645833333333364E-2</v>
      </c>
      <c r="R60" s="161"/>
      <c r="S60" s="166">
        <f t="shared" si="9"/>
        <v>1.9576972580468305E-4</v>
      </c>
      <c r="T60" s="165"/>
      <c r="U60" s="168">
        <f t="shared" si="10"/>
        <v>2.8894097523630258E-4</v>
      </c>
    </row>
    <row r="61" spans="2:21" ht="15.6" x14ac:dyDescent="0.3">
      <c r="B61" s="126">
        <v>43</v>
      </c>
      <c r="C61" s="89"/>
      <c r="D61" s="93" t="s">
        <v>7</v>
      </c>
      <c r="E61" s="157">
        <v>3.39</v>
      </c>
      <c r="F61" s="101">
        <f t="shared" si="15"/>
        <v>3.8733333333333331</v>
      </c>
      <c r="G61" s="100">
        <f t="shared" si="17"/>
        <v>3.8554166666666667</v>
      </c>
      <c r="H61" s="139">
        <f t="shared" ref="H61:H72" si="28">E61/G61</f>
        <v>0.87928239489895166</v>
      </c>
      <c r="I61" s="133">
        <f t="shared" si="16"/>
        <v>-0.46541666666666659</v>
      </c>
      <c r="J61" s="139">
        <f t="shared" si="26"/>
        <v>3.2085719187838695</v>
      </c>
      <c r="K61" s="133">
        <f t="shared" si="27"/>
        <v>3.1561458333333334</v>
      </c>
      <c r="L61" s="139">
        <f>(3.87+0.0012*B61)*$N$9</f>
        <v>4.143346116748055</v>
      </c>
      <c r="M61" s="133">
        <f>(3.88+0.001*B61)+$O$9</f>
        <v>4.1568541666666663</v>
      </c>
      <c r="N61" s="100"/>
      <c r="O61" s="139">
        <f t="shared" si="24"/>
        <v>-0.75334611674805485</v>
      </c>
      <c r="P61" s="100"/>
      <c r="Q61" s="133">
        <f t="shared" si="25"/>
        <v>-0.76685416666666617</v>
      </c>
      <c r="R61" s="89"/>
      <c r="S61" s="139">
        <f t="shared" si="9"/>
        <v>0.59453570449861493</v>
      </c>
      <c r="T61" s="100"/>
      <c r="U61" s="151">
        <f t="shared" si="10"/>
        <v>0.59521492882245797</v>
      </c>
    </row>
    <row r="62" spans="2:21" ht="15.6" x14ac:dyDescent="0.3">
      <c r="B62" s="126">
        <v>44</v>
      </c>
      <c r="C62" s="89"/>
      <c r="D62" s="93" t="s">
        <v>8</v>
      </c>
      <c r="E62" s="157">
        <v>3.85</v>
      </c>
      <c r="F62" s="101">
        <f>AVERAGE(E61:E63)</f>
        <v>3.75</v>
      </c>
      <c r="G62" s="100">
        <f t="shared" si="17"/>
        <v>3.8741666666666661</v>
      </c>
      <c r="H62" s="139">
        <f t="shared" si="28"/>
        <v>0.99376209937621007</v>
      </c>
      <c r="I62" s="133">
        <f t="shared" si="16"/>
        <v>-2.4166666666666003E-2</v>
      </c>
      <c r="J62" s="139">
        <f t="shared" si="26"/>
        <v>3.904767615166103</v>
      </c>
      <c r="K62" s="133">
        <f t="shared" si="27"/>
        <v>3.8969791666666667</v>
      </c>
      <c r="L62" s="139">
        <f>(3.87+0.0012*B62)*$N$10</f>
        <v>3.8677794656309019</v>
      </c>
      <c r="M62" s="133">
        <f>(3.88+0.001*B62)+$O$10</f>
        <v>3.8770208333333334</v>
      </c>
      <c r="N62" s="100"/>
      <c r="O62" s="139">
        <f t="shared" si="24"/>
        <v>-1.7779465630901825E-2</v>
      </c>
      <c r="P62" s="100"/>
      <c r="Q62" s="133">
        <f t="shared" si="25"/>
        <v>-2.7020833333333272E-2</v>
      </c>
      <c r="R62" s="89"/>
      <c r="S62" s="139">
        <f>POWER(O62-$O$79,2)</f>
        <v>1.2598782077119645E-3</v>
      </c>
      <c r="T62" s="100"/>
      <c r="U62" s="151">
        <f t="shared" si="10"/>
        <v>1.0028877344955642E-3</v>
      </c>
    </row>
    <row r="63" spans="2:21" ht="15.6" x14ac:dyDescent="0.3">
      <c r="B63" s="126">
        <v>45</v>
      </c>
      <c r="C63" s="89"/>
      <c r="D63" s="93" t="s">
        <v>9</v>
      </c>
      <c r="E63" s="157">
        <v>4.01</v>
      </c>
      <c r="F63" s="101">
        <f t="shared" si="15"/>
        <v>3.7333333333333329</v>
      </c>
      <c r="G63" s="100">
        <f t="shared" si="17"/>
        <v>3.8941666666666666</v>
      </c>
      <c r="H63" s="139">
        <f t="shared" si="28"/>
        <v>1.0297453456023968</v>
      </c>
      <c r="I63" s="133">
        <f t="shared" si="16"/>
        <v>0.11583333333333323</v>
      </c>
      <c r="J63" s="139">
        <f t="shared" si="26"/>
        <v>4.0017773640650764</v>
      </c>
      <c r="K63" s="133">
        <f t="shared" si="27"/>
        <v>3.9932291666666666</v>
      </c>
      <c r="L63" s="139">
        <f>(3.87+0.0012*B63)*$N$11</f>
        <v>3.9320628232091011</v>
      </c>
      <c r="M63" s="133">
        <f>(3.88+0.001*B63)+$O$11</f>
        <v>3.941770833333333</v>
      </c>
      <c r="N63" s="100"/>
      <c r="O63" s="139">
        <f t="shared" si="24"/>
        <v>7.7937176790898732E-2</v>
      </c>
      <c r="P63" s="100"/>
      <c r="Q63" s="133">
        <f t="shared" si="25"/>
        <v>6.8229166666666785E-2</v>
      </c>
      <c r="R63" s="89"/>
      <c r="S63" s="139">
        <f t="shared" si="9"/>
        <v>3.6266747487325043E-3</v>
      </c>
      <c r="T63" s="100"/>
      <c r="U63" s="151">
        <f t="shared" si="10"/>
        <v>4.0426195053289028E-3</v>
      </c>
    </row>
    <row r="64" spans="2:21" ht="15.6" x14ac:dyDescent="0.3">
      <c r="B64" s="126">
        <v>46</v>
      </c>
      <c r="C64" s="89"/>
      <c r="D64" s="93" t="s">
        <v>10</v>
      </c>
      <c r="E64" s="157">
        <v>3.34</v>
      </c>
      <c r="F64" s="101">
        <f t="shared" si="15"/>
        <v>3.5066666666666664</v>
      </c>
      <c r="G64" s="100">
        <f>(0.5*E58+SUM(E59:E69)+0.5*E70)/$K$13</f>
        <v>3.9158333333333331</v>
      </c>
      <c r="H64" s="139">
        <f t="shared" si="28"/>
        <v>0.85294743562460096</v>
      </c>
      <c r="I64" s="133">
        <f t="shared" si="16"/>
        <v>-0.5758333333333332</v>
      </c>
      <c r="J64" s="139">
        <f t="shared" si="26"/>
        <v>3.940632735078279</v>
      </c>
      <c r="K64" s="133">
        <f t="shared" si="27"/>
        <v>3.9321874999999995</v>
      </c>
      <c r="L64" s="139">
        <f>(3.87+0.0012*B64)*$N$12</f>
        <v>3.3269195282517421</v>
      </c>
      <c r="M64" s="133">
        <f>(3.88+0.001*B64)+$O$12</f>
        <v>3.3338125000000001</v>
      </c>
      <c r="N64" s="100"/>
      <c r="O64" s="139">
        <f t="shared" si="24"/>
        <v>1.3080471748257771E-2</v>
      </c>
      <c r="P64" s="100"/>
      <c r="Q64" s="133">
        <f t="shared" si="25"/>
        <v>6.1874999999997904E-3</v>
      </c>
      <c r="R64" s="89"/>
      <c r="S64" s="139">
        <f t="shared" si="9"/>
        <v>2.1481609486961283E-5</v>
      </c>
      <c r="T64" s="100"/>
      <c r="U64" s="151">
        <f t="shared" si="10"/>
        <v>2.3713861159327713E-6</v>
      </c>
    </row>
    <row r="65" spans="1:26" ht="15.6" x14ac:dyDescent="0.3">
      <c r="B65" s="126">
        <v>47</v>
      </c>
      <c r="C65" s="89"/>
      <c r="D65" s="93" t="s">
        <v>11</v>
      </c>
      <c r="E65" s="157">
        <v>3.17</v>
      </c>
      <c r="F65" s="101">
        <f t="shared" si="15"/>
        <v>3.4733333333333332</v>
      </c>
      <c r="G65" s="100">
        <f t="shared" si="17"/>
        <v>3.9266666666666672</v>
      </c>
      <c r="H65" s="139">
        <f t="shared" si="28"/>
        <v>0.80730050933786068</v>
      </c>
      <c r="I65" s="133">
        <f t="shared" si="16"/>
        <v>-0.75666666666666726</v>
      </c>
      <c r="J65" s="139">
        <f t="shared" si="26"/>
        <v>3.8686650552714288</v>
      </c>
      <c r="K65" s="133">
        <f t="shared" si="27"/>
        <v>3.8728125000000002</v>
      </c>
      <c r="L65" s="139">
        <f>(3.87+0.0012*B65)*$N$13</f>
        <v>3.217308250307219</v>
      </c>
      <c r="M65" s="133">
        <f>(3.88+0.001*B65)+$O$13</f>
        <v>3.2241874999999998</v>
      </c>
      <c r="N65" s="100"/>
      <c r="O65" s="139">
        <f t="shared" si="24"/>
        <v>-4.730825030721908E-2</v>
      </c>
      <c r="P65" s="100"/>
      <c r="Q65" s="133">
        <f t="shared" si="25"/>
        <v>-5.4187499999999833E-2</v>
      </c>
      <c r="R65" s="89"/>
      <c r="S65" s="139">
        <f t="shared" si="9"/>
        <v>4.2280617657612929E-3</v>
      </c>
      <c r="T65" s="100"/>
      <c r="U65" s="151">
        <f t="shared" si="10"/>
        <v>3.4615653965325895E-3</v>
      </c>
    </row>
    <row r="66" spans="1:26" ht="16.2" thickBot="1" x14ac:dyDescent="0.35">
      <c r="B66" s="127">
        <v>48</v>
      </c>
      <c r="C66" s="91"/>
      <c r="D66" s="112" t="s">
        <v>12</v>
      </c>
      <c r="E66" s="158">
        <v>3.91</v>
      </c>
      <c r="F66" s="114">
        <f t="shared" si="15"/>
        <v>3.9</v>
      </c>
      <c r="G66" s="113">
        <f t="shared" si="17"/>
        <v>3.9291666666666658</v>
      </c>
      <c r="H66" s="140">
        <f t="shared" si="28"/>
        <v>0.99512195121951241</v>
      </c>
      <c r="I66" s="134">
        <f t="shared" si="16"/>
        <v>-1.9166666666665666E-2</v>
      </c>
      <c r="J66" s="140">
        <f t="shared" si="26"/>
        <v>3.89477119617613</v>
      </c>
      <c r="K66" s="134">
        <f t="shared" si="27"/>
        <v>3.8855208333333335</v>
      </c>
      <c r="L66" s="140">
        <f>(3.87+0.0012*B66)*$N$14</f>
        <v>3.9429571665409657</v>
      </c>
      <c r="M66" s="134">
        <f>(3.88+0.001*B66)+$O$14</f>
        <v>3.9524791666666665</v>
      </c>
      <c r="N66" s="113"/>
      <c r="O66" s="140">
        <f t="shared" si="24"/>
        <v>-3.2957166540965588E-2</v>
      </c>
      <c r="P66" s="113"/>
      <c r="Q66" s="134">
        <f t="shared" si="25"/>
        <v>-4.2479166666666401E-2</v>
      </c>
      <c r="R66" s="91"/>
      <c r="S66" s="140">
        <f t="shared" si="9"/>
        <v>2.5676986091179451E-3</v>
      </c>
      <c r="T66" s="113"/>
      <c r="U66" s="152">
        <f t="shared" si="10"/>
        <v>2.2209292564862862E-3</v>
      </c>
    </row>
    <row r="67" spans="1:26" ht="15.6" x14ac:dyDescent="0.3">
      <c r="B67" s="128">
        <v>49</v>
      </c>
      <c r="C67" s="107">
        <v>1989</v>
      </c>
      <c r="D67" s="108" t="s">
        <v>1</v>
      </c>
      <c r="E67" s="159">
        <v>4.62</v>
      </c>
      <c r="F67" s="110">
        <f t="shared" si="15"/>
        <v>3.9833333333333338</v>
      </c>
      <c r="G67" s="109">
        <f t="shared" si="17"/>
        <v>3.9716666666666662</v>
      </c>
      <c r="H67" s="141">
        <f t="shared" si="28"/>
        <v>1.1632396139320187</v>
      </c>
      <c r="I67" s="135">
        <f t="shared" si="16"/>
        <v>0.64833333333333387</v>
      </c>
      <c r="J67" s="141">
        <f t="shared" ref="J67:J78" si="29">E67/N3</f>
        <v>4.0961485142849092</v>
      </c>
      <c r="K67" s="135">
        <f t="shared" ref="K67:K78" si="30">E67-O3</f>
        <v>4.1022916666666669</v>
      </c>
      <c r="L67" s="141">
        <f>(3.87+0.0012*B67)*$N$3</f>
        <v>4.4312494863650587</v>
      </c>
      <c r="M67" s="135">
        <f>(3.88+0.001*B67)+$O$3</f>
        <v>4.4467083333333335</v>
      </c>
      <c r="N67" s="109"/>
      <c r="O67" s="141">
        <f t="shared" si="24"/>
        <v>0.18875051363494144</v>
      </c>
      <c r="P67" s="109"/>
      <c r="Q67" s="135">
        <f t="shared" si="25"/>
        <v>0.17329166666666662</v>
      </c>
      <c r="R67" s="88"/>
      <c r="S67" s="141">
        <f t="shared" si="9"/>
        <v>2.9253045167996414E-2</v>
      </c>
      <c r="T67" s="109"/>
      <c r="U67" s="153">
        <f t="shared" si="10"/>
        <v>2.8440831527898298E-2</v>
      </c>
    </row>
    <row r="68" spans="1:26" ht="15.6" x14ac:dyDescent="0.3">
      <c r="B68" s="126">
        <v>50</v>
      </c>
      <c r="C68" s="89"/>
      <c r="D68" s="93" t="s">
        <v>2</v>
      </c>
      <c r="E68" s="157">
        <v>3.42</v>
      </c>
      <c r="F68" s="101">
        <f t="shared" si="15"/>
        <v>3.793333333333333</v>
      </c>
      <c r="G68" s="100">
        <f t="shared" si="17"/>
        <v>4.0229166666666663</v>
      </c>
      <c r="H68" s="139">
        <f t="shared" si="28"/>
        <v>0.8501294665976179</v>
      </c>
      <c r="I68" s="133">
        <f t="shared" si="16"/>
        <v>-0.60291666666666632</v>
      </c>
      <c r="J68" s="139">
        <f t="shared" si="29"/>
        <v>3.9151534622013187</v>
      </c>
      <c r="K68" s="133">
        <f t="shared" si="30"/>
        <v>3.9076041666666663</v>
      </c>
      <c r="L68" s="139">
        <f>(3.87+0.0012*B68)*$N$4</f>
        <v>3.4329688809804511</v>
      </c>
      <c r="M68" s="133">
        <f>(3.88+0.001*B68)+$O$4</f>
        <v>3.4423958333333333</v>
      </c>
      <c r="N68" s="100"/>
      <c r="O68" s="139">
        <f t="shared" si="24"/>
        <v>-1.2968880980451125E-2</v>
      </c>
      <c r="P68" s="100"/>
      <c r="Q68" s="133">
        <f t="shared" si="25"/>
        <v>-2.2395833333333393E-2</v>
      </c>
      <c r="R68" s="89"/>
      <c r="S68" s="139">
        <f t="shared" si="9"/>
        <v>9.415188072853059E-4</v>
      </c>
      <c r="T68" s="100"/>
      <c r="U68" s="151">
        <f t="shared" si="10"/>
        <v>7.3134563380112595E-4</v>
      </c>
    </row>
    <row r="69" spans="1:26" ht="15.6" x14ac:dyDescent="0.3">
      <c r="B69" s="126">
        <v>51</v>
      </c>
      <c r="C69" s="89"/>
      <c r="D69" s="93" t="s">
        <v>3</v>
      </c>
      <c r="E69" s="157">
        <v>3.34</v>
      </c>
      <c r="F69" s="101">
        <f t="shared" si="15"/>
        <v>3.78</v>
      </c>
      <c r="G69" s="100">
        <f t="shared" si="17"/>
        <v>4.0237500000000006</v>
      </c>
      <c r="H69" s="139">
        <f t="shared" si="28"/>
        <v>0.83007145076110578</v>
      </c>
      <c r="I69" s="133">
        <f t="shared" si="16"/>
        <v>-0.68375000000000075</v>
      </c>
      <c r="J69" s="139">
        <f t="shared" si="29"/>
        <v>4.145469033773133</v>
      </c>
      <c r="K69" s="133">
        <f t="shared" si="30"/>
        <v>4.0980208333333339</v>
      </c>
      <c r="L69" s="139">
        <f>(3.87+0.0012*B69)*$N$5</f>
        <v>3.167363666940509</v>
      </c>
      <c r="M69" s="133">
        <f>(3.88+0.001*B69)+$O$5</f>
        <v>3.172979166666666</v>
      </c>
      <c r="N69" s="100"/>
      <c r="O69" s="139">
        <f t="shared" si="24"/>
        <v>0.17263633305949089</v>
      </c>
      <c r="P69" s="100"/>
      <c r="Q69" s="133">
        <f t="shared" si="25"/>
        <v>0.16702083333333384</v>
      </c>
      <c r="R69" s="89"/>
      <c r="S69" s="139">
        <f t="shared" si="9"/>
        <v>2.400052726758423E-2</v>
      </c>
      <c r="T69" s="100"/>
      <c r="U69" s="151">
        <f t="shared" si="10"/>
        <v>2.6365076825930887E-2</v>
      </c>
    </row>
    <row r="70" spans="1:26" ht="15.6" x14ac:dyDescent="0.3">
      <c r="B70" s="126">
        <v>52</v>
      </c>
      <c r="C70" s="89"/>
      <c r="D70" s="93" t="s">
        <v>4</v>
      </c>
      <c r="E70" s="157">
        <v>4.58</v>
      </c>
      <c r="F70" s="101">
        <f t="shared" si="15"/>
        <v>4.3666666666666663</v>
      </c>
      <c r="G70" s="100">
        <f t="shared" si="17"/>
        <v>4.012083333333333</v>
      </c>
      <c r="H70" s="139">
        <f t="shared" si="28"/>
        <v>1.1415515629868107</v>
      </c>
      <c r="I70" s="133">
        <f t="shared" si="16"/>
        <v>0.56791666666666707</v>
      </c>
      <c r="J70" s="139">
        <f t="shared" si="29"/>
        <v>4.1156052412963033</v>
      </c>
      <c r="K70" s="133">
        <f t="shared" si="30"/>
        <v>4.128541666666667</v>
      </c>
      <c r="L70" s="139">
        <f>(3.87+0.0012*B70)*$N$6</f>
        <v>4.3761223305098182</v>
      </c>
      <c r="M70" s="133">
        <f>(3.88+0.001*B70)+$O$6</f>
        <v>4.3834583333333335</v>
      </c>
      <c r="N70" s="100"/>
      <c r="O70" s="139">
        <f t="shared" si="24"/>
        <v>0.20387766949018182</v>
      </c>
      <c r="P70" s="100"/>
      <c r="Q70" s="133">
        <f t="shared" si="25"/>
        <v>0.19654166666666661</v>
      </c>
      <c r="R70" s="89"/>
      <c r="S70" s="139">
        <f t="shared" si="9"/>
        <v>3.46564287555364E-2</v>
      </c>
      <c r="T70" s="100"/>
      <c r="U70" s="151">
        <f t="shared" si="10"/>
        <v>3.6823344548731624E-2</v>
      </c>
    </row>
    <row r="71" spans="1:26" ht="15.6" x14ac:dyDescent="0.3">
      <c r="B71" s="126">
        <v>53</v>
      </c>
      <c r="C71" s="89"/>
      <c r="D71" s="93" t="s">
        <v>5</v>
      </c>
      <c r="E71" s="157">
        <v>5.18</v>
      </c>
      <c r="F71" s="101">
        <f t="shared" si="15"/>
        <v>4.6866666666666665</v>
      </c>
      <c r="G71" s="100">
        <f t="shared" si="17"/>
        <v>4.0083333333333337</v>
      </c>
      <c r="H71" s="139">
        <f t="shared" si="28"/>
        <v>1.2923076923076922</v>
      </c>
      <c r="I71" s="133">
        <f>E71-G71</f>
        <v>1.171666666666666</v>
      </c>
      <c r="J71" s="139">
        <f t="shared" si="29"/>
        <v>4.1260663696573312</v>
      </c>
      <c r="K71" s="133">
        <f t="shared" si="30"/>
        <v>4.164791666666666</v>
      </c>
      <c r="L71" s="139">
        <f>(3.87+0.0012*B71)*$N$7</f>
        <v>4.9383713625751069</v>
      </c>
      <c r="M71" s="133">
        <f>(3.88+0.001*B71)+$O$7</f>
        <v>4.9482083333333335</v>
      </c>
      <c r="N71" s="100"/>
      <c r="O71" s="139">
        <f t="shared" si="24"/>
        <v>0.24162863742489282</v>
      </c>
      <c r="P71" s="100"/>
      <c r="Q71" s="133">
        <f t="shared" si="25"/>
        <v>0.23179166666666617</v>
      </c>
      <c r="R71" s="89"/>
      <c r="S71" s="139">
        <f t="shared" si="9"/>
        <v>5.01371838089806E-2</v>
      </c>
      <c r="T71" s="100"/>
      <c r="U71" s="151">
        <f t="shared" si="10"/>
        <v>5.1594440902898081E-2</v>
      </c>
    </row>
    <row r="72" spans="1:26" ht="15.6" x14ac:dyDescent="0.3">
      <c r="A72" t="s">
        <v>68</v>
      </c>
      <c r="B72" s="160">
        <v>54</v>
      </c>
      <c r="C72" s="161"/>
      <c r="D72" s="162" t="s">
        <v>6</v>
      </c>
      <c r="E72" s="163">
        <v>4.3</v>
      </c>
      <c r="F72" s="164">
        <f t="shared" si="15"/>
        <v>4.6566666666666672</v>
      </c>
      <c r="G72" s="165">
        <f>(0.5*E66+SUM(E67:E77)+0.5*E78)/$K$13</f>
        <v>4.0079166666666657</v>
      </c>
      <c r="H72" s="166">
        <f t="shared" si="28"/>
        <v>1.0728765983990023</v>
      </c>
      <c r="I72" s="167">
        <f t="shared" si="16"/>
        <v>0.29208333333333414</v>
      </c>
      <c r="J72" s="166">
        <f t="shared" si="29"/>
        <v>3.8768593273648619</v>
      </c>
      <c r="K72" s="167">
        <f t="shared" si="30"/>
        <v>3.863645833333333</v>
      </c>
      <c r="L72" s="166">
        <f>(3.87+0.0012*B72)*$N$8</f>
        <v>4.3642646202229987</v>
      </c>
      <c r="M72" s="167">
        <f>(3.88+0.001*B72)+$O$8</f>
        <v>4.370354166666667</v>
      </c>
      <c r="N72" s="165"/>
      <c r="O72" s="166">
        <f t="shared" si="24"/>
        <v>-6.4264620222998836E-2</v>
      </c>
      <c r="P72" s="165"/>
      <c r="Q72" s="167">
        <f t="shared" si="25"/>
        <v>-7.0354166666667162E-2</v>
      </c>
      <c r="R72" s="161"/>
      <c r="S72" s="166">
        <f t="shared" si="9"/>
        <v>6.7207069052345383E-3</v>
      </c>
      <c r="T72" s="165"/>
      <c r="U72" s="168">
        <f t="shared" si="10"/>
        <v>5.6252604196808326E-3</v>
      </c>
    </row>
    <row r="73" spans="1:26" ht="15.6" x14ac:dyDescent="0.3">
      <c r="B73" s="126">
        <v>55</v>
      </c>
      <c r="C73" s="89"/>
      <c r="D73" s="93" t="s">
        <v>7</v>
      </c>
      <c r="E73" s="157">
        <v>4.49</v>
      </c>
      <c r="F73" s="101">
        <f t="shared" si="15"/>
        <v>4.2566666666666668</v>
      </c>
      <c r="G73" s="100"/>
      <c r="H73" s="139"/>
      <c r="I73" s="133"/>
      <c r="J73" s="139">
        <f t="shared" si="29"/>
        <v>4.2497014499526768</v>
      </c>
      <c r="K73" s="133">
        <f t="shared" si="30"/>
        <v>4.256145833333334</v>
      </c>
      <c r="L73" s="139">
        <f>(3.87+0.0012*B73)*$N$9</f>
        <v>4.158560361974792</v>
      </c>
      <c r="M73" s="133">
        <f>(3.88+0.001*B73)+$O$9</f>
        <v>4.1688541666666667</v>
      </c>
      <c r="N73" s="100"/>
      <c r="O73" s="139">
        <f t="shared" si="24"/>
        <v>0.33143963802520826</v>
      </c>
      <c r="P73" s="100"/>
      <c r="Q73" s="133">
        <f t="shared" si="25"/>
        <v>0.32114583333333346</v>
      </c>
      <c r="R73" s="89"/>
      <c r="S73" s="139">
        <f t="shared" si="9"/>
        <v>9.8422961855714697E-2</v>
      </c>
      <c r="T73" s="100"/>
      <c r="U73" s="151">
        <f t="shared" si="10"/>
        <v>0.1001711510446808</v>
      </c>
    </row>
    <row r="74" spans="1:26" ht="15.6" x14ac:dyDescent="0.3">
      <c r="B74" s="126">
        <v>56</v>
      </c>
      <c r="C74" s="89"/>
      <c r="D74" s="93" t="s">
        <v>8</v>
      </c>
      <c r="E74" s="157">
        <v>3.98</v>
      </c>
      <c r="F74" s="101">
        <f t="shared" si="15"/>
        <v>4.123333333333334</v>
      </c>
      <c r="G74" s="100"/>
      <c r="H74" s="139"/>
      <c r="I74" s="133"/>
      <c r="J74" s="139">
        <f t="shared" si="29"/>
        <v>4.0366169112626205</v>
      </c>
      <c r="K74" s="133">
        <f t="shared" si="30"/>
        <v>4.026979166666667</v>
      </c>
      <c r="L74" s="139">
        <f>(3.87+0.0012*B74)*$N$10</f>
        <v>3.8819774936479012</v>
      </c>
      <c r="M74" s="133">
        <f>(3.88+0.001*B74)+$O$10</f>
        <v>3.8890208333333334</v>
      </c>
      <c r="N74" s="100"/>
      <c r="O74" s="139">
        <f t="shared" si="24"/>
        <v>9.8022506352098748E-2</v>
      </c>
      <c r="P74" s="100"/>
      <c r="Q74" s="133">
        <f t="shared" si="25"/>
        <v>9.0979166666666611E-2</v>
      </c>
      <c r="R74" s="89"/>
      <c r="S74" s="139">
        <f t="shared" si="9"/>
        <v>6.4492477981551539E-3</v>
      </c>
      <c r="T74" s="100"/>
      <c r="U74" s="151">
        <f t="shared" si="10"/>
        <v>7.4531446789399859E-3</v>
      </c>
    </row>
    <row r="75" spans="1:26" ht="15.6" x14ac:dyDescent="0.3">
      <c r="B75" s="126">
        <v>57</v>
      </c>
      <c r="C75" s="89"/>
      <c r="D75" s="93" t="s">
        <v>9</v>
      </c>
      <c r="E75" s="157">
        <v>3.9</v>
      </c>
      <c r="F75" s="101">
        <f t="shared" si="15"/>
        <v>3.6833333333333336</v>
      </c>
      <c r="G75" s="100"/>
      <c r="H75" s="139"/>
      <c r="I75" s="133"/>
      <c r="J75" s="139">
        <f t="shared" si="29"/>
        <v>3.8920029226568076</v>
      </c>
      <c r="K75" s="133">
        <f t="shared" si="30"/>
        <v>3.8832291666666663</v>
      </c>
      <c r="L75" s="139">
        <f>(3.87+0.0012*B75)*$N$11</f>
        <v>3.9464924115511528</v>
      </c>
      <c r="M75" s="133">
        <f>(3.88+0.001*B75)+$O$11</f>
        <v>3.9537708333333335</v>
      </c>
      <c r="N75" s="100"/>
      <c r="O75" s="139">
        <f t="shared" si="24"/>
        <v>-4.6492411551152912E-2</v>
      </c>
      <c r="P75" s="100"/>
      <c r="Q75" s="133">
        <f t="shared" si="25"/>
        <v>-5.3770833333333545E-2</v>
      </c>
      <c r="R75" s="89"/>
      <c r="S75" s="139">
        <f t="shared" si="9"/>
        <v>4.1226298979672189E-3</v>
      </c>
      <c r="T75" s="100"/>
      <c r="U75" s="151">
        <f t="shared" si="10"/>
        <v>3.4127097831067078E-3</v>
      </c>
    </row>
    <row r="76" spans="1:26" ht="15.6" x14ac:dyDescent="0.3">
      <c r="B76" s="126">
        <v>58</v>
      </c>
      <c r="C76" s="89"/>
      <c r="D76" s="93" t="s">
        <v>10</v>
      </c>
      <c r="E76" s="157">
        <v>3.17</v>
      </c>
      <c r="F76" s="101">
        <f t="shared" si="15"/>
        <v>3.44</v>
      </c>
      <c r="G76" s="100"/>
      <c r="H76" s="139"/>
      <c r="I76" s="133"/>
      <c r="J76" s="139">
        <f t="shared" si="29"/>
        <v>3.7400616078437561</v>
      </c>
      <c r="K76" s="133">
        <f t="shared" si="30"/>
        <v>3.7621874999999996</v>
      </c>
      <c r="L76" s="139">
        <f>(3.87+0.0012*B76)*$N$12</f>
        <v>3.3391246747937844</v>
      </c>
      <c r="M76" s="133">
        <f>(3.88+0.001*B76)+$O$12</f>
        <v>3.3458125000000001</v>
      </c>
      <c r="N76" s="100"/>
      <c r="O76" s="139">
        <f t="shared" si="24"/>
        <v>-0.16912467479378446</v>
      </c>
      <c r="P76" s="100"/>
      <c r="Q76" s="133">
        <f t="shared" si="25"/>
        <v>-0.17581250000000015</v>
      </c>
      <c r="R76" s="89"/>
      <c r="S76" s="139">
        <f t="shared" si="9"/>
        <v>3.4909175236178265E-2</v>
      </c>
      <c r="T76" s="100"/>
      <c r="U76" s="151">
        <f t="shared" si="10"/>
        <v>3.2565836663893795E-2</v>
      </c>
    </row>
    <row r="77" spans="1:26" ht="15.6" x14ac:dyDescent="0.3">
      <c r="B77" s="126">
        <v>59</v>
      </c>
      <c r="C77" s="89"/>
      <c r="D77" s="93" t="s">
        <v>11</v>
      </c>
      <c r="E77" s="157">
        <v>3.25</v>
      </c>
      <c r="F77" s="101">
        <f>AVERAGE(E76:E78)</f>
        <v>3.4133333333333336</v>
      </c>
      <c r="G77" s="100"/>
      <c r="H77" s="139"/>
      <c r="I77" s="133"/>
      <c r="J77" s="139">
        <f t="shared" si="29"/>
        <v>3.9662969809565123</v>
      </c>
      <c r="K77" s="133">
        <f t="shared" si="30"/>
        <v>3.9528125000000003</v>
      </c>
      <c r="L77" s="139">
        <f>(3.87+0.0012*B77)*$N$13</f>
        <v>3.2291076693181258</v>
      </c>
      <c r="M77" s="133">
        <f>(3.88+0.001*B77)+$O$13</f>
        <v>3.2361874999999998</v>
      </c>
      <c r="N77" s="100"/>
      <c r="O77" s="139">
        <f t="shared" si="24"/>
        <v>2.0892330681874238E-2</v>
      </c>
      <c r="P77" s="100"/>
      <c r="Q77" s="133">
        <f t="shared" si="25"/>
        <v>1.3812500000000227E-2</v>
      </c>
      <c r="R77" s="89"/>
      <c r="S77" s="139">
        <f t="shared" si="9"/>
        <v>1.0093540018358433E-5</v>
      </c>
      <c r="T77" s="100"/>
      <c r="U77" s="151">
        <f t="shared" si="10"/>
        <v>8.3995952088158703E-5</v>
      </c>
      <c r="Z77" s="95"/>
    </row>
    <row r="78" spans="1:26" ht="16.2" thickBot="1" x14ac:dyDescent="0.35">
      <c r="B78" s="126">
        <v>60</v>
      </c>
      <c r="C78" s="89"/>
      <c r="D78" s="93" t="s">
        <v>12</v>
      </c>
      <c r="E78" s="157">
        <v>3.82</v>
      </c>
      <c r="F78" s="101">
        <v>0</v>
      </c>
      <c r="G78" s="100"/>
      <c r="H78" s="139"/>
      <c r="I78" s="133"/>
      <c r="J78" s="139">
        <f t="shared" si="29"/>
        <v>3.8051217313025103</v>
      </c>
      <c r="K78" s="133">
        <f t="shared" si="30"/>
        <v>3.7955208333333332</v>
      </c>
      <c r="L78" s="139">
        <f>(3.87+0.0012*B78)*$N$14</f>
        <v>3.9574134714595397</v>
      </c>
      <c r="M78" s="133">
        <f>(3.88+0.001*B78)+$O$14</f>
        <v>3.9644791666666666</v>
      </c>
      <c r="N78" s="100"/>
      <c r="O78" s="139">
        <f t="shared" si="24"/>
        <v>-0.13741347145953986</v>
      </c>
      <c r="P78" s="100"/>
      <c r="Q78" s="133">
        <f t="shared" si="25"/>
        <v>-0.14447916666666671</v>
      </c>
      <c r="R78" s="89"/>
      <c r="S78" s="139">
        <f>POWER(O78-$O$79,2)</f>
        <v>2.4064934950131362E-2</v>
      </c>
      <c r="T78" s="100"/>
      <c r="U78" s="151">
        <f>POWER(Q78-$Q$79,2)</f>
        <v>2.2238783423153011E-2</v>
      </c>
    </row>
    <row r="79" spans="1:26" ht="21.6" thickBot="1" x14ac:dyDescent="0.45">
      <c r="B79" s="129">
        <v>61</v>
      </c>
      <c r="C79" s="116"/>
      <c r="D79" s="117" t="s">
        <v>1</v>
      </c>
      <c r="E79" s="148"/>
      <c r="F79" s="118"/>
      <c r="G79" s="118"/>
      <c r="H79" s="142"/>
      <c r="I79" s="136"/>
      <c r="J79" s="142"/>
      <c r="K79" s="200" t="s">
        <v>75</v>
      </c>
      <c r="L79" s="142">
        <f>(3.87+0.0012*B79)*$N$3</f>
        <v>4.4474910849711611</v>
      </c>
      <c r="M79" s="136">
        <f>(3.88+0.001*B79)+$O$3</f>
        <v>4.4587083333333331</v>
      </c>
      <c r="N79" s="176" t="s">
        <v>85</v>
      </c>
      <c r="O79" s="174">
        <f>AVERAGE(O19:O78)</f>
        <v>1.7715297471730153E-2</v>
      </c>
      <c r="P79" s="176" t="s">
        <v>86</v>
      </c>
      <c r="Q79" s="175">
        <f>AVERAGE(Q19:Q78)</f>
        <v>4.6475694444445175E-3</v>
      </c>
      <c r="R79" s="177" t="s">
        <v>87</v>
      </c>
      <c r="S79" s="174">
        <f>SUM(S19:S78)</f>
        <v>4.8764687169111287</v>
      </c>
      <c r="T79" s="177" t="s">
        <v>22</v>
      </c>
      <c r="U79" s="175">
        <f>SUM(U19:U78)</f>
        <v>4.8486396070240119</v>
      </c>
    </row>
    <row r="80" spans="1:26" ht="15.6" x14ac:dyDescent="0.3">
      <c r="B80" s="130">
        <v>62</v>
      </c>
      <c r="C80" s="89"/>
      <c r="D80" s="93" t="s">
        <v>2</v>
      </c>
      <c r="E80" s="147"/>
      <c r="F80" s="100"/>
      <c r="G80" s="100"/>
      <c r="H80" s="139"/>
      <c r="I80" s="133"/>
      <c r="J80" s="139"/>
      <c r="K80" s="133"/>
      <c r="L80" s="139">
        <f>(3.87+0.0012*B80)*$N$4</f>
        <v>3.4455476982542725</v>
      </c>
      <c r="M80" s="133">
        <f>(3.88+0.001*B80)+$O$4</f>
        <v>3.4543958333333329</v>
      </c>
      <c r="N80" s="100"/>
      <c r="O80" s="139"/>
      <c r="P80" s="100"/>
      <c r="Q80" s="133"/>
      <c r="R80" s="89"/>
      <c r="S80" s="139"/>
      <c r="T80" s="100"/>
      <c r="U80" s="154"/>
    </row>
    <row r="81" spans="2:21" ht="15.6" x14ac:dyDescent="0.3">
      <c r="B81" s="130">
        <v>63</v>
      </c>
      <c r="C81" s="89"/>
      <c r="D81" s="93" t="s">
        <v>3</v>
      </c>
      <c r="E81" s="147"/>
      <c r="F81" s="100"/>
      <c r="G81" s="100"/>
      <c r="H81" s="139"/>
      <c r="I81" s="133"/>
      <c r="J81" s="139"/>
      <c r="K81" s="133"/>
      <c r="L81" s="139">
        <f>(3.87+0.0012*B81)*$N$5</f>
        <v>3.1789657316545767</v>
      </c>
      <c r="M81" s="133">
        <f>(3.88+0.001*B81)+$O$5</f>
        <v>3.1849791666666665</v>
      </c>
      <c r="N81" s="100"/>
      <c r="O81" s="139"/>
      <c r="P81" s="100"/>
      <c r="Q81" s="133"/>
      <c r="R81" s="119"/>
      <c r="S81" s="144"/>
      <c r="T81" s="89"/>
      <c r="U81" s="155"/>
    </row>
    <row r="82" spans="2:21" ht="15.6" x14ac:dyDescent="0.3">
      <c r="B82" s="130">
        <v>64</v>
      </c>
      <c r="C82" s="89"/>
      <c r="D82" s="93" t="s">
        <v>4</v>
      </c>
      <c r="E82" s="147"/>
      <c r="F82" s="100"/>
      <c r="G82" s="100"/>
      <c r="H82" s="139"/>
      <c r="I82" s="133"/>
      <c r="J82" s="139"/>
      <c r="K82" s="133"/>
      <c r="L82" s="139">
        <f>(3.87+0.0012*B82)*$N$6</f>
        <v>4.3921471910426586</v>
      </c>
      <c r="M82" s="133">
        <f>(3.88+0.001*B82)+$O$6</f>
        <v>4.3954583333333339</v>
      </c>
      <c r="N82" s="100"/>
      <c r="O82" s="139"/>
      <c r="P82" s="100"/>
      <c r="Q82" s="133"/>
      <c r="R82" s="119"/>
      <c r="S82" s="144"/>
      <c r="T82" s="89"/>
      <c r="U82" s="155"/>
    </row>
    <row r="83" spans="2:21" ht="15.6" x14ac:dyDescent="0.3">
      <c r="B83" s="130">
        <v>65</v>
      </c>
      <c r="C83" s="89"/>
      <c r="D83" s="93" t="s">
        <v>5</v>
      </c>
      <c r="E83" s="147"/>
      <c r="F83" s="100"/>
      <c r="G83" s="100"/>
      <c r="H83" s="139"/>
      <c r="I83" s="133"/>
      <c r="J83" s="139"/>
      <c r="K83" s="133"/>
      <c r="L83" s="139">
        <f>(3.87+0.0012*B83)*$N$7</f>
        <v>4.956449598191611</v>
      </c>
      <c r="M83" s="133">
        <f>(3.88+0.001*B83)+$O$7</f>
        <v>4.9602083333333331</v>
      </c>
      <c r="N83" s="100"/>
      <c r="O83" s="139"/>
      <c r="P83" s="100"/>
      <c r="Q83" s="133"/>
      <c r="R83" s="89"/>
      <c r="S83" s="144"/>
      <c r="T83" s="89"/>
      <c r="U83" s="155"/>
    </row>
    <row r="84" spans="2:21" ht="15.6" x14ac:dyDescent="0.3">
      <c r="B84" s="169">
        <v>66</v>
      </c>
      <c r="C84" s="161"/>
      <c r="D84" s="162" t="s">
        <v>6</v>
      </c>
      <c r="E84" s="170"/>
      <c r="F84" s="165"/>
      <c r="G84" s="165"/>
      <c r="H84" s="166"/>
      <c r="I84" s="167"/>
      <c r="J84" s="166"/>
      <c r="K84" s="167"/>
      <c r="L84" s="166">
        <f>(3.87+0.0012*B84)*$N$8</f>
        <v>4.380236311422351</v>
      </c>
      <c r="M84" s="167">
        <f>(3.88+0.001*B84)+$O$8</f>
        <v>4.3823541666666666</v>
      </c>
      <c r="N84" s="165"/>
      <c r="O84" s="166"/>
      <c r="P84" s="165"/>
      <c r="Q84" s="167"/>
      <c r="R84" s="161"/>
      <c r="S84" s="171"/>
      <c r="T84" s="161"/>
      <c r="U84" s="172"/>
    </row>
    <row r="85" spans="2:21" ht="15.6" x14ac:dyDescent="0.3">
      <c r="B85" s="130">
        <v>67</v>
      </c>
      <c r="C85" s="89"/>
      <c r="D85" s="93" t="s">
        <v>7</v>
      </c>
      <c r="E85" s="147"/>
      <c r="F85" s="100"/>
      <c r="G85" s="100"/>
      <c r="H85" s="139"/>
      <c r="I85" s="133"/>
      <c r="J85" s="139"/>
      <c r="K85" s="133"/>
      <c r="L85" s="139">
        <f>(3.87+0.0012*B85)*$N$9</f>
        <v>4.1737746072015289</v>
      </c>
      <c r="M85" s="133">
        <f>(3.88+0.001*B85)+$O$9</f>
        <v>4.1808541666666663</v>
      </c>
      <c r="N85" s="100"/>
      <c r="O85" s="139"/>
      <c r="P85" s="100"/>
      <c r="Q85" s="133"/>
      <c r="R85" s="89"/>
      <c r="S85" s="144"/>
      <c r="T85" s="89"/>
      <c r="U85" s="155"/>
    </row>
    <row r="86" spans="2:21" ht="15.6" x14ac:dyDescent="0.3">
      <c r="B86" s="130">
        <v>68</v>
      </c>
      <c r="C86" s="89"/>
      <c r="D86" s="93" t="s">
        <v>8</v>
      </c>
      <c r="E86" s="147"/>
      <c r="F86" s="100"/>
      <c r="G86" s="100"/>
      <c r="H86" s="139"/>
      <c r="I86" s="133"/>
      <c r="J86" s="139"/>
      <c r="K86" s="133"/>
      <c r="L86" s="139">
        <f>(3.87+0.0012*B86)*$N$10</f>
        <v>3.8961755216649006</v>
      </c>
      <c r="M86" s="133">
        <f>(3.88+0.001*B86)+$O$10</f>
        <v>3.9010208333333334</v>
      </c>
      <c r="N86" s="100"/>
      <c r="O86" s="139"/>
      <c r="P86" s="100"/>
      <c r="Q86" s="133"/>
      <c r="R86" s="89"/>
      <c r="S86" s="144"/>
      <c r="T86" s="89"/>
      <c r="U86" s="155"/>
    </row>
    <row r="87" spans="2:21" ht="15.6" x14ac:dyDescent="0.3">
      <c r="B87" s="130">
        <v>69</v>
      </c>
      <c r="C87" s="89"/>
      <c r="D87" s="93" t="s">
        <v>9</v>
      </c>
      <c r="E87" s="147"/>
      <c r="F87" s="100"/>
      <c r="G87" s="100"/>
      <c r="H87" s="139"/>
      <c r="I87" s="133"/>
      <c r="J87" s="139"/>
      <c r="K87" s="133"/>
      <c r="L87" s="139">
        <f>(3.87+0.0012*B87)*$N$11</f>
        <v>3.960921999893205</v>
      </c>
      <c r="M87" s="133">
        <f>(3.88+0.001*B87)+$O$11</f>
        <v>3.965770833333333</v>
      </c>
      <c r="N87" s="100"/>
      <c r="O87" s="139"/>
      <c r="P87" s="100"/>
      <c r="Q87" s="133"/>
      <c r="R87" s="89"/>
      <c r="S87" s="144"/>
      <c r="T87" s="89"/>
      <c r="U87" s="155"/>
    </row>
    <row r="88" spans="2:21" ht="15.6" x14ac:dyDescent="0.3">
      <c r="B88" s="130">
        <v>70</v>
      </c>
      <c r="C88" s="89"/>
      <c r="D88" s="93" t="s">
        <v>10</v>
      </c>
      <c r="E88" s="147"/>
      <c r="F88" s="100"/>
      <c r="G88" s="100"/>
      <c r="H88" s="139"/>
      <c r="I88" s="133"/>
      <c r="J88" s="139"/>
      <c r="K88" s="133"/>
      <c r="L88" s="139">
        <f>(3.87+0.0012*B88)*$N$12</f>
        <v>3.3513298213358267</v>
      </c>
      <c r="M88" s="133">
        <f>(3.88+0.001*B88)+$O$12</f>
        <v>3.3578125000000001</v>
      </c>
      <c r="N88" s="100"/>
      <c r="O88" s="139"/>
      <c r="P88" s="100"/>
      <c r="Q88" s="133"/>
      <c r="R88" s="89"/>
      <c r="S88" s="144"/>
      <c r="T88" s="89"/>
      <c r="U88" s="155"/>
    </row>
    <row r="89" spans="2:21" ht="15.6" x14ac:dyDescent="0.3">
      <c r="B89" s="130">
        <v>71</v>
      </c>
      <c r="C89" s="89"/>
      <c r="D89" s="93" t="s">
        <v>11</v>
      </c>
      <c r="E89" s="147"/>
      <c r="F89" s="100"/>
      <c r="G89" s="100"/>
      <c r="H89" s="139"/>
      <c r="I89" s="133"/>
      <c r="J89" s="139"/>
      <c r="K89" s="133"/>
      <c r="L89" s="139">
        <f>(3.87+0.0012*B89)*$N$13</f>
        <v>3.2409070883290321</v>
      </c>
      <c r="M89" s="133">
        <f>(3.88+0.001*B89)+$O$13</f>
        <v>3.2481874999999998</v>
      </c>
      <c r="N89" s="100"/>
      <c r="O89" s="139"/>
      <c r="P89" s="100"/>
      <c r="Q89" s="133"/>
      <c r="R89" s="89"/>
      <c r="S89" s="144"/>
      <c r="T89" s="89"/>
      <c r="U89" s="155"/>
    </row>
    <row r="90" spans="2:21" ht="16.2" thickBot="1" x14ac:dyDescent="0.35">
      <c r="B90" s="131">
        <v>72</v>
      </c>
      <c r="C90" s="120"/>
      <c r="D90" s="121" t="s">
        <v>12</v>
      </c>
      <c r="E90" s="149"/>
      <c r="F90" s="122"/>
      <c r="G90" s="122"/>
      <c r="H90" s="143"/>
      <c r="I90" s="137"/>
      <c r="J90" s="143"/>
      <c r="K90" s="137"/>
      <c r="L90" s="143">
        <f>(3.87+0.0012*B90)*$N$14</f>
        <v>3.9718697763781128</v>
      </c>
      <c r="M90" s="137">
        <f>(3.88+0.001*B90)+$O$14</f>
        <v>3.9764791666666666</v>
      </c>
      <c r="N90" s="122"/>
      <c r="O90" s="143"/>
      <c r="P90" s="122"/>
      <c r="Q90" s="137"/>
      <c r="R90" s="120"/>
      <c r="S90" s="145"/>
      <c r="T90" s="120"/>
      <c r="U90" s="156"/>
    </row>
  </sheetData>
  <mergeCells count="9">
    <mergeCell ref="V7:W7"/>
    <mergeCell ref="T8:U8"/>
    <mergeCell ref="W17:AC17"/>
    <mergeCell ref="T2:U2"/>
    <mergeCell ref="T3:U3"/>
    <mergeCell ref="T4:U4"/>
    <mergeCell ref="T5:U5"/>
    <mergeCell ref="T6:U6"/>
    <mergeCell ref="T7:U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zoomScale="70" zoomScaleNormal="70" workbookViewId="0">
      <selection activeCell="AA10" sqref="AA10"/>
    </sheetView>
  </sheetViews>
  <sheetFormatPr defaultRowHeight="14.4" x14ac:dyDescent="0.3"/>
  <sheetData>
    <row r="3" spans="1:6" ht="23.4" x14ac:dyDescent="0.45">
      <c r="A3" s="85" t="s">
        <v>73</v>
      </c>
    </row>
    <row r="4" spans="1:6" x14ac:dyDescent="0.3">
      <c r="A4" t="s">
        <v>26</v>
      </c>
    </row>
    <row r="5" spans="1:6" ht="15" thickBot="1" x14ac:dyDescent="0.35"/>
    <row r="6" spans="1:6" x14ac:dyDescent="0.3">
      <c r="A6" s="12" t="s">
        <v>27</v>
      </c>
      <c r="B6" s="12"/>
    </row>
    <row r="7" spans="1:6" x14ac:dyDescent="0.3">
      <c r="A7" s="9" t="s">
        <v>28</v>
      </c>
      <c r="B7" s="9">
        <v>7.2614146473997415E-2</v>
      </c>
    </row>
    <row r="8" spans="1:6" x14ac:dyDescent="0.3">
      <c r="A8" s="9" t="s">
        <v>29</v>
      </c>
      <c r="B8" s="9">
        <v>5.272814268147151E-3</v>
      </c>
    </row>
    <row r="9" spans="1:6" x14ac:dyDescent="0.3">
      <c r="A9" s="9" t="s">
        <v>30</v>
      </c>
      <c r="B9" s="9">
        <v>-1.1877654451367554E-2</v>
      </c>
    </row>
    <row r="10" spans="1:6" x14ac:dyDescent="0.3">
      <c r="A10" s="9" t="s">
        <v>31</v>
      </c>
      <c r="B10" s="9">
        <v>0.28891762718432051</v>
      </c>
    </row>
    <row r="11" spans="1:6" ht="15" thickBot="1" x14ac:dyDescent="0.35">
      <c r="A11" s="10" t="s">
        <v>32</v>
      </c>
      <c r="B11" s="10">
        <v>60</v>
      </c>
    </row>
    <row r="13" spans="1:6" ht="15" thickBot="1" x14ac:dyDescent="0.35">
      <c r="A13" t="s">
        <v>33</v>
      </c>
    </row>
    <row r="14" spans="1:6" x14ac:dyDescent="0.3">
      <c r="A14" s="11"/>
      <c r="B14" s="11" t="s">
        <v>38</v>
      </c>
      <c r="C14" s="11" t="s">
        <v>39</v>
      </c>
      <c r="D14" s="11" t="s">
        <v>40</v>
      </c>
      <c r="E14" s="11" t="s">
        <v>41</v>
      </c>
      <c r="F14" s="11" t="s">
        <v>42</v>
      </c>
    </row>
    <row r="15" spans="1:6" x14ac:dyDescent="0.3">
      <c r="A15" s="9" t="s">
        <v>34</v>
      </c>
      <c r="B15" s="9">
        <v>1</v>
      </c>
      <c r="C15" s="9">
        <v>2.5663421620436999E-2</v>
      </c>
      <c r="D15" s="9">
        <v>2.5663421620436999E-2</v>
      </c>
      <c r="E15" s="9">
        <v>0.30744432437274827</v>
      </c>
      <c r="F15" s="9">
        <v>0.58138457152007783</v>
      </c>
    </row>
    <row r="16" spans="1:6" x14ac:dyDescent="0.3">
      <c r="A16" s="9" t="s">
        <v>35</v>
      </c>
      <c r="B16" s="9">
        <v>58</v>
      </c>
      <c r="C16" s="9">
        <v>4.8414569272734447</v>
      </c>
      <c r="D16" s="9">
        <v>8.3473395297818012E-2</v>
      </c>
      <c r="E16" s="9"/>
      <c r="F16" s="9"/>
    </row>
    <row r="17" spans="1:9" ht="15" thickBot="1" x14ac:dyDescent="0.35">
      <c r="A17" s="10" t="s">
        <v>36</v>
      </c>
      <c r="B17" s="10">
        <v>59</v>
      </c>
      <c r="C17" s="10">
        <v>4.8671203488938817</v>
      </c>
      <c r="D17" s="10"/>
      <c r="E17" s="10"/>
      <c r="F17" s="10"/>
    </row>
    <row r="18" spans="1:9" ht="15" thickBot="1" x14ac:dyDescent="0.35"/>
    <row r="19" spans="1:9" x14ac:dyDescent="0.3">
      <c r="A19" s="11"/>
      <c r="B19" s="11" t="s">
        <v>43</v>
      </c>
      <c r="C19" s="11" t="s">
        <v>31</v>
      </c>
      <c r="D19" s="11" t="s">
        <v>44</v>
      </c>
      <c r="E19" s="11" t="s">
        <v>45</v>
      </c>
      <c r="F19" s="11" t="s">
        <v>46</v>
      </c>
      <c r="G19" s="11" t="s">
        <v>47</v>
      </c>
      <c r="H19" s="11" t="s">
        <v>48</v>
      </c>
      <c r="I19" s="11" t="s">
        <v>49</v>
      </c>
    </row>
    <row r="20" spans="1:9" x14ac:dyDescent="0.3">
      <c r="A20" s="9" t="s">
        <v>37</v>
      </c>
      <c r="B20" s="9">
        <v>3.8737315852343941</v>
      </c>
      <c r="C20" s="9">
        <v>7.5540541107856671E-2</v>
      </c>
      <c r="D20" s="9">
        <v>51.280167290614003</v>
      </c>
      <c r="E20" s="9">
        <v>5.1346304064611617E-50</v>
      </c>
      <c r="F20" s="9">
        <v>3.7225207633370054</v>
      </c>
      <c r="G20" s="9">
        <v>4.0249424071317828</v>
      </c>
      <c r="H20" s="9">
        <v>3.7225207633370054</v>
      </c>
      <c r="I20" s="9">
        <v>4.0249424071317828</v>
      </c>
    </row>
    <row r="21" spans="1:9" ht="15" thickBot="1" x14ac:dyDescent="0.35">
      <c r="A21" s="10" t="s">
        <v>50</v>
      </c>
      <c r="B21" s="10">
        <v>1.1942117886198107E-3</v>
      </c>
      <c r="C21" s="10">
        <v>2.1537640022722161E-3</v>
      </c>
      <c r="D21" s="10">
        <v>0.55447662202540293</v>
      </c>
      <c r="E21" s="10">
        <v>0.58138457152010647</v>
      </c>
      <c r="F21" s="10">
        <v>-3.1170152714511028E-3</v>
      </c>
      <c r="G21" s="10">
        <v>5.5054388486907241E-3</v>
      </c>
      <c r="H21" s="10">
        <v>-3.1170152714511028E-3</v>
      </c>
      <c r="I21" s="10">
        <v>5.5054388486907241E-3</v>
      </c>
    </row>
    <row r="24" spans="1:9" ht="23.4" x14ac:dyDescent="0.45">
      <c r="A24" s="85" t="s">
        <v>74</v>
      </c>
    </row>
    <row r="25" spans="1:9" x14ac:dyDescent="0.3">
      <c r="A25" t="s">
        <v>26</v>
      </c>
    </row>
    <row r="26" spans="1:9" ht="15" thickBot="1" x14ac:dyDescent="0.35"/>
    <row r="27" spans="1:9" x14ac:dyDescent="0.3">
      <c r="A27" s="12" t="s">
        <v>27</v>
      </c>
      <c r="B27" s="12"/>
    </row>
    <row r="28" spans="1:9" x14ac:dyDescent="0.3">
      <c r="A28" s="9" t="s">
        <v>28</v>
      </c>
      <c r="B28" s="9">
        <v>6.188590750911202E-2</v>
      </c>
    </row>
    <row r="29" spans="1:9" x14ac:dyDescent="0.3">
      <c r="A29" s="9" t="s">
        <v>29</v>
      </c>
      <c r="B29" s="9">
        <v>3.829865548226368E-3</v>
      </c>
    </row>
    <row r="30" spans="1:9" x14ac:dyDescent="0.3">
      <c r="A30" s="9" t="s">
        <v>30</v>
      </c>
      <c r="B30" s="9">
        <v>-1.3345481597493866E-2</v>
      </c>
    </row>
    <row r="31" spans="1:9" x14ac:dyDescent="0.3">
      <c r="A31" s="9" t="s">
        <v>31</v>
      </c>
      <c r="B31" s="9">
        <v>0.28913169386368304</v>
      </c>
    </row>
    <row r="32" spans="1:9" ht="15" thickBot="1" x14ac:dyDescent="0.35">
      <c r="A32" s="10" t="s">
        <v>32</v>
      </c>
      <c r="B32" s="10">
        <v>60</v>
      </c>
    </row>
    <row r="34" spans="1:9" ht="15" thickBot="1" x14ac:dyDescent="0.35">
      <c r="A34" t="s">
        <v>33</v>
      </c>
    </row>
    <row r="35" spans="1:9" x14ac:dyDescent="0.3">
      <c r="A35" s="11"/>
      <c r="B35" s="11" t="s">
        <v>38</v>
      </c>
      <c r="C35" s="11" t="s">
        <v>39</v>
      </c>
      <c r="D35" s="11" t="s">
        <v>40</v>
      </c>
      <c r="E35" s="11" t="s">
        <v>41</v>
      </c>
      <c r="F35" s="11" t="s">
        <v>42</v>
      </c>
    </row>
    <row r="36" spans="1:9" x14ac:dyDescent="0.3">
      <c r="A36" s="9" t="s">
        <v>34</v>
      </c>
      <c r="B36" s="9">
        <v>1</v>
      </c>
      <c r="C36" s="9">
        <v>1.86410085280313E-2</v>
      </c>
      <c r="D36" s="9">
        <v>1.86410085280313E-2</v>
      </c>
      <c r="E36" s="9">
        <v>0.22298620899669538</v>
      </c>
      <c r="F36" s="9">
        <v>0.63854585433450095</v>
      </c>
    </row>
    <row r="37" spans="1:9" x14ac:dyDescent="0.3">
      <c r="A37" s="9" t="s">
        <v>35</v>
      </c>
      <c r="B37" s="9">
        <v>58</v>
      </c>
      <c r="C37" s="9">
        <v>4.8486339109959857</v>
      </c>
      <c r="D37" s="9">
        <v>8.3597136396482516E-2</v>
      </c>
      <c r="E37" s="9"/>
      <c r="F37" s="9"/>
    </row>
    <row r="38" spans="1:9" ht="15" thickBot="1" x14ac:dyDescent="0.35">
      <c r="A38" s="10" t="s">
        <v>36</v>
      </c>
      <c r="B38" s="10">
        <v>59</v>
      </c>
      <c r="C38" s="10">
        <v>4.867274919524017</v>
      </c>
      <c r="D38" s="10"/>
      <c r="E38" s="10"/>
      <c r="F38" s="10"/>
    </row>
    <row r="39" spans="1:9" ht="15" thickBot="1" x14ac:dyDescent="0.35"/>
    <row r="40" spans="1:9" x14ac:dyDescent="0.3">
      <c r="A40" s="11"/>
      <c r="B40" s="11" t="s">
        <v>43</v>
      </c>
      <c r="C40" s="11" t="s">
        <v>31</v>
      </c>
      <c r="D40" s="11" t="s">
        <v>44</v>
      </c>
      <c r="E40" s="11" t="s">
        <v>45</v>
      </c>
      <c r="F40" s="11" t="s">
        <v>46</v>
      </c>
      <c r="G40" s="11" t="s">
        <v>47</v>
      </c>
      <c r="H40" s="11" t="s">
        <v>48</v>
      </c>
      <c r="I40" s="11" t="s">
        <v>49</v>
      </c>
    </row>
    <row r="41" spans="1:9" x14ac:dyDescent="0.3">
      <c r="A41" s="9" t="s">
        <v>37</v>
      </c>
      <c r="B41" s="9">
        <v>3.8841049317325806</v>
      </c>
      <c r="C41" s="9">
        <v>7.5596511084316059E-2</v>
      </c>
      <c r="D41" s="9">
        <v>51.379420505272662</v>
      </c>
      <c r="E41" s="9">
        <v>4.6008095821813143E-50</v>
      </c>
      <c r="F41" s="9">
        <v>3.7327820737547261</v>
      </c>
      <c r="G41" s="9">
        <v>4.0354277897104351</v>
      </c>
      <c r="H41" s="9">
        <v>3.7327820737547261</v>
      </c>
      <c r="I41" s="9">
        <v>4.0354277897104351</v>
      </c>
    </row>
    <row r="42" spans="1:9" ht="15" thickBot="1" x14ac:dyDescent="0.35">
      <c r="A42" s="10" t="s">
        <v>50</v>
      </c>
      <c r="B42" s="10">
        <v>1.0177914003889985E-3</v>
      </c>
      <c r="C42" s="10">
        <v>2.1553597827463607E-3</v>
      </c>
      <c r="D42" s="10">
        <v>0.47221415586224225</v>
      </c>
      <c r="E42" s="10">
        <v>0.63854585433450506</v>
      </c>
      <c r="F42" s="10">
        <v>-3.2966299613578672E-3</v>
      </c>
      <c r="G42" s="10">
        <v>5.3322127621358642E-3</v>
      </c>
      <c r="H42" s="10">
        <v>-3.2966299613578672E-3</v>
      </c>
      <c r="I42" s="10">
        <v>5.3322127621358642E-3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По кварталам</vt:lpstr>
      <vt:lpstr>Регрессия кв - ф-ии Excel</vt:lpstr>
      <vt:lpstr>По месяцам</vt:lpstr>
      <vt:lpstr>По месяцам - без случ. состав.</vt:lpstr>
      <vt:lpstr>Регрессия мес - ф-ии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2021-03-14T10:13:19Z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28c1102a-99b1-429b-8249-0854a0f4e4b4</vt:lpwstr>
  </property>
</Properties>
</file>