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kudrasov/Desktop/Practicum 3_4/"/>
    </mc:Choice>
  </mc:AlternateContent>
  <xr:revisionPtr revIDLastSave="0" documentId="8_{2C3F9178-8114-0044-9ACD-C957C12ED981}" xr6:coauthVersionLast="47" xr6:coauthVersionMax="47" xr10:uidLastSave="{00000000-0000-0000-0000-000000000000}"/>
  <bookViews>
    <workbookView xWindow="0" yWindow="500" windowWidth="28800" windowHeight="16040" activeTab="2" xr2:uid="{B38E547F-DE0D-491A-B1E5-94200381CD5E}"/>
  </bookViews>
  <sheets>
    <sheet name="Отчет о результатах 1" sheetId="3" r:id="rId1"/>
    <sheet name="Отчет об устойчивости 1" sheetId="4" r:id="rId2"/>
    <sheet name="Лист2" sheetId="2" r:id="rId3"/>
  </sheets>
  <definedNames>
    <definedName name="_A">Лист2!$AQ$36:$AS$38</definedName>
    <definedName name="_A1">Лист2!$AQ$36:$AS$36</definedName>
    <definedName name="_A2">Лист2!$AQ$37:$AS$37</definedName>
    <definedName name="_A3">Лист2!$AQ$38:$AS$38</definedName>
    <definedName name="_AT1">Лист2!$AQ$41:$AS$41</definedName>
    <definedName name="_AT2">Лист2!$AQ$42:$AS$42</definedName>
    <definedName name="_AT3">Лист2!$AQ$43:$AS$43</definedName>
    <definedName name="_rsq">Лист2!$S$7</definedName>
    <definedName name="_rsq1">Лист2!$S$32</definedName>
    <definedName name="_std1">Лист2!$B$50</definedName>
    <definedName name="_std2">Лист2!$C$50</definedName>
    <definedName name="_std3">Лист2!$D$50</definedName>
    <definedName name="determinant">Лист2!$AT$16</definedName>
    <definedName name="lambda1">Лист2!$AT$15</definedName>
    <definedName name="lambda2">Лист2!$BA$15</definedName>
    <definedName name="lambda3">Лист2!$BH$15</definedName>
    <definedName name="mean1">Лист2!$B$49</definedName>
    <definedName name="mean2">Лист2!$C$49</definedName>
    <definedName name="mean3">Лист2!$D$49</definedName>
    <definedName name="solver_adj" localSheetId="2" hidden="1">Лист2!$AR$25:$AT$25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Лист2!$AV$25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1</definedName>
    <definedName name="solver_opt" localSheetId="2" hidden="1">Лист2!$AR$31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hs1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75" i="2" l="1"/>
  <c r="AT75" i="2"/>
  <c r="AS75" i="2"/>
  <c r="AY28" i="2"/>
  <c r="AR28" i="2"/>
  <c r="AV25" i="2"/>
  <c r="BH28" i="2"/>
  <c r="BG28" i="2"/>
  <c r="BF28" i="2"/>
  <c r="BJ25" i="2"/>
  <c r="BC25" i="2"/>
  <c r="BA28" i="2"/>
  <c r="AZ28" i="2"/>
  <c r="AS28" i="2"/>
  <c r="AT28" i="2"/>
  <c r="BH20" i="2" l="1"/>
  <c r="BH19" i="2"/>
  <c r="BG19" i="2"/>
  <c r="BA20" i="2"/>
  <c r="BA19" i="2"/>
  <c r="AZ19" i="2"/>
  <c r="AT20" i="2"/>
  <c r="AT19" i="2"/>
  <c r="AS19" i="2"/>
  <c r="AU11" i="2"/>
  <c r="AU10" i="2"/>
  <c r="AT10" i="2"/>
  <c r="AU6" i="2"/>
  <c r="AT5" i="2"/>
  <c r="AS4" i="2"/>
  <c r="K47" i="2"/>
  <c r="C50" i="2"/>
  <c r="D50" i="2"/>
  <c r="D49" i="2"/>
  <c r="C49" i="2"/>
  <c r="B50" i="2"/>
  <c r="B49" i="2"/>
  <c r="K5" i="2" s="1"/>
  <c r="E3" i="2"/>
  <c r="F3" i="2" s="1"/>
  <c r="G3" i="2"/>
  <c r="H3" i="2" s="1"/>
  <c r="I3" i="2"/>
  <c r="J3" i="2" s="1"/>
  <c r="E4" i="2"/>
  <c r="F4" i="2" s="1"/>
  <c r="G4" i="2"/>
  <c r="H4" i="2" s="1"/>
  <c r="I4" i="2"/>
  <c r="J4" i="2" s="1"/>
  <c r="E5" i="2"/>
  <c r="F5" i="2" s="1"/>
  <c r="G5" i="2"/>
  <c r="H5" i="2" s="1"/>
  <c r="I5" i="2"/>
  <c r="J5" i="2" s="1"/>
  <c r="E6" i="2"/>
  <c r="F6" i="2" s="1"/>
  <c r="G6" i="2"/>
  <c r="H6" i="2" s="1"/>
  <c r="I6" i="2"/>
  <c r="J6" i="2" s="1"/>
  <c r="E7" i="2"/>
  <c r="F7" i="2" s="1"/>
  <c r="G7" i="2"/>
  <c r="H7" i="2" s="1"/>
  <c r="I7" i="2"/>
  <c r="J7" i="2"/>
  <c r="E8" i="2"/>
  <c r="F8" i="2" s="1"/>
  <c r="G8" i="2"/>
  <c r="H8" i="2" s="1"/>
  <c r="I8" i="2"/>
  <c r="J8" i="2" s="1"/>
  <c r="E9" i="2"/>
  <c r="F9" i="2" s="1"/>
  <c r="G9" i="2"/>
  <c r="H9" i="2" s="1"/>
  <c r="I9" i="2"/>
  <c r="J9" i="2" s="1"/>
  <c r="E10" i="2"/>
  <c r="F10" i="2" s="1"/>
  <c r="G10" i="2"/>
  <c r="H10" i="2" s="1"/>
  <c r="I10" i="2"/>
  <c r="J10" i="2" s="1"/>
  <c r="E11" i="2"/>
  <c r="F11" i="2" s="1"/>
  <c r="G11" i="2"/>
  <c r="H11" i="2" s="1"/>
  <c r="I11" i="2"/>
  <c r="J11" i="2" s="1"/>
  <c r="E12" i="2"/>
  <c r="F12" i="2" s="1"/>
  <c r="G12" i="2"/>
  <c r="H12" i="2" s="1"/>
  <c r="I12" i="2"/>
  <c r="J12" i="2" s="1"/>
  <c r="E13" i="2"/>
  <c r="F13" i="2" s="1"/>
  <c r="G13" i="2"/>
  <c r="H13" i="2" s="1"/>
  <c r="I13" i="2"/>
  <c r="J13" i="2" s="1"/>
  <c r="E14" i="2"/>
  <c r="F14" i="2" s="1"/>
  <c r="G14" i="2"/>
  <c r="H14" i="2" s="1"/>
  <c r="I14" i="2"/>
  <c r="J14" i="2" s="1"/>
  <c r="E15" i="2"/>
  <c r="F15" i="2" s="1"/>
  <c r="G15" i="2"/>
  <c r="H15" i="2" s="1"/>
  <c r="I15" i="2"/>
  <c r="J15" i="2" s="1"/>
  <c r="E16" i="2"/>
  <c r="F16" i="2" s="1"/>
  <c r="G16" i="2"/>
  <c r="H16" i="2" s="1"/>
  <c r="I16" i="2"/>
  <c r="J16" i="2" s="1"/>
  <c r="E17" i="2"/>
  <c r="F17" i="2" s="1"/>
  <c r="G17" i="2"/>
  <c r="H17" i="2" s="1"/>
  <c r="I17" i="2"/>
  <c r="J17" i="2" s="1"/>
  <c r="E18" i="2"/>
  <c r="F18" i="2" s="1"/>
  <c r="G18" i="2"/>
  <c r="H18" i="2" s="1"/>
  <c r="I18" i="2"/>
  <c r="J18" i="2" s="1"/>
  <c r="E19" i="2"/>
  <c r="F19" i="2" s="1"/>
  <c r="G19" i="2"/>
  <c r="H19" i="2" s="1"/>
  <c r="I19" i="2"/>
  <c r="J19" i="2" s="1"/>
  <c r="E20" i="2"/>
  <c r="F20" i="2" s="1"/>
  <c r="G20" i="2"/>
  <c r="H20" i="2" s="1"/>
  <c r="I20" i="2"/>
  <c r="J20" i="2" s="1"/>
  <c r="E21" i="2"/>
  <c r="F21" i="2" s="1"/>
  <c r="G21" i="2"/>
  <c r="H21" i="2" s="1"/>
  <c r="I21" i="2"/>
  <c r="J21" i="2" s="1"/>
  <c r="E22" i="2"/>
  <c r="F22" i="2" s="1"/>
  <c r="G22" i="2"/>
  <c r="H22" i="2" s="1"/>
  <c r="I22" i="2"/>
  <c r="J22" i="2" s="1"/>
  <c r="E23" i="2"/>
  <c r="F23" i="2" s="1"/>
  <c r="G23" i="2"/>
  <c r="H23" i="2" s="1"/>
  <c r="I23" i="2"/>
  <c r="J23" i="2" s="1"/>
  <c r="E24" i="2"/>
  <c r="F24" i="2" s="1"/>
  <c r="G24" i="2"/>
  <c r="H24" i="2" s="1"/>
  <c r="I24" i="2"/>
  <c r="J24" i="2" s="1"/>
  <c r="E25" i="2"/>
  <c r="F25" i="2" s="1"/>
  <c r="G25" i="2"/>
  <c r="H25" i="2" s="1"/>
  <c r="I25" i="2"/>
  <c r="J25" i="2" s="1"/>
  <c r="E26" i="2"/>
  <c r="F26" i="2" s="1"/>
  <c r="G26" i="2"/>
  <c r="H26" i="2" s="1"/>
  <c r="I26" i="2"/>
  <c r="J26" i="2" s="1"/>
  <c r="E27" i="2"/>
  <c r="F27" i="2" s="1"/>
  <c r="G27" i="2"/>
  <c r="H27" i="2" s="1"/>
  <c r="I27" i="2"/>
  <c r="J27" i="2"/>
  <c r="E28" i="2"/>
  <c r="F28" i="2" s="1"/>
  <c r="G28" i="2"/>
  <c r="H28" i="2" s="1"/>
  <c r="I28" i="2"/>
  <c r="J28" i="2" s="1"/>
  <c r="E29" i="2"/>
  <c r="F29" i="2" s="1"/>
  <c r="G29" i="2"/>
  <c r="H29" i="2" s="1"/>
  <c r="I29" i="2"/>
  <c r="J29" i="2" s="1"/>
  <c r="E30" i="2"/>
  <c r="F30" i="2" s="1"/>
  <c r="G30" i="2"/>
  <c r="H30" i="2" s="1"/>
  <c r="I30" i="2"/>
  <c r="J30" i="2" s="1"/>
  <c r="E31" i="2"/>
  <c r="F31" i="2" s="1"/>
  <c r="G31" i="2"/>
  <c r="H31" i="2" s="1"/>
  <c r="I31" i="2"/>
  <c r="J31" i="2" s="1"/>
  <c r="E32" i="2"/>
  <c r="F32" i="2" s="1"/>
  <c r="G32" i="2"/>
  <c r="H32" i="2" s="1"/>
  <c r="I32" i="2"/>
  <c r="J32" i="2" s="1"/>
  <c r="E33" i="2"/>
  <c r="F33" i="2" s="1"/>
  <c r="G33" i="2"/>
  <c r="H33" i="2" s="1"/>
  <c r="I33" i="2"/>
  <c r="J33" i="2" s="1"/>
  <c r="E34" i="2"/>
  <c r="F34" i="2" s="1"/>
  <c r="G34" i="2"/>
  <c r="H34" i="2" s="1"/>
  <c r="I34" i="2"/>
  <c r="J34" i="2" s="1"/>
  <c r="E35" i="2"/>
  <c r="F35" i="2" s="1"/>
  <c r="G35" i="2"/>
  <c r="H35" i="2" s="1"/>
  <c r="I35" i="2"/>
  <c r="J35" i="2" s="1"/>
  <c r="E36" i="2"/>
  <c r="F36" i="2" s="1"/>
  <c r="G36" i="2"/>
  <c r="H36" i="2" s="1"/>
  <c r="I36" i="2"/>
  <c r="J36" i="2"/>
  <c r="E37" i="2"/>
  <c r="F37" i="2" s="1"/>
  <c r="G37" i="2"/>
  <c r="H37" i="2" s="1"/>
  <c r="I37" i="2"/>
  <c r="J37" i="2" s="1"/>
  <c r="E38" i="2"/>
  <c r="F38" i="2" s="1"/>
  <c r="G38" i="2"/>
  <c r="H38" i="2" s="1"/>
  <c r="I38" i="2"/>
  <c r="J38" i="2"/>
  <c r="E39" i="2"/>
  <c r="F39" i="2" s="1"/>
  <c r="G39" i="2"/>
  <c r="H39" i="2" s="1"/>
  <c r="I39" i="2"/>
  <c r="J39" i="2" s="1"/>
  <c r="E40" i="2"/>
  <c r="F40" i="2" s="1"/>
  <c r="G40" i="2"/>
  <c r="H40" i="2" s="1"/>
  <c r="I40" i="2"/>
  <c r="J40" i="2" s="1"/>
  <c r="E41" i="2"/>
  <c r="F41" i="2" s="1"/>
  <c r="G41" i="2"/>
  <c r="H41" i="2"/>
  <c r="I41" i="2"/>
  <c r="J41" i="2" s="1"/>
  <c r="E42" i="2"/>
  <c r="F42" i="2" s="1"/>
  <c r="G42" i="2"/>
  <c r="H42" i="2" s="1"/>
  <c r="I42" i="2"/>
  <c r="J42" i="2" s="1"/>
  <c r="E43" i="2"/>
  <c r="F43" i="2" s="1"/>
  <c r="G43" i="2"/>
  <c r="H43" i="2" s="1"/>
  <c r="I43" i="2"/>
  <c r="J43" i="2" s="1"/>
  <c r="E44" i="2"/>
  <c r="F44" i="2" s="1"/>
  <c r="G44" i="2"/>
  <c r="H44" i="2" s="1"/>
  <c r="I44" i="2"/>
  <c r="J44" i="2" s="1"/>
  <c r="E45" i="2"/>
  <c r="F45" i="2" s="1"/>
  <c r="G45" i="2"/>
  <c r="H45" i="2" s="1"/>
  <c r="I45" i="2"/>
  <c r="J45" i="2" s="1"/>
  <c r="E46" i="2"/>
  <c r="F46" i="2"/>
  <c r="G46" i="2"/>
  <c r="H46" i="2" s="1"/>
  <c r="I46" i="2"/>
  <c r="J46" i="2" s="1"/>
  <c r="E47" i="2"/>
  <c r="F47" i="2" s="1"/>
  <c r="G47" i="2"/>
  <c r="H47" i="2" s="1"/>
  <c r="I47" i="2"/>
  <c r="J47" i="2"/>
  <c r="I2" i="2"/>
  <c r="J2" i="2" s="1"/>
  <c r="G2" i="2"/>
  <c r="H2" i="2" s="1"/>
  <c r="E2" i="2"/>
  <c r="F2" i="2" s="1"/>
  <c r="K2" i="2" l="1"/>
  <c r="K34" i="2"/>
  <c r="K23" i="2"/>
  <c r="K22" i="2"/>
  <c r="M27" i="2"/>
  <c r="K36" i="2"/>
  <c r="L35" i="2"/>
  <c r="K46" i="2"/>
  <c r="K38" i="2"/>
  <c r="K25" i="2"/>
  <c r="K12" i="2"/>
  <c r="K10" i="2"/>
  <c r="K9" i="2"/>
  <c r="K7" i="2"/>
  <c r="K20" i="2"/>
  <c r="K21" i="2"/>
  <c r="K44" i="2"/>
  <c r="K31" i="2"/>
  <c r="L10" i="2"/>
  <c r="K42" i="2"/>
  <c r="K30" i="2"/>
  <c r="K17" i="2"/>
  <c r="K4" i="2"/>
  <c r="K18" i="2"/>
  <c r="M7" i="2"/>
  <c r="K41" i="2"/>
  <c r="K28" i="2"/>
  <c r="K15" i="2"/>
  <c r="K33" i="2"/>
  <c r="K6" i="2"/>
  <c r="K39" i="2"/>
  <c r="K26" i="2"/>
  <c r="K14" i="2"/>
  <c r="M41" i="2"/>
  <c r="M25" i="2"/>
  <c r="M9" i="2"/>
  <c r="L4" i="2"/>
  <c r="M30" i="2"/>
  <c r="L9" i="2"/>
  <c r="L38" i="2"/>
  <c r="L47" i="2"/>
  <c r="M44" i="2"/>
  <c r="L39" i="2"/>
  <c r="M36" i="2"/>
  <c r="L31" i="2"/>
  <c r="M28" i="2"/>
  <c r="L23" i="2"/>
  <c r="M20" i="2"/>
  <c r="L15" i="2"/>
  <c r="M12" i="2"/>
  <c r="L7" i="2"/>
  <c r="M4" i="2"/>
  <c r="M22" i="2"/>
  <c r="L3" i="2"/>
  <c r="L28" i="2"/>
  <c r="M17" i="2"/>
  <c r="L12" i="2"/>
  <c r="L41" i="2"/>
  <c r="M14" i="2"/>
  <c r="L46" i="2"/>
  <c r="L22" i="2"/>
  <c r="M24" i="2"/>
  <c r="L19" i="2"/>
  <c r="M16" i="2"/>
  <c r="L11" i="2"/>
  <c r="L2" i="2"/>
  <c r="M45" i="2"/>
  <c r="K43" i="2"/>
  <c r="L40" i="2"/>
  <c r="M37" i="2"/>
  <c r="K35" i="2"/>
  <c r="L32" i="2"/>
  <c r="M29" i="2"/>
  <c r="K27" i="2"/>
  <c r="L24" i="2"/>
  <c r="M21" i="2"/>
  <c r="K19" i="2"/>
  <c r="L16" i="2"/>
  <c r="M13" i="2"/>
  <c r="K11" i="2"/>
  <c r="L8" i="2"/>
  <c r="M5" i="2"/>
  <c r="K3" i="2"/>
  <c r="L44" i="2"/>
  <c r="M33" i="2"/>
  <c r="L20" i="2"/>
  <c r="M38" i="2"/>
  <c r="L25" i="2"/>
  <c r="M6" i="2"/>
  <c r="M35" i="2"/>
  <c r="L30" i="2"/>
  <c r="M19" i="2"/>
  <c r="L14" i="2"/>
  <c r="M11" i="2"/>
  <c r="L6" i="2"/>
  <c r="M3" i="2"/>
  <c r="L43" i="2"/>
  <c r="M40" i="2"/>
  <c r="M32" i="2"/>
  <c r="L27" i="2"/>
  <c r="M8" i="2"/>
  <c r="M2" i="2"/>
  <c r="L45" i="2"/>
  <c r="M42" i="2"/>
  <c r="K40" i="2"/>
  <c r="L37" i="2"/>
  <c r="M34" i="2"/>
  <c r="K32" i="2"/>
  <c r="L29" i="2"/>
  <c r="M26" i="2"/>
  <c r="K24" i="2"/>
  <c r="L21" i="2"/>
  <c r="M18" i="2"/>
  <c r="K16" i="2"/>
  <c r="L13" i="2"/>
  <c r="M10" i="2"/>
  <c r="K8" i="2"/>
  <c r="L5" i="2"/>
  <c r="N5" i="2" s="1"/>
  <c r="L36" i="2"/>
  <c r="M46" i="2"/>
  <c r="L33" i="2"/>
  <c r="L17" i="2"/>
  <c r="M43" i="2"/>
  <c r="M47" i="2"/>
  <c r="K45" i="2"/>
  <c r="L42" i="2"/>
  <c r="M39" i="2"/>
  <c r="K37" i="2"/>
  <c r="L34" i="2"/>
  <c r="M31" i="2"/>
  <c r="K29" i="2"/>
  <c r="L26" i="2"/>
  <c r="M23" i="2"/>
  <c r="L18" i="2"/>
  <c r="M15" i="2"/>
  <c r="K13" i="2"/>
  <c r="F48" i="2"/>
  <c r="AG56" i="2" s="1"/>
  <c r="J48" i="2"/>
  <c r="AD56" i="2" s="1"/>
  <c r="H48" i="2"/>
  <c r="V53" i="2"/>
  <c r="AF32" i="2"/>
  <c r="V32" i="2"/>
  <c r="O5" i="2" l="1"/>
  <c r="O47" i="2"/>
  <c r="P16" i="2"/>
  <c r="N16" i="2"/>
  <c r="O16" i="2"/>
  <c r="O27" i="2"/>
  <c r="P27" i="2"/>
  <c r="N27" i="2"/>
  <c r="P41" i="2"/>
  <c r="N41" i="2"/>
  <c r="O41" i="2"/>
  <c r="O31" i="2"/>
  <c r="P31" i="2"/>
  <c r="N31" i="2"/>
  <c r="N25" i="2"/>
  <c r="O25" i="2"/>
  <c r="P25" i="2"/>
  <c r="N34" i="2"/>
  <c r="O34" i="2"/>
  <c r="P34" i="2"/>
  <c r="O2" i="2"/>
  <c r="P2" i="2"/>
  <c r="N2" i="2"/>
  <c r="N18" i="2"/>
  <c r="O18" i="2"/>
  <c r="P18" i="2"/>
  <c r="P5" i="2"/>
  <c r="P4" i="2"/>
  <c r="N4" i="2"/>
  <c r="O4" i="2"/>
  <c r="P20" i="2"/>
  <c r="O20" i="2"/>
  <c r="N20" i="2"/>
  <c r="N17" i="2"/>
  <c r="O17" i="2"/>
  <c r="P17" i="2"/>
  <c r="P36" i="2"/>
  <c r="N36" i="2"/>
  <c r="O36" i="2"/>
  <c r="N8" i="2"/>
  <c r="O8" i="2"/>
  <c r="P8" i="2"/>
  <c r="P19" i="2"/>
  <c r="N19" i="2"/>
  <c r="O19" i="2"/>
  <c r="O33" i="2"/>
  <c r="N33" i="2"/>
  <c r="P33" i="2"/>
  <c r="N30" i="2"/>
  <c r="O30" i="2"/>
  <c r="P30" i="2"/>
  <c r="P9" i="2"/>
  <c r="N9" i="2"/>
  <c r="O9" i="2"/>
  <c r="N47" i="2"/>
  <c r="N40" i="2"/>
  <c r="P40" i="2"/>
  <c r="O40" i="2"/>
  <c r="P14" i="2"/>
  <c r="N14" i="2"/>
  <c r="O14" i="2"/>
  <c r="P44" i="2"/>
  <c r="N44" i="2"/>
  <c r="O44" i="2"/>
  <c r="P13" i="2"/>
  <c r="N13" i="2"/>
  <c r="O13" i="2"/>
  <c r="O11" i="2"/>
  <c r="P11" i="2"/>
  <c r="N11" i="2"/>
  <c r="P46" i="2"/>
  <c r="O46" i="2"/>
  <c r="N46" i="2"/>
  <c r="O24" i="2"/>
  <c r="P24" i="2"/>
  <c r="N24" i="2"/>
  <c r="P6" i="2"/>
  <c r="O6" i="2"/>
  <c r="N6" i="2"/>
  <c r="O7" i="2"/>
  <c r="P7" i="2"/>
  <c r="N7" i="2"/>
  <c r="N43" i="2"/>
  <c r="O43" i="2"/>
  <c r="P43" i="2"/>
  <c r="O15" i="2"/>
  <c r="P15" i="2"/>
  <c r="N15" i="2"/>
  <c r="N42" i="2"/>
  <c r="P42" i="2"/>
  <c r="O42" i="2"/>
  <c r="N10" i="2"/>
  <c r="O10" i="2"/>
  <c r="P10" i="2"/>
  <c r="P22" i="2"/>
  <c r="N22" i="2"/>
  <c r="O22" i="2"/>
  <c r="P47" i="2"/>
  <c r="N38" i="2"/>
  <c r="O38" i="2"/>
  <c r="P38" i="2"/>
  <c r="O37" i="2"/>
  <c r="P37" i="2"/>
  <c r="N37" i="2"/>
  <c r="N26" i="2"/>
  <c r="O26" i="2"/>
  <c r="P26" i="2"/>
  <c r="N21" i="2"/>
  <c r="O21" i="2"/>
  <c r="P21" i="2"/>
  <c r="N35" i="2"/>
  <c r="O35" i="2"/>
  <c r="P35" i="2"/>
  <c r="O39" i="2"/>
  <c r="P39" i="2"/>
  <c r="N39" i="2"/>
  <c r="N45" i="2"/>
  <c r="O45" i="2"/>
  <c r="P45" i="2"/>
  <c r="N32" i="2"/>
  <c r="P32" i="2"/>
  <c r="O32" i="2"/>
  <c r="N29" i="2"/>
  <c r="O29" i="2"/>
  <c r="P29" i="2"/>
  <c r="P3" i="2"/>
  <c r="N3" i="2"/>
  <c r="O3" i="2"/>
  <c r="P28" i="2"/>
  <c r="N28" i="2"/>
  <c r="O28" i="2"/>
  <c r="P12" i="2"/>
  <c r="N12" i="2"/>
  <c r="O12" i="2"/>
  <c r="O23" i="2"/>
  <c r="P23" i="2"/>
  <c r="N23" i="2"/>
  <c r="AT21" i="2"/>
  <c r="BG20" i="2"/>
  <c r="AT11" i="2"/>
  <c r="AS27" i="2" s="1"/>
  <c r="AS29" i="2" s="1"/>
  <c r="AS10" i="2"/>
  <c r="AS20" i="2"/>
  <c r="BA21" i="2"/>
  <c r="AR19" i="2"/>
  <c r="AZ20" i="2"/>
  <c r="BH21" i="2"/>
  <c r="AU12" i="2"/>
  <c r="BF19" i="2"/>
  <c r="BH16" i="2" s="1"/>
  <c r="AY19" i="2"/>
  <c r="AG55" i="2"/>
  <c r="AG58" i="2" s="1"/>
  <c r="AD52" i="2" s="1"/>
  <c r="AD55" i="2"/>
  <c r="AD58" i="2" s="1"/>
  <c r="AD51" i="2" s="1"/>
  <c r="AP53" i="2" l="1"/>
  <c r="AP51" i="2"/>
  <c r="AP52" i="2"/>
  <c r="AQ53" i="2"/>
  <c r="AR53" i="2"/>
  <c r="AQ52" i="2"/>
  <c r="AT16" i="2"/>
  <c r="BG27" i="2"/>
  <c r="BG29" i="2" s="1"/>
  <c r="BA16" i="2"/>
  <c r="Y4" i="2"/>
  <c r="BF27" i="2"/>
  <c r="BF29" i="2" s="1"/>
  <c r="AR27" i="2"/>
  <c r="AR29" i="2" s="1"/>
  <c r="AY27" i="2"/>
  <c r="X3" i="2"/>
  <c r="AZ27" i="2"/>
  <c r="AZ29" i="2" s="1"/>
  <c r="BH27" i="2"/>
  <c r="BH29" i="2" s="1"/>
  <c r="BA27" i="2"/>
  <c r="BA29" i="2" s="1"/>
  <c r="AT27" i="2"/>
  <c r="AT29" i="2" s="1"/>
  <c r="W2" i="2" l="1"/>
  <c r="BF31" i="2"/>
  <c r="AY31" i="2"/>
  <c r="AY29" i="2"/>
  <c r="AR31" i="2"/>
</calcChain>
</file>

<file path=xl/sharedStrings.xml><?xml version="1.0" encoding="utf-8"?>
<sst xmlns="http://schemas.openxmlformats.org/spreadsheetml/2006/main" count="430" uniqueCount="127">
  <si>
    <t>Y</t>
  </si>
  <si>
    <t>X1</t>
  </si>
  <si>
    <t>X2</t>
  </si>
  <si>
    <t>X3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</si>
  <si>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</si>
  <si>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</si>
  <si>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</si>
  <si>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</si>
  <si>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</si>
  <si>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</si>
  <si>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</si>
  <si>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</si>
  <si>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</si>
  <si>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</si>
  <si>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</si>
  <si>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</si>
  <si>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</si>
  <si>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</si>
  <si>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</si>
  <si>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</si>
  <si>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</si>
  <si>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</si>
  <si>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</si>
  <si>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</si>
  <si>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</si>
  <si>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</si>
  <si>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</si>
  <si>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</si>
  <si>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a)</t>
  </si>
  <si>
    <t>VIF=</t>
  </si>
  <si>
    <t>mid correlation, lies between 1 and 5</t>
  </si>
  <si>
    <t>C)</t>
  </si>
  <si>
    <t>Переменная X 1</t>
  </si>
  <si>
    <t>Переменная X 2</t>
  </si>
  <si>
    <t>Переменная X 3</t>
  </si>
  <si>
    <t>B) test multicol</t>
  </si>
  <si>
    <t>Test whether both X2 and X3 can be dropped from the regression model </t>
  </si>
  <si>
    <t>reg without X2 X3</t>
  </si>
  <si>
    <t>Calculate partial determination R^2(YX1), R^2(YX1|X2) and R^2(YX1|X2,X3).</t>
  </si>
  <si>
    <t>D)</t>
  </si>
  <si>
    <t>not stst sig</t>
  </si>
  <si>
    <t>Coef did not change that much so we can excluse variables</t>
  </si>
  <si>
    <t>R^2(YX1)=</t>
  </si>
  <si>
    <t>Big p-value of X2 X3 - not significant</t>
  </si>
  <si>
    <t>R^2 did not change that much</t>
  </si>
  <si>
    <t>R^2(YX1|X2)</t>
  </si>
  <si>
    <t>R^2(YX1|X2,X3)</t>
  </si>
  <si>
    <t>SSE red</t>
  </si>
  <si>
    <t>SSE full</t>
  </si>
  <si>
    <t>R^2 partial</t>
  </si>
  <si>
    <t>y hat full</t>
  </si>
  <si>
    <t>SE</t>
  </si>
  <si>
    <t>y hat x1</t>
  </si>
  <si>
    <t>yhat x1 x2</t>
  </si>
  <si>
    <t>SSE</t>
  </si>
  <si>
    <t>E)</t>
  </si>
  <si>
    <t>x1'</t>
  </si>
  <si>
    <t>x2'</t>
  </si>
  <si>
    <t>x3'</t>
  </si>
  <si>
    <t>mean</t>
  </si>
  <si>
    <t>std</t>
  </si>
  <si>
    <t>cov</t>
  </si>
  <si>
    <t>cor</t>
  </si>
  <si>
    <t>finding eigenvalues</t>
  </si>
  <si>
    <t xml:space="preserve">lambda = </t>
  </si>
  <si>
    <t xml:space="preserve">det = </t>
  </si>
  <si>
    <t>finding eigenvecors</t>
  </si>
  <si>
    <t>eigenvector</t>
  </si>
  <si>
    <t>cov*eigenvecor</t>
  </si>
  <si>
    <t>lambda*eigenvector</t>
  </si>
  <si>
    <t>module of diff ^2</t>
  </si>
  <si>
    <t>Microsoft Excel 16.68 Отчет о результатах</t>
  </si>
  <si>
    <t>Лист: [Patient satisfaction.xlsx]Лист2</t>
  </si>
  <si>
    <t>Отчет создан: 27.04.2023 6:09:07 PM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</si>
  <si>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</si>
  <si>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</si>
  <si>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</si>
  <si>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336,994 секунд.</t>
  </si>
  <si>
    <t>Число итераций: 4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</si>
  <si>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</si>
  <si>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</si>
  <si>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</si>
  <si>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</si>
  <si>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</si>
  <si>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</si>
  <si>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</si>
  <si>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</si>
  <si>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</si>
  <si>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</si>
  <si>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</si>
  <si>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</si>
  <si>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НЕТ</t>
  </si>
  <si>
    <t>$AO$30</t>
  </si>
  <si>
    <t>module of diff ^2 x1'</t>
  </si>
  <si>
    <t>$AO$25</t>
  </si>
  <si>
    <t>eigenvector x1'</t>
  </si>
  <si>
    <t>Продолжить</t>
  </si>
  <si>
    <t>$AP$25</t>
  </si>
  <si>
    <t>eigenvector x2'</t>
  </si>
  <si>
    <t>$AQ$25</t>
  </si>
  <si>
    <t>eigenvector x3'</t>
  </si>
  <si>
    <t>Microsoft Excel 16.68 Отчет об устойчивости</t>
  </si>
  <si>
    <t>Окончательное</t>
  </si>
  <si>
    <t>Значение</t>
  </si>
  <si>
    <t>Приведенн.</t>
  </si>
  <si>
    <t>Градиент</t>
  </si>
  <si>
    <t>difference</t>
  </si>
  <si>
    <t xml:space="preserve">{=eigVAL(AP10:AR12)}
</t>
  </si>
  <si>
    <t xml:space="preserve">
</t>
  </si>
  <si>
    <t>module</t>
  </si>
  <si>
    <t>Transform matrix</t>
  </si>
  <si>
    <t>x1 decorr</t>
  </si>
  <si>
    <t>x2 decorr</t>
  </si>
  <si>
    <t>x3 decorr</t>
  </si>
  <si>
    <t>Inverse transform matrix (transposed)</t>
  </si>
  <si>
    <t>coefficients of determination between all pairs of independent variables</t>
  </si>
  <si>
    <t>f)</t>
  </si>
  <si>
    <r>
      <t xml:space="preserve">it is meaningful to consider the standartized regression coefficients as indicating the effect of one predictor variable when the others are held constant </t>
    </r>
    <r>
      <rPr>
        <b/>
        <i/>
        <sz val="11"/>
        <color theme="1"/>
        <rFont val="Calibri"/>
        <family val="2"/>
        <scheme val="minor"/>
      </rPr>
      <t>because they are independent</t>
    </r>
  </si>
  <si>
    <t>regression on decorelated variables</t>
  </si>
  <si>
    <t>g)</t>
  </si>
  <si>
    <t>-&gt;</t>
  </si>
  <si>
    <t>regression on standartized variables befor decorrelation</t>
  </si>
  <si>
    <t>A</t>
  </si>
  <si>
    <t>A^T</t>
  </si>
  <si>
    <t>transforming coefficients back (inverse transform A)</t>
  </si>
  <si>
    <t>coefficients before decorrelation  transform</t>
  </si>
  <si>
    <t>Yes, they are the same as expected.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</si>
</sst>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rgb="FF212529"/>
      <name val="Segoe UI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charset val="204"/>
      <scheme val="minor"/>
    </font>
    <font>
      <u/>
      <sz val="11"/>
      <color theme="1"/>
      <name val="Calibri (Основной текст)"/>
      <charset val="204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0" xfId="0" applyFont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2" borderId="0" xfId="0" applyFill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0" xfId="0" applyFill="1" applyBorder="1"/>
    <xf numFmtId="0" fontId="3" fillId="0" borderId="0" xfId="0" applyFont="1"/>
    <xf numFmtId="0" fontId="0" fillId="0" borderId="6" xfId="0" applyFill="1" applyBorder="1" applyAlignment="1"/>
    <xf numFmtId="0" fontId="4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4" fillId="0" borderId="5" xfId="0" applyFont="1" applyFill="1" applyBorder="1" applyAlignment="1">
      <alignment horizontal="centerContinuous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8" xfId="0" applyFill="1" applyBorder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56F8-B2C9-0740-9772-4EFE478160EF}">
  <dimension ref="A1:G27"/>
  <sheetViews>
    <sheetView showGridLines="0" workbookViewId="0"/>
  </sheetViews>
  <sheetFormatPr baseColWidth="10" defaultRowHeight="15" x14ac:dyDescent="0.2"/>
  <cols>
    <col min="1" max="1" width="2.33203125" customWidth="1"/>
    <col min="2" max="2" width="6.83203125" bestFit="1" customWidth="1"/>
    <col min="3" max="3" width="16.5" bestFit="1" customWidth="1"/>
    <col min="4" max="4" width="17" bestFit="1" customWidth="1"/>
    <col min="5" max="5" width="21.6640625" bestFit="1" customWidth="1"/>
    <col min="6" max="6" width="13.6640625" bestFit="1" customWidth="1"/>
  </cols>
  <sheetData>
    <row r="1" spans="1:5" x14ac:dyDescent="0.2">
      <c r="A1" s="17" t="s">
        <v>71</v>
      </c>
    </row>
    <row r="2" spans="1:5" x14ac:dyDescent="0.2">
      <c r="A2" s="17" t="s">
        <v>72</v>
      </c>
    </row>
    <row r="3" spans="1:5" x14ac:dyDescent="0.2">
      <c r="A3" s="17" t="s">
        <v>73</v>
      </c>
    </row>
    <row r="4" spans="1:5" x14ac:dyDescent="0.2">
      <c r="A4" s="17" t="s">
        <v>74</v>
      </c>
    </row>
    <row r="5" spans="1:5" x14ac:dyDescent="0.2">
      <c r="A5" s="17" t="s">
        <v>75</v>
      </c>
    </row>
    <row r="6" spans="1:5" x14ac:dyDescent="0.2">
      <c r="A6" s="17"/>
      <c r="B6" t="s">
        <v>76</v>
      </c>
    </row>
    <row r="7" spans="1:5" x14ac:dyDescent="0.2">
      <c r="A7" s="17"/>
      <c r="B7" t="s">
        <v>77</v>
      </c>
    </row>
    <row r="8" spans="1:5" x14ac:dyDescent="0.2">
      <c r="A8" s="17"/>
      <c r="B8" t="s">
        <v>78</v>
      </c>
    </row>
    <row r="9" spans="1:5" x14ac:dyDescent="0.2">
      <c r="A9" s="17" t="s">
        <v>79</v>
      </c>
    </row>
    <row r="10" spans="1:5" x14ac:dyDescent="0.2">
      <c r="B10" t="s">
        <v>80</v>
      </c>
    </row>
    <row r="11" spans="1:5" x14ac:dyDescent="0.2">
      <c r="B11" t="s">
        <v>81</v>
      </c>
    </row>
    <row r="12" spans="1:5" x14ac:dyDescent="0.2">
      <c r="B12" t="s">
        <v>82</v>
      </c>
    </row>
    <row r="14" spans="1:5" ht="16" thickBot="1" x14ac:dyDescent="0.25">
      <c r="A14" t="s">
        <v>83</v>
      </c>
    </row>
    <row r="15" spans="1:5" ht="16" thickBot="1" x14ac:dyDescent="0.25">
      <c r="B15" s="19" t="s">
        <v>84</v>
      </c>
      <c r="C15" s="19" t="s">
        <v>85</v>
      </c>
      <c r="D15" s="19" t="s">
        <v>86</v>
      </c>
      <c r="E15" s="19" t="s">
        <v>87</v>
      </c>
    </row>
    <row r="16" spans="1:5" ht="16" thickBot="1" x14ac:dyDescent="0.25">
      <c r="B16" s="18" t="s">
        <v>92</v>
      </c>
      <c r="C16" s="18" t="s">
        <v>93</v>
      </c>
      <c r="D16" s="21">
        <v>6.6680517346388841</v>
      </c>
      <c r="E16" s="21">
        <v>1.3437128233003492</v>
      </c>
    </row>
    <row r="19" spans="1:7" ht="16" thickBot="1" x14ac:dyDescent="0.25">
      <c r="A19" t="s">
        <v>88</v>
      </c>
    </row>
    <row r="20" spans="1:7" ht="16" thickBot="1" x14ac:dyDescent="0.25">
      <c r="B20" s="19" t="s">
        <v>84</v>
      </c>
      <c r="C20" s="19" t="s">
        <v>85</v>
      </c>
      <c r="D20" s="19" t="s">
        <v>86</v>
      </c>
      <c r="E20" s="19" t="s">
        <v>87</v>
      </c>
      <c r="F20" s="19" t="s">
        <v>89</v>
      </c>
    </row>
    <row r="21" spans="1:7" x14ac:dyDescent="0.2">
      <c r="B21" s="20" t="s">
        <v>94</v>
      </c>
      <c r="C21" s="20" t="s">
        <v>95</v>
      </c>
      <c r="D21" s="22">
        <v>1</v>
      </c>
      <c r="E21" s="22">
        <v>0</v>
      </c>
      <c r="F21" s="20" t="s">
        <v>96</v>
      </c>
    </row>
    <row r="22" spans="1:7" x14ac:dyDescent="0.2">
      <c r="B22" s="20" t="s">
        <v>97</v>
      </c>
      <c r="C22" s="20" t="s">
        <v>98</v>
      </c>
      <c r="D22" s="22">
        <v>1</v>
      </c>
      <c r="E22" s="22">
        <v>0</v>
      </c>
      <c r="F22" s="20" t="s">
        <v>96</v>
      </c>
    </row>
    <row r="23" spans="1:7" ht="16" thickBot="1" x14ac:dyDescent="0.25">
      <c r="B23" s="18" t="s">
        <v>99</v>
      </c>
      <c r="C23" s="18" t="s">
        <v>100</v>
      </c>
      <c r="D23" s="21">
        <v>1</v>
      </c>
      <c r="E23" s="21">
        <v>0.6143330346713598</v>
      </c>
      <c r="F23" s="18" t="s">
        <v>96</v>
      </c>
    </row>
    <row r="26" spans="1:7" ht="16" thickBot="1" x14ac:dyDescent="0.25">
      <c r="A26" t="s">
        <v>90</v>
      </c>
    </row>
    <row r="27" spans="1:7" ht="16" thickBot="1" x14ac:dyDescent="0.25">
      <c r="B27" s="23" t="s">
        <v>91</v>
      </c>
      <c r="C27" s="23"/>
      <c r="D27" s="23"/>
      <c r="E27" s="23"/>
      <c r="F27" s="23"/>
      <c r="G2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4447-6CCA-3346-83C3-297177F2715D}">
  <dimension ref="A1:E14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7.33203125" bestFit="1" customWidth="1"/>
    <col min="3" max="3" width="12.5" bestFit="1" customWidth="1"/>
    <col min="4" max="4" width="13.5" bestFit="1" customWidth="1"/>
    <col min="5" max="5" width="12.1640625" bestFit="1" customWidth="1"/>
  </cols>
  <sheetData>
    <row r="1" spans="1:5" x14ac:dyDescent="0.2">
      <c r="A1" s="17" t="s">
        <v>101</v>
      </c>
    </row>
    <row r="2" spans="1:5" x14ac:dyDescent="0.2">
      <c r="A2" s="17" t="s">
        <v>72</v>
      </c>
    </row>
    <row r="3" spans="1:5" x14ac:dyDescent="0.2">
      <c r="A3" s="17" t="s">
        <v>73</v>
      </c>
    </row>
    <row r="6" spans="1:5" ht="16" thickBot="1" x14ac:dyDescent="0.25">
      <c r="A6" t="s">
        <v>88</v>
      </c>
    </row>
    <row r="7" spans="1:5" x14ac:dyDescent="0.2">
      <c r="B7" s="24"/>
      <c r="C7" s="24"/>
      <c r="D7" s="24" t="s">
        <v>102</v>
      </c>
      <c r="E7" s="24" t="s">
        <v>104</v>
      </c>
    </row>
    <row r="8" spans="1:5" ht="16" thickBot="1" x14ac:dyDescent="0.25">
      <c r="B8" s="25" t="s">
        <v>84</v>
      </c>
      <c r="C8" s="25" t="s">
        <v>85</v>
      </c>
      <c r="D8" s="25" t="s">
        <v>103</v>
      </c>
      <c r="E8" s="25" t="s">
        <v>105</v>
      </c>
    </row>
    <row r="9" spans="1:5" x14ac:dyDescent="0.2">
      <c r="B9" s="20" t="s">
        <v>94</v>
      </c>
      <c r="C9" s="20" t="s">
        <v>95</v>
      </c>
      <c r="D9" s="20">
        <v>0</v>
      </c>
      <c r="E9" s="20">
        <v>0.84323546903137547</v>
      </c>
    </row>
    <row r="10" spans="1:5" x14ac:dyDescent="0.2">
      <c r="B10" s="20" t="s">
        <v>97</v>
      </c>
      <c r="C10" s="20" t="s">
        <v>98</v>
      </c>
      <c r="D10" s="20">
        <v>0</v>
      </c>
      <c r="E10" s="20">
        <v>0.83930402410355698</v>
      </c>
    </row>
    <row r="11" spans="1:5" ht="16" thickBot="1" x14ac:dyDescent="0.25">
      <c r="B11" s="18" t="s">
        <v>99</v>
      </c>
      <c r="C11" s="18" t="s">
        <v>100</v>
      </c>
      <c r="D11" s="18">
        <v>0.6143330346713598</v>
      </c>
      <c r="E11" s="18">
        <v>0</v>
      </c>
    </row>
    <row r="13" spans="1:5" x14ac:dyDescent="0.2">
      <c r="A13" t="s">
        <v>90</v>
      </c>
    </row>
    <row r="14" spans="1:5" x14ac:dyDescent="0.2">
      <c r="B14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5B4D-4824-4E60-84F7-9578225CDEF5}">
  <dimension ref="A1:BP83"/>
  <sheetViews>
    <sheetView tabSelected="1" topLeftCell="F4" zoomScale="40" zoomScaleNormal="86" workbookViewId="0">
      <selection activeCell="AO82" sqref="AO82"/>
    </sheetView>
  </sheetViews>
  <sheetFormatPr baseColWidth="10" defaultColWidth="8.83203125" defaultRowHeight="15" x14ac:dyDescent="0.2"/>
  <cols>
    <col min="14" max="16" width="9" bestFit="1" customWidth="1"/>
    <col min="19" max="22" width="9" bestFit="1" customWidth="1"/>
    <col min="23" max="23" width="11.83203125" bestFit="1" customWidth="1"/>
    <col min="24" max="25" width="9" bestFit="1" customWidth="1"/>
    <col min="29" max="36" width="9.1640625" bestFit="1" customWidth="1"/>
    <col min="37" max="37" width="9" bestFit="1" customWidth="1"/>
    <col min="42" max="42" width="9" bestFit="1" customWidth="1"/>
    <col min="43" max="45" width="9.1640625" bestFit="1" customWidth="1"/>
    <col min="46" max="46" width="11" bestFit="1" customWidth="1"/>
    <col min="48" max="50" width="9" bestFit="1" customWidth="1"/>
    <col min="51" max="51" width="12" bestFit="1" customWidth="1"/>
    <col min="52" max="52" width="9" bestFit="1" customWidth="1"/>
    <col min="53" max="53" width="11.83203125" bestFit="1" customWidth="1"/>
    <col min="55" max="55" width="9" bestFit="1" customWidth="1"/>
    <col min="58" max="58" width="9" bestFit="1" customWidth="1"/>
  </cols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50</v>
      </c>
      <c r="F1" t="s">
        <v>51</v>
      </c>
      <c r="G1" t="s">
        <v>52</v>
      </c>
      <c r="H1" t="s">
        <v>51</v>
      </c>
      <c r="I1" t="s">
        <v>53</v>
      </c>
      <c r="J1" t="s">
        <v>51</v>
      </c>
      <c r="K1" t="s">
        <v>56</v>
      </c>
      <c r="L1" t="s">
        <v>57</v>
      </c>
      <c r="M1" t="s">
        <v>58</v>
      </c>
      <c r="N1" s="33" t="s">
        <v>111</v>
      </c>
      <c r="O1" s="14" t="s">
        <v>112</v>
      </c>
      <c r="P1" s="14" t="s">
        <v>113</v>
      </c>
      <c r="R1" s="6" t="s">
        <v>28</v>
      </c>
      <c r="V1" s="11"/>
      <c r="W1" s="11" t="s">
        <v>111</v>
      </c>
      <c r="X1" s="11" t="s">
        <v>112</v>
      </c>
      <c r="Y1" s="11" t="s">
        <v>113</v>
      </c>
      <c r="AC1" s="6" t="s">
        <v>31</v>
      </c>
      <c r="AM1" s="6" t="s">
        <v>55</v>
      </c>
    </row>
    <row r="2" spans="1:60" ht="17" thickBot="1" x14ac:dyDescent="0.25">
      <c r="A2">
        <v>48</v>
      </c>
      <c r="B2">
        <v>50</v>
      </c>
      <c r="C2">
        <v>51</v>
      </c>
      <c r="D2">
        <v>2.2999999999999998</v>
      </c>
      <c r="E2">
        <f>158.5-1.14*B2-0.44*C2-13.5*D2</f>
        <v>48.010000000000005</v>
      </c>
      <c r="F2">
        <f>(E2-A2)^2</f>
        <v>1.0000000000010231E-4</v>
      </c>
      <c r="G2">
        <f>120-1.52*B2</f>
        <v>44</v>
      </c>
      <c r="H2">
        <f>(A2-G2)^2</f>
        <v>16</v>
      </c>
      <c r="I2">
        <f>156.7-1.27*B2-0.92*C2</f>
        <v>46.279999999999987</v>
      </c>
      <c r="J2">
        <f>(A2-I2)^2</f>
        <v>2.958400000000045</v>
      </c>
      <c r="K2">
        <f>(B2-mean1)/_std1</f>
        <v>1.3160855777167557</v>
      </c>
      <c r="L2">
        <f>(C2-mean2)/_std2</f>
        <v>0.13248074416696928</v>
      </c>
      <c r="M2">
        <f>(D2-mean3)/_std3</f>
        <v>4.4055760930515664E-2</v>
      </c>
      <c r="N2" s="33">
        <f>SUMPRODUCT(_AT1,K2:M2)</f>
        <v>1.0258305240224241</v>
      </c>
      <c r="O2" s="14">
        <f>SUMPRODUCT(_AT2,K2:M2)</f>
        <v>8.1057388298802324E-2</v>
      </c>
      <c r="P2" s="14">
        <f>SUMPRODUCT(_AT3,K2:M2)</f>
        <v>-0.84257781657146713</v>
      </c>
      <c r="V2" s="9" t="s">
        <v>111</v>
      </c>
      <c r="W2" s="31">
        <f>VARP(Лист2!$N$2:$N$1048576)</f>
        <v>0.46376133807182757</v>
      </c>
      <c r="X2" s="31"/>
      <c r="Y2" s="31"/>
      <c r="AC2" s="4" t="s">
        <v>36</v>
      </c>
    </row>
    <row r="3" spans="1:60" x14ac:dyDescent="0.2">
      <c r="A3">
        <v>57</v>
      </c>
      <c r="B3">
        <v>36</v>
      </c>
      <c r="C3">
        <v>46</v>
      </c>
      <c r="D3">
        <v>2.2999999999999998</v>
      </c>
      <c r="E3">
        <f t="shared" ref="E3:E47" si="0">158.5-1.14*B3-0.44*C3-13.5*D3</f>
        <v>66.170000000000016</v>
      </c>
      <c r="F3">
        <f t="shared" ref="F3:F47" si="1">(E3-A3)^2</f>
        <v>84.088900000000294</v>
      </c>
      <c r="G3">
        <f t="shared" ref="G3:G47" si="2">120-1.52*B3</f>
        <v>65.28</v>
      </c>
      <c r="H3">
        <f t="shared" ref="H3:H47" si="3">(A3-G3)^2</f>
        <v>68.55840000000002</v>
      </c>
      <c r="I3">
        <f t="shared" ref="I3:I47" si="4">156.7-1.27*B3-0.92*C3</f>
        <v>68.66</v>
      </c>
      <c r="J3">
        <f t="shared" ref="J3:J47" si="5">(A3-I3)^2</f>
        <v>135.95559999999992</v>
      </c>
      <c r="K3">
        <f>(B3-mean1)/_std1</f>
        <v>-0.27110377069071734</v>
      </c>
      <c r="L3">
        <f>(C3-mean2)/_std2</f>
        <v>-1.0394643003869828</v>
      </c>
      <c r="M3">
        <f>(D3-mean3)/_std3</f>
        <v>4.4055760930515664E-2</v>
      </c>
      <c r="N3" s="33">
        <f>SUMPRODUCT(_AT1,K3:M3)</f>
        <v>0.16211125736403997</v>
      </c>
      <c r="O3" s="14">
        <f>SUMPRODUCT(_AT2,K3:M3)</f>
        <v>-0.76338766863717944</v>
      </c>
      <c r="P3" s="14">
        <f>SUMPRODUCT(_AT3,K3:M3)</f>
        <v>0.72649966505056895</v>
      </c>
      <c r="R3" t="s">
        <v>4</v>
      </c>
      <c r="V3" s="9" t="s">
        <v>112</v>
      </c>
      <c r="W3" s="31">
        <v>8.5407348563684374E-3</v>
      </c>
      <c r="X3" s="31">
        <f>VARP(Лист2!$O$2:$O$1048576)</f>
        <v>0.32959647067365189</v>
      </c>
      <c r="Y3" s="31"/>
      <c r="AM3" s="11"/>
      <c r="AN3" s="11" t="s">
        <v>1</v>
      </c>
      <c r="AO3" s="11" t="s">
        <v>2</v>
      </c>
      <c r="AP3" s="11" t="s">
        <v>3</v>
      </c>
      <c r="AR3" s="11"/>
      <c r="AS3" s="11" t="s">
        <v>1</v>
      </c>
      <c r="AT3" s="11" t="s">
        <v>2</v>
      </c>
      <c r="AU3" s="11" t="s">
        <v>3</v>
      </c>
      <c r="AW3" s="26"/>
      <c r="AX3" s="26"/>
      <c r="AY3" s="26"/>
    </row>
    <row r="4" spans="1:60" ht="65" thickBot="1" x14ac:dyDescent="0.25">
      <c r="A4">
        <v>66</v>
      </c>
      <c r="B4">
        <v>40</v>
      </c>
      <c r="C4">
        <v>48</v>
      </c>
      <c r="D4">
        <v>2.2000000000000002</v>
      </c>
      <c r="E4">
        <f t="shared" si="0"/>
        <v>62.08</v>
      </c>
      <c r="F4">
        <f t="shared" si="1"/>
        <v>15.366400000000013</v>
      </c>
      <c r="G4">
        <f t="shared" si="2"/>
        <v>59.2</v>
      </c>
      <c r="H4">
        <f t="shared" si="3"/>
        <v>46.239999999999959</v>
      </c>
      <c r="I4">
        <f t="shared" si="4"/>
        <v>61.739999999999988</v>
      </c>
      <c r="J4">
        <f t="shared" si="5"/>
        <v>18.147600000000104</v>
      </c>
      <c r="K4">
        <f>(B4-mean1)/_std1</f>
        <v>0.1823789002828464</v>
      </c>
      <c r="L4">
        <f>(C4-mean2)/_std2</f>
        <v>-0.57068628256540199</v>
      </c>
      <c r="M4">
        <f>(D4-mean3)/_std3</f>
        <v>-0.29370507287009945</v>
      </c>
      <c r="N4" s="33">
        <f>SUMPRODUCT(_AT1,K4:M4)</f>
        <v>0.49013929688893554</v>
      </c>
      <c r="O4" s="14">
        <f>SUMPRODUCT(_AT2,K4:M4)</f>
        <v>-0.18716587453593117</v>
      </c>
      <c r="P4" s="14">
        <f>SUMPRODUCT(_AT3,K4:M4)</f>
        <v>0.40079370117305402</v>
      </c>
      <c r="V4" s="10" t="s">
        <v>113</v>
      </c>
      <c r="W4" s="32">
        <v>-3.6396197751268023E-3</v>
      </c>
      <c r="X4" s="32">
        <v>3.5354963588300455E-3</v>
      </c>
      <c r="Y4" s="32">
        <f>VARP(Лист2!$P$2:$P$1048576)</f>
        <v>2.2061642495087672</v>
      </c>
      <c r="AC4" t="s">
        <v>37</v>
      </c>
      <c r="AM4" s="9" t="s">
        <v>1</v>
      </c>
      <c r="AN4" s="9">
        <v>1</v>
      </c>
      <c r="AO4" s="9"/>
      <c r="AP4" s="9"/>
      <c r="AQ4" s="15"/>
      <c r="AR4" s="9" t="s">
        <v>1</v>
      </c>
      <c r="AS4" s="9">
        <f>VARP(Лист2!$B$2:$B$47)</f>
        <v>77.803402646502832</v>
      </c>
      <c r="AT4" s="9"/>
      <c r="AU4" s="9"/>
      <c r="AW4" s="28" t="s">
        <v>107</v>
      </c>
      <c r="AX4" s="26"/>
      <c r="AY4" s="26"/>
    </row>
    <row r="5" spans="1:60" x14ac:dyDescent="0.2">
      <c r="A5">
        <v>70</v>
      </c>
      <c r="B5">
        <v>41</v>
      </c>
      <c r="C5">
        <v>44</v>
      </c>
      <c r="D5">
        <v>1.8</v>
      </c>
      <c r="E5">
        <f t="shared" si="0"/>
        <v>68.100000000000009</v>
      </c>
      <c r="F5">
        <f t="shared" si="1"/>
        <v>3.6099999999999675</v>
      </c>
      <c r="G5">
        <f t="shared" si="2"/>
        <v>57.68</v>
      </c>
      <c r="H5">
        <f t="shared" si="3"/>
        <v>151.7824</v>
      </c>
      <c r="I5">
        <f t="shared" si="4"/>
        <v>64.149999999999991</v>
      </c>
      <c r="J5">
        <f t="shared" si="5"/>
        <v>34.222500000000103</v>
      </c>
      <c r="K5">
        <f>(B5-mean1)/_std1</f>
        <v>0.29574956802623731</v>
      </c>
      <c r="L5">
        <f>(C5-mean2)/_std2</f>
        <v>-1.5082423182085636</v>
      </c>
      <c r="M5">
        <f>(D5-mean3)/_std3</f>
        <v>-1.6447484080725652</v>
      </c>
      <c r="N5" s="33">
        <f>SUMPRODUCT(_AT1,K5:M5)</f>
        <v>1.483561641114987</v>
      </c>
      <c r="O5" s="14">
        <f>SUMPRODUCT(_AT2,K5:M5)</f>
        <v>0.12269244866310869</v>
      </c>
      <c r="P5" s="14">
        <f>SUMPRODUCT(_AT3,K5:M5)</f>
        <v>1.6780747284265967</v>
      </c>
      <c r="R5" s="3" t="s">
        <v>5</v>
      </c>
      <c r="S5" s="3"/>
      <c r="V5" s="14"/>
      <c r="W5" s="14"/>
      <c r="X5" s="14"/>
      <c r="Y5" s="14"/>
      <c r="AM5" s="9" t="s">
        <v>2</v>
      </c>
      <c r="AN5" s="9">
        <v>0.56795046872726473</v>
      </c>
      <c r="AO5" s="9">
        <v>1</v>
      </c>
      <c r="AP5" s="9"/>
      <c r="AQ5" s="14"/>
      <c r="AR5" s="9" t="s">
        <v>2</v>
      </c>
      <c r="AS5" s="9">
        <v>21.373345935727791</v>
      </c>
      <c r="AT5" s="9">
        <f>VARP(Лист2!$C$2:$C$47)</f>
        <v>18.202268431001887</v>
      </c>
      <c r="AU5" s="9"/>
      <c r="AW5" s="26"/>
      <c r="AX5" s="26"/>
      <c r="AY5" s="26"/>
    </row>
    <row r="6" spans="1:60" ht="33" thickBot="1" x14ac:dyDescent="0.25">
      <c r="A6">
        <v>89</v>
      </c>
      <c r="B6">
        <v>28</v>
      </c>
      <c r="C6">
        <v>43</v>
      </c>
      <c r="D6">
        <v>1.8</v>
      </c>
      <c r="E6">
        <f t="shared" si="0"/>
        <v>83.36</v>
      </c>
      <c r="F6">
        <f t="shared" si="1"/>
        <v>31.809600000000007</v>
      </c>
      <c r="G6">
        <f t="shared" si="2"/>
        <v>77.44</v>
      </c>
      <c r="H6">
        <f t="shared" si="3"/>
        <v>133.63360000000006</v>
      </c>
      <c r="I6">
        <f t="shared" si="4"/>
        <v>81.579999999999984</v>
      </c>
      <c r="J6">
        <f t="shared" si="5"/>
        <v>55.056400000000238</v>
      </c>
      <c r="K6">
        <f>(B6-mean1)/_std1</f>
        <v>-1.1780691126378449</v>
      </c>
      <c r="L6">
        <f>(C6-mean2)/_std2</f>
        <v>-1.7426313271193541</v>
      </c>
      <c r="M6">
        <f>(D6-mean3)/_std3</f>
        <v>-1.6447484080725652</v>
      </c>
      <c r="N6" s="33">
        <f>SUMPRODUCT(_AT1,K6:M6)</f>
        <v>0.34881716701518051</v>
      </c>
      <c r="O6" s="14">
        <f>SUMPRODUCT(_AT2,K6:M6)</f>
        <v>-6.3547137513983998E-2</v>
      </c>
      <c r="P6" s="14">
        <f>SUMPRODUCT(_AT3,K6:M6)</f>
        <v>2.6421024261444845</v>
      </c>
      <c r="R6" t="s">
        <v>6</v>
      </c>
      <c r="S6">
        <v>0.82595056346051354</v>
      </c>
      <c r="V6" s="14"/>
      <c r="W6" s="14"/>
      <c r="X6" s="14"/>
      <c r="Y6" s="14"/>
      <c r="AC6" t="s">
        <v>4</v>
      </c>
      <c r="AM6" s="10" t="s">
        <v>3</v>
      </c>
      <c r="AN6" s="10">
        <v>0.56967748177656385</v>
      </c>
      <c r="AO6" s="10">
        <v>0.67052865226316083</v>
      </c>
      <c r="AP6" s="10">
        <v>1</v>
      </c>
      <c r="AQ6" s="14"/>
      <c r="AR6" s="10" t="s">
        <v>3</v>
      </c>
      <c r="AS6" s="10">
        <v>1.487712665406427</v>
      </c>
      <c r="AT6" s="10">
        <v>0.8469754253308126</v>
      </c>
      <c r="AU6" s="10">
        <f>VARP(Лист2!$D$2:$D$47)</f>
        <v>8.7655954631379762E-2</v>
      </c>
      <c r="AW6" s="26"/>
      <c r="AX6" s="26"/>
      <c r="AY6" s="27" t="s">
        <v>108</v>
      </c>
    </row>
    <row r="7" spans="1:60" ht="16" thickBot="1" x14ac:dyDescent="0.25">
      <c r="A7">
        <v>36</v>
      </c>
      <c r="B7">
        <v>49</v>
      </c>
      <c r="C7">
        <v>54</v>
      </c>
      <c r="D7">
        <v>2.9</v>
      </c>
      <c r="E7">
        <f t="shared" si="0"/>
        <v>39.730000000000011</v>
      </c>
      <c r="F7">
        <f t="shared" si="1"/>
        <v>13.912900000000082</v>
      </c>
      <c r="G7">
        <f t="shared" si="2"/>
        <v>45.519999999999996</v>
      </c>
      <c r="H7">
        <f t="shared" si="3"/>
        <v>90.630399999999923</v>
      </c>
      <c r="I7">
        <f t="shared" si="4"/>
        <v>44.789999999999985</v>
      </c>
      <c r="J7">
        <f t="shared" si="5"/>
        <v>77.264099999999729</v>
      </c>
      <c r="K7">
        <f>(B7-mean1)/_std1</f>
        <v>1.2027149099733647</v>
      </c>
      <c r="L7">
        <f>(C7-mean2)/_std2</f>
        <v>0.83564777089934061</v>
      </c>
      <c r="M7">
        <f>(D7-mean3)/_std3</f>
        <v>2.070620763734214</v>
      </c>
      <c r="N7" s="33">
        <f>SUMPRODUCT(_AT1,K7:M7)</f>
        <v>-0.14314185379831545</v>
      </c>
      <c r="O7" s="14">
        <f>SUMPRODUCT(_AT2,K7:M7)</f>
        <v>-0.87525790363878919</v>
      </c>
      <c r="P7" s="14">
        <f>SUMPRODUCT(_AT3,K7:M7)</f>
        <v>-2.3843948873414975</v>
      </c>
      <c r="R7" t="s">
        <v>7</v>
      </c>
      <c r="S7">
        <v>0.68219433328073975</v>
      </c>
      <c r="AM7" s="14"/>
      <c r="AN7" s="14"/>
      <c r="AO7" s="14"/>
      <c r="AP7" s="14"/>
      <c r="AQ7" s="14"/>
    </row>
    <row r="8" spans="1:60" ht="16" thickBot="1" x14ac:dyDescent="0.25">
      <c r="A8">
        <v>46</v>
      </c>
      <c r="B8">
        <v>42</v>
      </c>
      <c r="C8">
        <v>50</v>
      </c>
      <c r="D8">
        <v>2.2000000000000002</v>
      </c>
      <c r="E8">
        <f t="shared" si="0"/>
        <v>58.92</v>
      </c>
      <c r="F8">
        <f t="shared" si="1"/>
        <v>166.92640000000006</v>
      </c>
      <c r="G8">
        <f t="shared" si="2"/>
        <v>56.16</v>
      </c>
      <c r="H8">
        <f t="shared" si="3"/>
        <v>103.22559999999993</v>
      </c>
      <c r="I8">
        <f t="shared" si="4"/>
        <v>57.359999999999985</v>
      </c>
      <c r="J8">
        <f t="shared" si="5"/>
        <v>129.04959999999966</v>
      </c>
      <c r="K8">
        <f>(B8-mean1)/_std1</f>
        <v>0.40912023576962825</v>
      </c>
      <c r="L8">
        <f>(C8-mean2)/_std2</f>
        <v>-0.10190826474382113</v>
      </c>
      <c r="M8">
        <f>(D8-mean3)/_std3</f>
        <v>-0.29370507287009945</v>
      </c>
      <c r="N8" s="33">
        <f>SUMPRODUCT(_AT1,K8:M8)</f>
        <v>0.49609737269294929</v>
      </c>
      <c r="O8" s="14">
        <f>SUMPRODUCT(_AT2,K8:M8)</f>
        <v>0.14448841595967468</v>
      </c>
      <c r="P8" s="14">
        <f>SUMPRODUCT(_AT3,K8:M8)</f>
        <v>2.6493678395855258E-3</v>
      </c>
      <c r="R8" t="s">
        <v>8</v>
      </c>
      <c r="S8">
        <v>0.65949392851507826</v>
      </c>
      <c r="AC8" s="3" t="s">
        <v>5</v>
      </c>
      <c r="AD8" s="3"/>
      <c r="AM8" s="16" t="s">
        <v>62</v>
      </c>
      <c r="AN8" s="14"/>
      <c r="AO8" s="14"/>
      <c r="AP8" s="14"/>
      <c r="AQ8" s="14"/>
      <c r="AR8" t="s">
        <v>61</v>
      </c>
    </row>
    <row r="9" spans="1:60" x14ac:dyDescent="0.2">
      <c r="A9">
        <v>54</v>
      </c>
      <c r="B9">
        <v>45</v>
      </c>
      <c r="C9">
        <v>48</v>
      </c>
      <c r="D9">
        <v>2.4</v>
      </c>
      <c r="E9">
        <f t="shared" si="0"/>
        <v>53.68</v>
      </c>
      <c r="F9">
        <f t="shared" si="1"/>
        <v>0.10240000000000019</v>
      </c>
      <c r="G9">
        <f t="shared" si="2"/>
        <v>51.599999999999994</v>
      </c>
      <c r="H9">
        <f t="shared" si="3"/>
        <v>5.7600000000000273</v>
      </c>
      <c r="I9">
        <f t="shared" si="4"/>
        <v>55.389999999999979</v>
      </c>
      <c r="J9">
        <f t="shared" si="5"/>
        <v>1.9320999999999424</v>
      </c>
      <c r="K9">
        <f>(B9-mean1)/_std1</f>
        <v>0.74923223899980107</v>
      </c>
      <c r="L9">
        <f>(C9-mean2)/_std2</f>
        <v>-0.57068628256540199</v>
      </c>
      <c r="M9">
        <f>(D9-mean3)/_std3</f>
        <v>0.38181659473113227</v>
      </c>
      <c r="N9" s="33">
        <f>SUMPRODUCT(_AT1,K9:M9)</f>
        <v>0.6948234465955212</v>
      </c>
      <c r="O9" s="14">
        <f>SUMPRODUCT(_AT2,K9:M9)</f>
        <v>-0.66099155105024998</v>
      </c>
      <c r="P9" s="14">
        <f>SUMPRODUCT(_AT3,K9:M9)</f>
        <v>-0.31779968602721881</v>
      </c>
      <c r="R9" t="s">
        <v>9</v>
      </c>
      <c r="S9">
        <v>10.057975610280128</v>
      </c>
      <c r="AC9" t="s">
        <v>6</v>
      </c>
      <c r="AD9">
        <v>0.78675552238037783</v>
      </c>
      <c r="AF9" t="s">
        <v>41</v>
      </c>
      <c r="AM9" s="11"/>
      <c r="AN9" s="11" t="s">
        <v>56</v>
      </c>
      <c r="AO9" s="11" t="s">
        <v>57</v>
      </c>
      <c r="AP9" s="11" t="s">
        <v>58</v>
      </c>
      <c r="AR9" s="11"/>
      <c r="AS9" s="11" t="s">
        <v>56</v>
      </c>
      <c r="AT9" s="11" t="s">
        <v>57</v>
      </c>
      <c r="AU9" s="11" t="s">
        <v>58</v>
      </c>
    </row>
    <row r="10" spans="1:60" ht="16" thickBot="1" x14ac:dyDescent="0.25">
      <c r="A10">
        <v>26</v>
      </c>
      <c r="B10">
        <v>52</v>
      </c>
      <c r="C10">
        <v>62</v>
      </c>
      <c r="D10">
        <v>2.9</v>
      </c>
      <c r="E10">
        <f t="shared" si="0"/>
        <v>32.79</v>
      </c>
      <c r="F10">
        <f t="shared" si="1"/>
        <v>46.104099999999988</v>
      </c>
      <c r="G10">
        <f t="shared" si="2"/>
        <v>40.959999999999994</v>
      </c>
      <c r="H10">
        <f t="shared" si="3"/>
        <v>223.80159999999981</v>
      </c>
      <c r="I10">
        <f t="shared" si="4"/>
        <v>33.619999999999983</v>
      </c>
      <c r="J10">
        <f t="shared" si="5"/>
        <v>58.064399999999743</v>
      </c>
      <c r="K10">
        <f>(B10-mean1)/_std1</f>
        <v>1.5428269132035375</v>
      </c>
      <c r="L10">
        <f>(C10-mean2)/_std2</f>
        <v>2.7107598421856638</v>
      </c>
      <c r="M10">
        <f>(D10-mean3)/_std3</f>
        <v>2.070620763734214</v>
      </c>
      <c r="N10" s="33">
        <f>SUMPRODUCT(_AT1,K10:M10)</f>
        <v>-0.59087848233134321</v>
      </c>
      <c r="O10" s="14">
        <f>SUMPRODUCT(_AT2,K10:M10)</f>
        <v>0.44285407462309645</v>
      </c>
      <c r="P10" s="14">
        <f>SUMPRODUCT(_AT3,K10:M10)</f>
        <v>-3.6582407494040581</v>
      </c>
      <c r="R10" s="1" t="s">
        <v>10</v>
      </c>
      <c r="S10" s="1">
        <v>46</v>
      </c>
      <c r="AC10" t="s">
        <v>7</v>
      </c>
      <c r="AD10">
        <v>0.61898425199602125</v>
      </c>
      <c r="AF10" t="s">
        <v>43</v>
      </c>
      <c r="AM10" s="9" t="s">
        <v>56</v>
      </c>
      <c r="AN10" s="9">
        <v>1</v>
      </c>
      <c r="AO10" s="9"/>
      <c r="AP10" s="9"/>
      <c r="AR10" s="9" t="s">
        <v>56</v>
      </c>
      <c r="AS10" s="9">
        <f>VARP(Лист2!$K$2:$K$47)</f>
        <v>1.0000000000000002</v>
      </c>
      <c r="AT10" s="9">
        <f>AS11</f>
        <v>0.5679504687272644</v>
      </c>
      <c r="AU10" s="9">
        <f>AS12</f>
        <v>0.56967748177656452</v>
      </c>
    </row>
    <row r="11" spans="1:60" x14ac:dyDescent="0.2">
      <c r="A11">
        <v>77</v>
      </c>
      <c r="B11">
        <v>29</v>
      </c>
      <c r="C11">
        <v>50</v>
      </c>
      <c r="D11">
        <v>2.1</v>
      </c>
      <c r="E11">
        <f t="shared" si="0"/>
        <v>75.09</v>
      </c>
      <c r="F11">
        <f t="shared" si="1"/>
        <v>3.648099999999987</v>
      </c>
      <c r="G11">
        <f t="shared" si="2"/>
        <v>75.92</v>
      </c>
      <c r="H11">
        <f t="shared" si="3"/>
        <v>1.1663999999999963</v>
      </c>
      <c r="I11">
        <f t="shared" si="4"/>
        <v>73.86999999999999</v>
      </c>
      <c r="J11">
        <f t="shared" si="5"/>
        <v>9.7969000000000612</v>
      </c>
      <c r="K11">
        <f>(B11-mean1)/_std1</f>
        <v>-1.0646984448944539</v>
      </c>
      <c r="L11">
        <f>(C11-mean2)/_std2</f>
        <v>-0.10190826474382113</v>
      </c>
      <c r="M11">
        <f>(D11-mean3)/_std3</f>
        <v>-0.631465906670716</v>
      </c>
      <c r="N11" s="33">
        <f>SUMPRODUCT(_AT1,K11:M11)</f>
        <v>-0.59653945883341786</v>
      </c>
      <c r="O11" s="14">
        <f>SUMPRODUCT(_AT2,K11:M11)</f>
        <v>0.36354036840370618</v>
      </c>
      <c r="P11" s="14">
        <f>SUMPRODUCT(_AT3,K11:M11)</f>
        <v>1.0312821511094812</v>
      </c>
      <c r="AC11" t="s">
        <v>8</v>
      </c>
      <c r="AD11">
        <v>0.61032480317774906</v>
      </c>
      <c r="AF11" t="s">
        <v>44</v>
      </c>
      <c r="AM11" s="9" t="s">
        <v>57</v>
      </c>
      <c r="AN11" s="9">
        <v>0.56795046872726429</v>
      </c>
      <c r="AO11" s="9">
        <v>1</v>
      </c>
      <c r="AP11" s="9"/>
      <c r="AR11" s="9" t="s">
        <v>57</v>
      </c>
      <c r="AS11" s="9">
        <v>0.5679504687272644</v>
      </c>
      <c r="AT11" s="9">
        <f>VARP(Лист2!$L$2:$L$47)</f>
        <v>1.0000000000000002</v>
      </c>
      <c r="AU11" s="9">
        <f>AT12</f>
        <v>0.6705286522631615</v>
      </c>
    </row>
    <row r="12" spans="1:60" ht="16" thickBot="1" x14ac:dyDescent="0.25">
      <c r="A12">
        <v>89</v>
      </c>
      <c r="B12">
        <v>29</v>
      </c>
      <c r="C12">
        <v>48</v>
      </c>
      <c r="D12">
        <v>2.4</v>
      </c>
      <c r="E12">
        <f t="shared" si="0"/>
        <v>71.919999999999987</v>
      </c>
      <c r="F12">
        <f t="shared" si="1"/>
        <v>291.72640000000041</v>
      </c>
      <c r="G12">
        <f t="shared" si="2"/>
        <v>75.92</v>
      </c>
      <c r="H12">
        <f t="shared" si="3"/>
        <v>171.08639999999997</v>
      </c>
      <c r="I12">
        <f t="shared" si="4"/>
        <v>75.70999999999998</v>
      </c>
      <c r="J12">
        <f t="shared" si="5"/>
        <v>176.62410000000054</v>
      </c>
      <c r="K12">
        <f>(B12-mean1)/_std1</f>
        <v>-1.0646984448944539</v>
      </c>
      <c r="L12">
        <f>(C12-mean2)/_std2</f>
        <v>-0.57068628256540199</v>
      </c>
      <c r="M12">
        <f>(D12-mean3)/_std3</f>
        <v>0.38181659473113227</v>
      </c>
      <c r="N12" s="33">
        <f>SUMPRODUCT(_AT1,K12:M12)</f>
        <v>-0.81419713500154489</v>
      </c>
      <c r="O12" s="14">
        <f>SUMPRODUCT(_AT2,K12:M12)</f>
        <v>-0.68820813895596933</v>
      </c>
      <c r="P12" s="14">
        <f>SUMPRODUCT(_AT3,K12:M12)</f>
        <v>0.70214102204098539</v>
      </c>
      <c r="R12" t="s">
        <v>11</v>
      </c>
      <c r="AC12" t="s">
        <v>9</v>
      </c>
      <c r="AD12">
        <v>10.759684323245947</v>
      </c>
      <c r="AM12" s="10" t="s">
        <v>58</v>
      </c>
      <c r="AN12" s="10">
        <v>0.56967748177656385</v>
      </c>
      <c r="AO12" s="10">
        <v>0.67052865226316061</v>
      </c>
      <c r="AP12" s="10">
        <v>1</v>
      </c>
      <c r="AR12" s="10" t="s">
        <v>58</v>
      </c>
      <c r="AS12" s="10">
        <v>0.56967748177656452</v>
      </c>
      <c r="AT12" s="10">
        <v>0.6705286522631615</v>
      </c>
      <c r="AU12" s="10">
        <f>VARP(Лист2!$M$2:$M$47)</f>
        <v>1.000000000000002</v>
      </c>
    </row>
    <row r="13" spans="1:60" ht="16" thickBot="1" x14ac:dyDescent="0.25">
      <c r="A13">
        <v>67</v>
      </c>
      <c r="B13">
        <v>43</v>
      </c>
      <c r="C13">
        <v>53</v>
      </c>
      <c r="D13">
        <v>2.4</v>
      </c>
      <c r="E13">
        <f t="shared" si="0"/>
        <v>53.76</v>
      </c>
      <c r="F13">
        <f t="shared" si="1"/>
        <v>175.29760000000005</v>
      </c>
      <c r="G13">
        <f t="shared" si="2"/>
        <v>54.64</v>
      </c>
      <c r="H13">
        <f t="shared" si="3"/>
        <v>152.7696</v>
      </c>
      <c r="I13">
        <f t="shared" si="4"/>
        <v>53.329999999999984</v>
      </c>
      <c r="J13">
        <f t="shared" si="5"/>
        <v>186.86890000000042</v>
      </c>
      <c r="K13">
        <f>(B13-mean1)/_std1</f>
        <v>0.52249090351301919</v>
      </c>
      <c r="L13">
        <f>(C13-mean2)/_std2</f>
        <v>0.60125876198855011</v>
      </c>
      <c r="M13">
        <f>(D13-mean3)/_std3</f>
        <v>0.38181659473113227</v>
      </c>
      <c r="N13" s="33">
        <f>SUMPRODUCT(_AT1,K13:M13)</f>
        <v>4.952213165683933E-2</v>
      </c>
      <c r="O13" s="14">
        <f>SUMPRODUCT(_AT2,K13:M13)</f>
        <v>0.15623691798001232</v>
      </c>
      <c r="P13" s="14">
        <f>SUMPRODUCT(_AT3,K13:M13)</f>
        <v>-0.8669364595810507</v>
      </c>
      <c r="R13" s="2"/>
      <c r="S13" s="2" t="s">
        <v>16</v>
      </c>
      <c r="T13" s="2" t="s">
        <v>17</v>
      </c>
      <c r="U13" s="2" t="s">
        <v>18</v>
      </c>
      <c r="V13" s="2" t="s">
        <v>19</v>
      </c>
      <c r="W13" s="2" t="s">
        <v>20</v>
      </c>
      <c r="AC13" s="1" t="s">
        <v>10</v>
      </c>
      <c r="AD13" s="1">
        <v>46</v>
      </c>
    </row>
    <row r="14" spans="1:60" x14ac:dyDescent="0.2">
      <c r="A14">
        <v>47</v>
      </c>
      <c r="B14">
        <v>38</v>
      </c>
      <c r="C14">
        <v>55</v>
      </c>
      <c r="D14">
        <v>2.2000000000000002</v>
      </c>
      <c r="E14">
        <f t="shared" si="0"/>
        <v>61.28</v>
      </c>
      <c r="F14">
        <f t="shared" si="1"/>
        <v>203.91840000000002</v>
      </c>
      <c r="G14">
        <f t="shared" si="2"/>
        <v>62.24</v>
      </c>
      <c r="H14">
        <f t="shared" si="3"/>
        <v>232.25760000000005</v>
      </c>
      <c r="I14">
        <f t="shared" si="4"/>
        <v>57.839999999999996</v>
      </c>
      <c r="J14">
        <f t="shared" si="5"/>
        <v>117.50559999999992</v>
      </c>
      <c r="K14">
        <f>(B14-mean1)/_std1</f>
        <v>-4.4362435203935478E-2</v>
      </c>
      <c r="L14">
        <f>(C14-mean2)/_std2</f>
        <v>1.0700367798101309</v>
      </c>
      <c r="M14">
        <f>(D14-mean3)/_std3</f>
        <v>-0.29370507287009945</v>
      </c>
      <c r="N14" s="33">
        <f>SUMPRODUCT(_AT1,K14:M14)</f>
        <v>-0.33783151494536567</v>
      </c>
      <c r="O14" s="14">
        <f>SUMPRODUCT(_AT2,K14:M14)</f>
        <v>0.95831481150172204</v>
      </c>
      <c r="P14" s="14">
        <f>SUMPRODUCT(_AT3,K14:M14)</f>
        <v>-0.41899481720572079</v>
      </c>
      <c r="R14" t="s">
        <v>12</v>
      </c>
      <c r="S14">
        <v>3</v>
      </c>
      <c r="T14">
        <v>9120.4636659925145</v>
      </c>
      <c r="U14">
        <v>3040.1545553308383</v>
      </c>
      <c r="V14">
        <v>30.052077939715183</v>
      </c>
      <c r="W14">
        <v>1.5419725985736055E-10</v>
      </c>
    </row>
    <row r="15" spans="1:60" ht="33" thickBot="1" x14ac:dyDescent="0.25">
      <c r="A15">
        <v>51</v>
      </c>
      <c r="B15">
        <v>34</v>
      </c>
      <c r="C15">
        <v>51</v>
      </c>
      <c r="D15">
        <v>2.2999999999999998</v>
      </c>
      <c r="E15">
        <f t="shared" si="0"/>
        <v>66.250000000000014</v>
      </c>
      <c r="F15">
        <f t="shared" si="1"/>
        <v>232.56250000000043</v>
      </c>
      <c r="G15">
        <f t="shared" si="2"/>
        <v>68.319999999999993</v>
      </c>
      <c r="H15">
        <f t="shared" si="3"/>
        <v>299.98239999999976</v>
      </c>
      <c r="I15">
        <f t="shared" si="4"/>
        <v>66.59999999999998</v>
      </c>
      <c r="J15">
        <f t="shared" si="5"/>
        <v>243.35999999999939</v>
      </c>
      <c r="K15">
        <f>(B15-mean1)/_std1</f>
        <v>-0.49784510617749922</v>
      </c>
      <c r="L15">
        <f>(C15-mean2)/_std2</f>
        <v>0.13248074416696928</v>
      </c>
      <c r="M15">
        <f>(D15-mean3)/_std3</f>
        <v>4.4055760930515664E-2</v>
      </c>
      <c r="N15" s="33">
        <f>SUMPRODUCT(_AT1,K15:M15)</f>
        <v>-0.48319005757464184</v>
      </c>
      <c r="O15" s="14">
        <f>SUMPRODUCT(_AT2,K15:M15)</f>
        <v>5.3840800393082873E-2</v>
      </c>
      <c r="P15" s="14">
        <f>SUMPRODUCT(_AT3,K15:M15)</f>
        <v>0.17736289149673701</v>
      </c>
      <c r="R15" t="s">
        <v>13</v>
      </c>
      <c r="S15">
        <v>42</v>
      </c>
      <c r="T15">
        <v>4248.8406818335752</v>
      </c>
      <c r="U15">
        <v>101.16287337698989</v>
      </c>
      <c r="AC15" t="s">
        <v>11</v>
      </c>
      <c r="AM15" s="29" t="s">
        <v>108</v>
      </c>
      <c r="AQ15" t="s">
        <v>63</v>
      </c>
      <c r="AS15" t="s">
        <v>64</v>
      </c>
      <c r="AT15" s="6">
        <v>0.46377725452787888</v>
      </c>
      <c r="AX15" t="s">
        <v>63</v>
      </c>
      <c r="AZ15" t="s">
        <v>64</v>
      </c>
      <c r="BA15" s="6">
        <v>0.32946412455330587</v>
      </c>
      <c r="BE15" t="s">
        <v>63</v>
      </c>
      <c r="BG15" t="s">
        <v>64</v>
      </c>
      <c r="BH15" s="6">
        <v>2.2066115029713576</v>
      </c>
    </row>
    <row r="16" spans="1:60" ht="16" thickBot="1" x14ac:dyDescent="0.25">
      <c r="A16">
        <v>57</v>
      </c>
      <c r="B16">
        <v>53</v>
      </c>
      <c r="C16">
        <v>54</v>
      </c>
      <c r="D16">
        <v>2.2000000000000002</v>
      </c>
      <c r="E16">
        <f t="shared" si="0"/>
        <v>44.620000000000005</v>
      </c>
      <c r="F16">
        <f t="shared" si="1"/>
        <v>153.26439999999988</v>
      </c>
      <c r="G16">
        <f t="shared" si="2"/>
        <v>39.44</v>
      </c>
      <c r="H16">
        <f t="shared" si="3"/>
        <v>308.35360000000009</v>
      </c>
      <c r="I16">
        <f t="shared" si="4"/>
        <v>39.709999999999987</v>
      </c>
      <c r="J16">
        <f t="shared" si="5"/>
        <v>298.94410000000045</v>
      </c>
      <c r="K16">
        <f>(B16-mean1)/_std1</f>
        <v>1.6561975809469285</v>
      </c>
      <c r="L16">
        <f>(C16-mean2)/_std2</f>
        <v>0.83564777089934061</v>
      </c>
      <c r="M16">
        <f>(D16-mean3)/_std3</f>
        <v>-0.29370507287009945</v>
      </c>
      <c r="N16" s="33">
        <f>SUMPRODUCT(_AT1,K16:M16)</f>
        <v>1.1682100287496933</v>
      </c>
      <c r="O16" s="14">
        <f>SUMPRODUCT(_AT2,K16:M16)</f>
        <v>0.81970425415963866</v>
      </c>
      <c r="P16" s="14">
        <f>SUMPRODUCT(_AT3,K16:M16)</f>
        <v>-1.2398633586071908</v>
      </c>
      <c r="R16" s="1" t="s">
        <v>14</v>
      </c>
      <c r="S16" s="1">
        <v>45</v>
      </c>
      <c r="T16" s="1">
        <v>13369.30434782609</v>
      </c>
      <c r="U16" s="1"/>
      <c r="V16" s="1"/>
      <c r="W16" s="1"/>
      <c r="AC16" s="2"/>
      <c r="AD16" s="2" t="s">
        <v>16</v>
      </c>
      <c r="AE16" s="2" t="s">
        <v>17</v>
      </c>
      <c r="AF16" s="2" t="s">
        <v>18</v>
      </c>
      <c r="AG16" s="2" t="s">
        <v>19</v>
      </c>
      <c r="AH16" s="2" t="s">
        <v>20</v>
      </c>
      <c r="AS16" t="s">
        <v>65</v>
      </c>
      <c r="AT16">
        <f>MDETERM(AR19:AT21)</f>
        <v>-3.0488362045420396E-7</v>
      </c>
      <c r="AZ16" t="s">
        <v>65</v>
      </c>
      <c r="BA16">
        <f>MDETERM(AY19:BA21)</f>
        <v>-1.787077646625261E-7</v>
      </c>
      <c r="BG16" t="s">
        <v>65</v>
      </c>
      <c r="BH16">
        <f>MDETERM(BF19:BH21)</f>
        <v>4.7936258327704986E-4</v>
      </c>
    </row>
    <row r="17" spans="1:62" ht="16" thickBot="1" x14ac:dyDescent="0.25">
      <c r="A17">
        <v>66</v>
      </c>
      <c r="B17">
        <v>36</v>
      </c>
      <c r="C17">
        <v>49</v>
      </c>
      <c r="D17">
        <v>2</v>
      </c>
      <c r="E17">
        <f t="shared" si="0"/>
        <v>68.900000000000006</v>
      </c>
      <c r="F17">
        <f t="shared" si="1"/>
        <v>8.4100000000000321</v>
      </c>
      <c r="G17">
        <f t="shared" si="2"/>
        <v>65.28</v>
      </c>
      <c r="H17">
        <f t="shared" si="3"/>
        <v>0.51839999999999842</v>
      </c>
      <c r="I17">
        <f t="shared" si="4"/>
        <v>65.899999999999977</v>
      </c>
      <c r="J17">
        <f t="shared" si="5"/>
        <v>1.0000000000004547E-2</v>
      </c>
      <c r="K17">
        <f>(B17-mean1)/_std1</f>
        <v>-0.27110377069071734</v>
      </c>
      <c r="L17">
        <f>(C17-mean2)/_std2</f>
        <v>-0.33629727365461154</v>
      </c>
      <c r="M17">
        <f>(D17-mean3)/_std3</f>
        <v>-0.96922674047133262</v>
      </c>
      <c r="N17" s="33">
        <f>SUMPRODUCT(_AT1,K17:M17)</f>
        <v>0.28843418508435736</v>
      </c>
      <c r="O17" s="14">
        <f>SUMPRODUCT(_AT2,K17:M17)</f>
        <v>0.45248694722619165</v>
      </c>
      <c r="P17" s="14">
        <f>SUMPRODUCT(_AT3,K17:M17)</f>
        <v>0.92031492170659335</v>
      </c>
      <c r="AC17" t="s">
        <v>12</v>
      </c>
      <c r="AD17">
        <v>1</v>
      </c>
      <c r="AE17">
        <v>8275.3888514462869</v>
      </c>
      <c r="AF17">
        <v>8275.3888514462869</v>
      </c>
      <c r="AG17">
        <v>71.480791097223971</v>
      </c>
      <c r="AH17">
        <v>9.0576145340867201E-11</v>
      </c>
      <c r="AQ17" t="s">
        <v>61</v>
      </c>
      <c r="AX17" t="s">
        <v>61</v>
      </c>
      <c r="BE17" t="s">
        <v>61</v>
      </c>
    </row>
    <row r="18" spans="1:62" x14ac:dyDescent="0.2">
      <c r="A18">
        <v>79</v>
      </c>
      <c r="B18">
        <v>33</v>
      </c>
      <c r="C18">
        <v>56</v>
      </c>
      <c r="D18">
        <v>2.5</v>
      </c>
      <c r="E18">
        <f t="shared" si="0"/>
        <v>62.489999999999995</v>
      </c>
      <c r="F18">
        <f t="shared" si="1"/>
        <v>272.58010000000019</v>
      </c>
      <c r="G18">
        <f t="shared" si="2"/>
        <v>69.84</v>
      </c>
      <c r="H18">
        <f t="shared" si="3"/>
        <v>83.905599999999936</v>
      </c>
      <c r="I18">
        <f t="shared" si="4"/>
        <v>63.269999999999989</v>
      </c>
      <c r="J18">
        <f t="shared" si="5"/>
        <v>247.43290000000036</v>
      </c>
      <c r="K18">
        <f>(B18-mean1)/_std1</f>
        <v>-0.6112157739208901</v>
      </c>
      <c r="L18">
        <f>(C18-mean2)/_std2</f>
        <v>1.3044257887209214</v>
      </c>
      <c r="M18">
        <f>(D18-mean3)/_std3</f>
        <v>0.71957742853174889</v>
      </c>
      <c r="N18" s="33">
        <f>SUMPRODUCT(_AT1,K18:M18)</f>
        <v>-1.3010623682060052</v>
      </c>
      <c r="O18" s="14">
        <f>SUMPRODUCT(_AT2,K18:M18)</f>
        <v>0.3904394459325955</v>
      </c>
      <c r="P18" s="14">
        <f>SUMPRODUCT(_AT3,K18:M18)</f>
        <v>-0.83538209224031768</v>
      </c>
      <c r="R18" s="2"/>
      <c r="S18" s="2" t="s">
        <v>21</v>
      </c>
      <c r="T18" s="2" t="s">
        <v>9</v>
      </c>
      <c r="U18" s="2" t="s">
        <v>22</v>
      </c>
      <c r="V18" s="2" t="s">
        <v>23</v>
      </c>
      <c r="W18" s="2" t="s">
        <v>24</v>
      </c>
      <c r="X18" s="2" t="s">
        <v>25</v>
      </c>
      <c r="Y18" s="2" t="s">
        <v>26</v>
      </c>
      <c r="Z18" s="2" t="s">
        <v>27</v>
      </c>
      <c r="AC18" t="s">
        <v>13</v>
      </c>
      <c r="AD18">
        <v>44</v>
      </c>
      <c r="AE18">
        <v>5093.9154963798028</v>
      </c>
      <c r="AF18">
        <v>115.77080673590461</v>
      </c>
      <c r="AQ18" s="11"/>
      <c r="AR18" s="11" t="s">
        <v>56</v>
      </c>
      <c r="AS18" s="11" t="s">
        <v>57</v>
      </c>
      <c r="AT18" s="11" t="s">
        <v>58</v>
      </c>
      <c r="AX18" s="11"/>
      <c r="AY18" s="11" t="s">
        <v>56</v>
      </c>
      <c r="AZ18" s="11" t="s">
        <v>57</v>
      </c>
      <c r="BA18" s="11" t="s">
        <v>58</v>
      </c>
      <c r="BE18" s="11"/>
      <c r="BF18" s="11" t="s">
        <v>56</v>
      </c>
      <c r="BG18" s="11" t="s">
        <v>57</v>
      </c>
      <c r="BH18" s="11" t="s">
        <v>58</v>
      </c>
    </row>
    <row r="19" spans="1:62" ht="16" thickBot="1" x14ac:dyDescent="0.25">
      <c r="A19">
        <v>88</v>
      </c>
      <c r="B19">
        <v>29</v>
      </c>
      <c r="C19">
        <v>46</v>
      </c>
      <c r="D19">
        <v>1.9</v>
      </c>
      <c r="E19">
        <f t="shared" si="0"/>
        <v>79.550000000000011</v>
      </c>
      <c r="F19">
        <f t="shared" si="1"/>
        <v>71.402499999999804</v>
      </c>
      <c r="G19">
        <f t="shared" si="2"/>
        <v>75.92</v>
      </c>
      <c r="H19">
        <f t="shared" si="3"/>
        <v>145.92639999999997</v>
      </c>
      <c r="I19">
        <f t="shared" si="4"/>
        <v>77.549999999999983</v>
      </c>
      <c r="J19">
        <f t="shared" si="5"/>
        <v>109.20250000000036</v>
      </c>
      <c r="K19">
        <f>(B19-mean1)/_std1</f>
        <v>-1.0646984448944539</v>
      </c>
      <c r="L19">
        <f>(C19-mean2)/_std2</f>
        <v>-1.0394643003869828</v>
      </c>
      <c r="M19">
        <f>(D19-mean3)/_std3</f>
        <v>-1.3069875742719492</v>
      </c>
      <c r="N19" s="33">
        <f>SUMPRODUCT(_AT1,K19:M19)</f>
        <v>3.568431700031921E-2</v>
      </c>
      <c r="O19" s="14">
        <f>SUMPRODUCT(_AT2,K19:M19)</f>
        <v>0.18936679462378159</v>
      </c>
      <c r="P19" s="14">
        <f>SUMPRODUCT(_AT3,K19:M19)</f>
        <v>1.9724475566883273</v>
      </c>
      <c r="R19" t="s">
        <v>15</v>
      </c>
      <c r="S19">
        <v>158.49125166661736</v>
      </c>
      <c r="T19">
        <v>18.125888744094745</v>
      </c>
      <c r="U19">
        <v>8.7439161689797089</v>
      </c>
      <c r="V19">
        <v>5.2609549732926055E-11</v>
      </c>
      <c r="W19">
        <v>121.91172724483692</v>
      </c>
      <c r="X19">
        <v>195.07077608839779</v>
      </c>
      <c r="Y19">
        <v>121.91172724483692</v>
      </c>
      <c r="Z19">
        <v>195.07077608839779</v>
      </c>
      <c r="AC19" s="1" t="s">
        <v>14</v>
      </c>
      <c r="AD19" s="1">
        <v>45</v>
      </c>
      <c r="AE19" s="1">
        <v>13369.30434782609</v>
      </c>
      <c r="AF19" s="1"/>
      <c r="AG19" s="1"/>
      <c r="AH19" s="1"/>
      <c r="AQ19" s="9" t="s">
        <v>56</v>
      </c>
      <c r="AR19" s="9">
        <f>VARP(Лист2!$K$2:$K$47)-lambda1</f>
        <v>0.53622274547212134</v>
      </c>
      <c r="AS19" s="9">
        <f>AR20</f>
        <v>0.5679504687272644</v>
      </c>
      <c r="AT19" s="9">
        <f>AR21</f>
        <v>0.56967748177656452</v>
      </c>
      <c r="AX19" s="9" t="s">
        <v>56</v>
      </c>
      <c r="AY19" s="9">
        <f>VARP(Лист2!$K$2:$K$47)-lambda2</f>
        <v>0.67053587544669435</v>
      </c>
      <c r="AZ19" s="9">
        <f>AY20</f>
        <v>0.5679504687272644</v>
      </c>
      <c r="BA19" s="9">
        <f>AY21</f>
        <v>0.56967748177656452</v>
      </c>
      <c r="BE19" s="9" t="s">
        <v>56</v>
      </c>
      <c r="BF19" s="9">
        <f>VARP(Лист2!$K$2:$K$47)-lambda3</f>
        <v>-1.2066115029713573</v>
      </c>
      <c r="BG19" s="9">
        <f>BF20</f>
        <v>0.5679504687272644</v>
      </c>
      <c r="BH19" s="9">
        <f>BF21</f>
        <v>0.56967748177656452</v>
      </c>
    </row>
    <row r="20" spans="1:62" ht="16" thickBot="1" x14ac:dyDescent="0.25">
      <c r="A20">
        <v>60</v>
      </c>
      <c r="B20">
        <v>33</v>
      </c>
      <c r="C20">
        <v>49</v>
      </c>
      <c r="D20">
        <v>2.1</v>
      </c>
      <c r="E20">
        <f t="shared" si="0"/>
        <v>70.97</v>
      </c>
      <c r="F20">
        <f t="shared" si="1"/>
        <v>120.34089999999998</v>
      </c>
      <c r="G20">
        <f t="shared" si="2"/>
        <v>69.84</v>
      </c>
      <c r="H20">
        <f t="shared" si="3"/>
        <v>96.825600000000065</v>
      </c>
      <c r="I20">
        <f t="shared" si="4"/>
        <v>69.70999999999998</v>
      </c>
      <c r="J20">
        <f t="shared" si="5"/>
        <v>94.284099999999597</v>
      </c>
      <c r="K20">
        <f>(B20-mean1)/_std1</f>
        <v>-0.6112157739208901</v>
      </c>
      <c r="L20">
        <f>(C20-mean2)/_std2</f>
        <v>-0.33629727365461154</v>
      </c>
      <c r="M20">
        <f>(D20-mean3)/_std3</f>
        <v>-0.631465906670716</v>
      </c>
      <c r="N20" s="33">
        <f>SUMPRODUCT(_AT1,K20:M20)</f>
        <v>-0.12794956498634152</v>
      </c>
      <c r="O20" s="14">
        <f>SUMPRODUCT(_AT2,K20:M20)</f>
        <v>0.20621840687644061</v>
      </c>
      <c r="P20" s="14">
        <f>SUMPRODUCT(_AT3,K20:M20)</f>
        <v>0.91162284650490166</v>
      </c>
      <c r="R20" t="s">
        <v>32</v>
      </c>
      <c r="S20">
        <v>-1.1416118465365188</v>
      </c>
      <c r="T20">
        <v>0.21479880912017638</v>
      </c>
      <c r="U20">
        <v>-5.3147959768147777</v>
      </c>
      <c r="V20">
        <v>3.8102515035992971E-6</v>
      </c>
      <c r="W20">
        <v>-1.5750933930091389</v>
      </c>
      <c r="X20">
        <v>-0.70813030006389888</v>
      </c>
      <c r="Y20">
        <v>-1.5750933930091389</v>
      </c>
      <c r="Z20">
        <v>-0.70813030006389888</v>
      </c>
      <c r="AQ20" s="9" t="s">
        <v>57</v>
      </c>
      <c r="AR20" s="9">
        <v>0.5679504687272644</v>
      </c>
      <c r="AS20" s="9">
        <f>VARP(Лист2!$L$2:$L$47)-lambda1</f>
        <v>0.53622274547212134</v>
      </c>
      <c r="AT20" s="9">
        <f>AS21</f>
        <v>0.6705286522631615</v>
      </c>
      <c r="AX20" s="9" t="s">
        <v>57</v>
      </c>
      <c r="AY20" s="9">
        <v>0.5679504687272644</v>
      </c>
      <c r="AZ20" s="9">
        <f>VARP(Лист2!$L$2:$L$47)-lambda2</f>
        <v>0.67053587544669435</v>
      </c>
      <c r="BA20" s="9">
        <f>AZ21</f>
        <v>0.6705286522631615</v>
      </c>
      <c r="BE20" s="9" t="s">
        <v>57</v>
      </c>
      <c r="BF20" s="9">
        <v>0.5679504687272644</v>
      </c>
      <c r="BG20" s="9">
        <f>VARP(Лист2!$L$2:$L$47)-lambda3</f>
        <v>-1.2066115029713573</v>
      </c>
      <c r="BH20" s="9">
        <f>BG21</f>
        <v>0.6705286522631615</v>
      </c>
    </row>
    <row r="21" spans="1:62" ht="16" thickBot="1" x14ac:dyDescent="0.25">
      <c r="A21">
        <v>49</v>
      </c>
      <c r="B21">
        <v>55</v>
      </c>
      <c r="C21">
        <v>51</v>
      </c>
      <c r="D21">
        <v>2.4</v>
      </c>
      <c r="E21">
        <f t="shared" si="0"/>
        <v>40.960000000000015</v>
      </c>
      <c r="F21">
        <f t="shared" si="1"/>
        <v>64.641599999999755</v>
      </c>
      <c r="G21">
        <f t="shared" si="2"/>
        <v>36.400000000000006</v>
      </c>
      <c r="H21">
        <f t="shared" si="3"/>
        <v>158.75999999999985</v>
      </c>
      <c r="I21">
        <f t="shared" si="4"/>
        <v>39.929999999999993</v>
      </c>
      <c r="J21">
        <f t="shared" si="5"/>
        <v>82.264900000000139</v>
      </c>
      <c r="K21">
        <f>(B21-mean1)/_std1</f>
        <v>1.8829389164337103</v>
      </c>
      <c r="L21">
        <f>(C21-mean2)/_std2</f>
        <v>0.13248074416696928</v>
      </c>
      <c r="M21">
        <f>(D21-mean3)/_std3</f>
        <v>0.38181659473113227</v>
      </c>
      <c r="N21" s="33">
        <f>SUMPRODUCT(_AT1,K21:M21)</f>
        <v>1.3639570647502581</v>
      </c>
      <c r="O21" s="14">
        <f>SUMPRODUCT(_AT2,K21:M21)</f>
        <v>-0.15160285809808893</v>
      </c>
      <c r="P21" s="14">
        <f>SUMPRODUCT(_AT3,K21:M21)</f>
        <v>-1.3612402458072608</v>
      </c>
      <c r="R21" t="s">
        <v>33</v>
      </c>
      <c r="S21">
        <v>-0.44200426207852317</v>
      </c>
      <c r="T21">
        <v>0.49196574797241022</v>
      </c>
      <c r="U21">
        <v>-0.89844519440672743</v>
      </c>
      <c r="V21" s="8">
        <v>0.3740702253481859</v>
      </c>
      <c r="W21">
        <v>-1.4348313364750354</v>
      </c>
      <c r="X21">
        <v>0.55082281231798891</v>
      </c>
      <c r="Y21">
        <v>-1.4348313364750354</v>
      </c>
      <c r="Z21">
        <v>0.55082281231798891</v>
      </c>
      <c r="AC21" s="2"/>
      <c r="AD21" s="2" t="s">
        <v>21</v>
      </c>
      <c r="AE21" s="2" t="s">
        <v>9</v>
      </c>
      <c r="AF21" s="2" t="s">
        <v>22</v>
      </c>
      <c r="AG21" s="2" t="s">
        <v>23</v>
      </c>
      <c r="AH21" s="2" t="s">
        <v>24</v>
      </c>
      <c r="AI21" s="2" t="s">
        <v>25</v>
      </c>
      <c r="AJ21" s="2" t="s">
        <v>26</v>
      </c>
      <c r="AK21" s="2" t="s">
        <v>27</v>
      </c>
      <c r="AQ21" s="10" t="s">
        <v>58</v>
      </c>
      <c r="AR21" s="10">
        <v>0.56967748177656452</v>
      </c>
      <c r="AS21" s="10">
        <v>0.6705286522631615</v>
      </c>
      <c r="AT21" s="10">
        <f>VARP(Лист2!$M$2:$M$47)-lambda1</f>
        <v>0.53622274547212312</v>
      </c>
      <c r="AX21" s="10" t="s">
        <v>58</v>
      </c>
      <c r="AY21" s="10">
        <v>0.56967748177656452</v>
      </c>
      <c r="AZ21" s="10">
        <v>0.6705286522631615</v>
      </c>
      <c r="BA21" s="10">
        <f>VARP(Лист2!$M$2:$M$47)-lambda2</f>
        <v>0.67053587544669613</v>
      </c>
      <c r="BE21" s="10" t="s">
        <v>58</v>
      </c>
      <c r="BF21" s="10">
        <v>0.56967748177656452</v>
      </c>
      <c r="BG21" s="10">
        <v>0.6705286522631615</v>
      </c>
      <c r="BH21" s="10">
        <f>VARP(Лист2!$M$2:$M$47)-lambda3</f>
        <v>-1.2066115029713556</v>
      </c>
    </row>
    <row r="22" spans="1:62" ht="16" thickBot="1" x14ac:dyDescent="0.25">
      <c r="A22">
        <v>77</v>
      </c>
      <c r="B22">
        <v>29</v>
      </c>
      <c r="C22">
        <v>52</v>
      </c>
      <c r="D22">
        <v>2.2999999999999998</v>
      </c>
      <c r="E22">
        <f t="shared" si="0"/>
        <v>71.510000000000005</v>
      </c>
      <c r="F22">
        <f t="shared" si="1"/>
        <v>30.140099999999943</v>
      </c>
      <c r="G22">
        <f t="shared" si="2"/>
        <v>75.92</v>
      </c>
      <c r="H22">
        <f t="shared" si="3"/>
        <v>1.1663999999999963</v>
      </c>
      <c r="I22">
        <f t="shared" si="4"/>
        <v>72.029999999999987</v>
      </c>
      <c r="J22">
        <f t="shared" si="5"/>
        <v>24.700900000000129</v>
      </c>
      <c r="K22">
        <f>(B22-mean1)/_std1</f>
        <v>-1.0646984448944539</v>
      </c>
      <c r="L22">
        <f>(C22-mean2)/_std2</f>
        <v>0.36686975307775971</v>
      </c>
      <c r="M22">
        <f>(D22-mean3)/_std3</f>
        <v>4.4055760930515664E-2</v>
      </c>
      <c r="N22" s="33">
        <f>SUMPRODUCT(_AT1,K22:M22)</f>
        <v>-1.0460937377715349</v>
      </c>
      <c r="O22" s="14">
        <f>SUMPRODUCT(_AT2,K22:M22)</f>
        <v>0.20946172517624101</v>
      </c>
      <c r="P22" s="14">
        <f>SUMPRODUCT(_AT3,K22:M22)</f>
        <v>0.36076849035557934</v>
      </c>
      <c r="R22" s="1" t="s">
        <v>34</v>
      </c>
      <c r="S22" s="1">
        <v>-13.47016319067237</v>
      </c>
      <c r="T22" s="1">
        <v>7.0996608143718491</v>
      </c>
      <c r="U22" s="1">
        <v>-1.8972967220356087</v>
      </c>
      <c r="V22" s="7">
        <v>6.4678126894482574E-2</v>
      </c>
      <c r="W22" s="1">
        <v>-27.797858776373307</v>
      </c>
      <c r="X22" s="1">
        <v>0.85753239502856715</v>
      </c>
      <c r="Y22" s="1">
        <v>-27.797858776373307</v>
      </c>
      <c r="Z22" s="1">
        <v>0.85753239502856715</v>
      </c>
      <c r="AC22" t="s">
        <v>15</v>
      </c>
      <c r="AD22">
        <v>119.94317022207106</v>
      </c>
      <c r="AE22">
        <v>7.0847509840585854</v>
      </c>
      <c r="AF22">
        <v>16.929765138105132</v>
      </c>
      <c r="AG22">
        <v>6.8885267586268434E-21</v>
      </c>
      <c r="AH22">
        <v>105.66479281579083</v>
      </c>
      <c r="AI22">
        <v>134.22154762835129</v>
      </c>
      <c r="AJ22">
        <v>105.66479281579083</v>
      </c>
      <c r="AK22">
        <v>134.22154762835129</v>
      </c>
    </row>
    <row r="23" spans="1:62" ht="16" thickBot="1" x14ac:dyDescent="0.25">
      <c r="A23">
        <v>52</v>
      </c>
      <c r="B23">
        <v>44</v>
      </c>
      <c r="C23">
        <v>58</v>
      </c>
      <c r="D23">
        <v>2.9</v>
      </c>
      <c r="E23">
        <f t="shared" si="0"/>
        <v>43.670000000000009</v>
      </c>
      <c r="F23">
        <f t="shared" si="1"/>
        <v>69.38889999999985</v>
      </c>
      <c r="G23">
        <f t="shared" si="2"/>
        <v>53.120000000000005</v>
      </c>
      <c r="H23">
        <f t="shared" si="3"/>
        <v>1.2544000000000102</v>
      </c>
      <c r="I23">
        <f t="shared" si="4"/>
        <v>47.459999999999994</v>
      </c>
      <c r="J23">
        <f t="shared" si="5"/>
        <v>20.611600000000056</v>
      </c>
      <c r="K23">
        <f>(B23-mean1)/_std1</f>
        <v>0.63586157125641007</v>
      </c>
      <c r="L23">
        <f>(C23-mean2)/_std2</f>
        <v>1.7732038065425022</v>
      </c>
      <c r="M23">
        <f>(D23-mean3)/_std3</f>
        <v>2.070620763734214</v>
      </c>
      <c r="N23" s="33">
        <f>SUMPRODUCT(_AT1,K23:M23)</f>
        <v>-0.98004977933863724</v>
      </c>
      <c r="O23" s="14">
        <f>SUMPRODUCT(_AT2,K23:M23)</f>
        <v>-0.22725865334454487</v>
      </c>
      <c r="P23" s="14">
        <f>SUMPRODUCT(_AT3,K23:M23)</f>
        <v>-2.6069669057200699</v>
      </c>
      <c r="V23" t="s">
        <v>40</v>
      </c>
      <c r="AC23" s="1" t="s">
        <v>32</v>
      </c>
      <c r="AD23" s="5">
        <v>-1.5206035278682155</v>
      </c>
      <c r="AE23" s="1">
        <v>0.1798545041998082</v>
      </c>
      <c r="AF23" s="1">
        <v>-8.4546313401131776</v>
      </c>
      <c r="AG23" s="1">
        <v>9.057614534086786E-11</v>
      </c>
      <c r="AH23" s="1">
        <v>-1.8830764637501689</v>
      </c>
      <c r="AI23" s="1">
        <v>-1.1581305919862621</v>
      </c>
      <c r="AJ23" s="1">
        <v>-1.8830764637501689</v>
      </c>
      <c r="AK23" s="1">
        <v>-1.1581305919862621</v>
      </c>
      <c r="AQ23" t="s">
        <v>66</v>
      </c>
      <c r="AX23" t="s">
        <v>66</v>
      </c>
      <c r="BE23" t="s">
        <v>66</v>
      </c>
    </row>
    <row r="24" spans="1:62" x14ac:dyDescent="0.2">
      <c r="A24">
        <v>60</v>
      </c>
      <c r="B24">
        <v>43</v>
      </c>
      <c r="C24">
        <v>50</v>
      </c>
      <c r="D24">
        <v>2.2999999999999998</v>
      </c>
      <c r="E24">
        <f t="shared" si="0"/>
        <v>56.430000000000007</v>
      </c>
      <c r="F24">
        <f t="shared" si="1"/>
        <v>12.744899999999951</v>
      </c>
      <c r="G24">
        <f t="shared" si="2"/>
        <v>54.64</v>
      </c>
      <c r="H24">
        <f t="shared" si="3"/>
        <v>28.729599999999994</v>
      </c>
      <c r="I24">
        <f t="shared" si="4"/>
        <v>56.089999999999989</v>
      </c>
      <c r="J24">
        <f t="shared" si="5"/>
        <v>15.288100000000085</v>
      </c>
      <c r="K24">
        <f>(B24-mean1)/_std1</f>
        <v>0.52249090351301919</v>
      </c>
      <c r="L24">
        <f>(C24-mean2)/_std2</f>
        <v>-0.10190826474382113</v>
      </c>
      <c r="M24">
        <f>(D24-mean3)/_std3</f>
        <v>4.4055760930515664E-2</v>
      </c>
      <c r="N24" s="33">
        <f>SUMPRODUCT(_AT1,K24:M24)</f>
        <v>0.45696876802151748</v>
      </c>
      <c r="O24" s="14">
        <f>SUMPRODUCT(_AT2,K24:M24)</f>
        <v>-9.4975977413645357E-2</v>
      </c>
      <c r="P24" s="14">
        <f>SUMPRODUCT(_AT3,K24:M24)</f>
        <v>-0.26102788437915636</v>
      </c>
    </row>
    <row r="25" spans="1:62" x14ac:dyDescent="0.2">
      <c r="A25">
        <v>86</v>
      </c>
      <c r="B25">
        <v>23</v>
      </c>
      <c r="C25">
        <v>41</v>
      </c>
      <c r="D25">
        <v>1.8</v>
      </c>
      <c r="E25">
        <f t="shared" si="0"/>
        <v>89.940000000000012</v>
      </c>
      <c r="F25">
        <f t="shared" si="1"/>
        <v>15.523600000000094</v>
      </c>
      <c r="G25">
        <f t="shared" si="2"/>
        <v>85.039999999999992</v>
      </c>
      <c r="H25">
        <f t="shared" si="3"/>
        <v>0.9216000000000153</v>
      </c>
      <c r="I25">
        <f t="shared" si="4"/>
        <v>89.769999999999982</v>
      </c>
      <c r="J25">
        <f t="shared" si="5"/>
        <v>14.212899999999863</v>
      </c>
      <c r="K25">
        <f>(B25-mean1)/_std1</f>
        <v>-1.7449224513547994</v>
      </c>
      <c r="L25">
        <f>(C25-mean2)/_std2</f>
        <v>-2.2114093449409351</v>
      </c>
      <c r="M25">
        <f>(D25-mean3)/_std3</f>
        <v>-1.6447484080725652</v>
      </c>
      <c r="N25" s="33">
        <f>SUMPRODUCT(_AT1,K25:M25)</f>
        <v>5.9917732161716919E-2</v>
      </c>
      <c r="O25" s="14">
        <f>SUMPRODUCT(_AT2,K25:M25)</f>
        <v>-0.40030453824191259</v>
      </c>
      <c r="P25" s="14">
        <f>SUMPRODUCT(_AT3,K25:M25)</f>
        <v>3.2314856422407408</v>
      </c>
      <c r="R25" s="6" t="s">
        <v>35</v>
      </c>
      <c r="S25" s="6"/>
      <c r="AQ25" t="s">
        <v>67</v>
      </c>
      <c r="AR25" s="6">
        <v>0.83190642012704163</v>
      </c>
      <c r="AS25" s="6">
        <v>-0.38967163550988926</v>
      </c>
      <c r="AT25" s="6">
        <v>-0.39507952867034118</v>
      </c>
      <c r="AU25" t="s">
        <v>109</v>
      </c>
      <c r="AV25">
        <f>SUMPRODUCT(AR25:AT25,AR25:AT25)</f>
        <v>1.0000001093439208</v>
      </c>
      <c r="AX25" t="s">
        <v>67</v>
      </c>
      <c r="AY25" s="6">
        <v>1.5004205037917599E-2</v>
      </c>
      <c r="AZ25" s="6">
        <v>0.70022954261546722</v>
      </c>
      <c r="BA25" s="6">
        <v>-0.71401241939078941</v>
      </c>
      <c r="BB25" t="s">
        <v>109</v>
      </c>
      <c r="BC25">
        <f>SUMPRODUCT(AY25:BA25,AY25:BA25)</f>
        <v>1.0003602735645747</v>
      </c>
      <c r="BE25" t="s">
        <v>67</v>
      </c>
      <c r="BF25" s="6">
        <v>-0.56228207457108248</v>
      </c>
      <c r="BG25" s="6">
        <v>-0.57735587961796098</v>
      </c>
      <c r="BH25" s="6">
        <v>-0.59193055546073492</v>
      </c>
      <c r="BI25" t="s">
        <v>109</v>
      </c>
      <c r="BJ25">
        <f>SUMPRODUCT(BF25:BH25,BF25:BH25)</f>
        <v>0.99988272560144398</v>
      </c>
    </row>
    <row r="26" spans="1:62" x14ac:dyDescent="0.2">
      <c r="A26">
        <v>43</v>
      </c>
      <c r="B26">
        <v>47</v>
      </c>
      <c r="C26">
        <v>53</v>
      </c>
      <c r="D26">
        <v>2.5</v>
      </c>
      <c r="E26">
        <f t="shared" si="0"/>
        <v>47.849999999999994</v>
      </c>
      <c r="F26">
        <f t="shared" si="1"/>
        <v>23.522499999999944</v>
      </c>
      <c r="G26">
        <f t="shared" si="2"/>
        <v>48.56</v>
      </c>
      <c r="H26">
        <f t="shared" si="3"/>
        <v>30.913600000000024</v>
      </c>
      <c r="I26">
        <f t="shared" si="4"/>
        <v>48.249999999999986</v>
      </c>
      <c r="J26">
        <f t="shared" si="5"/>
        <v>27.562499999999851</v>
      </c>
      <c r="K26">
        <f>(B26-mean1)/_std1</f>
        <v>0.97597357448658295</v>
      </c>
      <c r="L26">
        <f>(C26-mean2)/_std2</f>
        <v>0.60125876198855011</v>
      </c>
      <c r="M26">
        <f>(D26-mean3)/_std3</f>
        <v>0.71957742853174889</v>
      </c>
      <c r="N26" s="33">
        <f>SUMPRODUCT(_AT1,K26:M26)</f>
        <v>0.2933348860348568</v>
      </c>
      <c r="O26" s="14">
        <f>SUMPRODUCT(_AT2,K26:M26)</f>
        <v>-7.8124365160986364E-2</v>
      </c>
      <c r="P26" s="14">
        <f>SUMPRODUCT(_AT3,K26:M26)</f>
        <v>-1.3218525945625816</v>
      </c>
    </row>
    <row r="27" spans="1:62" x14ac:dyDescent="0.2">
      <c r="A27">
        <v>34</v>
      </c>
      <c r="B27">
        <v>55</v>
      </c>
      <c r="C27">
        <v>54</v>
      </c>
      <c r="D27">
        <v>2.5</v>
      </c>
      <c r="E27">
        <f t="shared" si="0"/>
        <v>38.290000000000006</v>
      </c>
      <c r="F27">
        <f t="shared" si="1"/>
        <v>18.404100000000053</v>
      </c>
      <c r="G27">
        <f t="shared" si="2"/>
        <v>36.400000000000006</v>
      </c>
      <c r="H27">
        <f t="shared" si="3"/>
        <v>5.7600000000000273</v>
      </c>
      <c r="I27">
        <f t="shared" si="4"/>
        <v>37.169999999999995</v>
      </c>
      <c r="J27">
        <f t="shared" si="5"/>
        <v>10.048899999999966</v>
      </c>
      <c r="K27">
        <f>(B27-mean1)/_std1</f>
        <v>1.8829389164337103</v>
      </c>
      <c r="L27">
        <f>(C27-mean2)/_std2</f>
        <v>0.83564777089934061</v>
      </c>
      <c r="M27">
        <f>(D27-mean3)/_std3</f>
        <v>0.71957742853174889</v>
      </c>
      <c r="N27" s="33">
        <f>SUMPRODUCT(_AT1,K27:M27)</f>
        <v>0.95651042838558009</v>
      </c>
      <c r="O27" s="14">
        <f>SUMPRODUCT(_AT2,K27:M27)</f>
        <v>9.9610037295568832E-2</v>
      </c>
      <c r="P27" s="14">
        <f>SUMPRODUCT(_AT3,K27:M27)</f>
        <v>-1.9671488210091552</v>
      </c>
      <c r="R27" t="s">
        <v>1</v>
      </c>
      <c r="AB27" t="s">
        <v>2</v>
      </c>
      <c r="AQ27" t="s">
        <v>68</v>
      </c>
      <c r="AR27">
        <f>SUMPRODUCT(AR25:AT25,AS10:AU10)</f>
        <v>0.38552432109508855</v>
      </c>
      <c r="AS27">
        <f>SUMPRODUCT(AR25:AT25,AS11:AU11)</f>
        <v>-0.18210213815760451</v>
      </c>
      <c r="AT27">
        <f>SUMPRODUCT(AS12:AU12,AR25:AT25)</f>
        <v>-0.1824471707622401</v>
      </c>
      <c r="AX27" t="s">
        <v>68</v>
      </c>
      <c r="AY27">
        <f>SUMPRODUCT(AY25:BA25,AS10:AU10)</f>
        <v>5.9431049473129827E-3</v>
      </c>
      <c r="AZ27">
        <f>SUMPRODUCT(AY25:BA25,AS11:AU11)</f>
        <v>0.22998540262636741</v>
      </c>
      <c r="BA27">
        <f>SUMPRODUCT(AS12:AU12,AY25:BA25)</f>
        <v>-0.23594089016393149</v>
      </c>
      <c r="BE27" t="s">
        <v>68</v>
      </c>
      <c r="BF27">
        <f>SUMPRODUCT(BF25:BH25,AS10:AU10)</f>
        <v>-1.22740112524402</v>
      </c>
      <c r="BG27">
        <f>SUMPRODUCT(BF25:BH25,AS11:AU11)</f>
        <v>-1.293610645014017</v>
      </c>
      <c r="BH27">
        <f>SUMPRODUCT(AS12:AU12,BF25:BH25)</f>
        <v>-1.2993836515869364</v>
      </c>
    </row>
    <row r="28" spans="1:62" x14ac:dyDescent="0.2">
      <c r="A28">
        <v>63</v>
      </c>
      <c r="B28">
        <v>25</v>
      </c>
      <c r="C28">
        <v>49</v>
      </c>
      <c r="D28">
        <v>2</v>
      </c>
      <c r="E28">
        <f t="shared" si="0"/>
        <v>81.44</v>
      </c>
      <c r="F28">
        <f t="shared" si="1"/>
        <v>340.03359999999992</v>
      </c>
      <c r="G28">
        <f t="shared" si="2"/>
        <v>82</v>
      </c>
      <c r="H28">
        <f t="shared" si="3"/>
        <v>361</v>
      </c>
      <c r="I28">
        <f t="shared" si="4"/>
        <v>79.869999999999976</v>
      </c>
      <c r="J28">
        <f t="shared" si="5"/>
        <v>284.59689999999921</v>
      </c>
      <c r="K28">
        <f>(B28-mean1)/_std1</f>
        <v>-1.5181811158680176</v>
      </c>
      <c r="L28">
        <f>(C28-mean2)/_std2</f>
        <v>-0.33629727365461154</v>
      </c>
      <c r="M28">
        <f>(D28-mean3)/_std3</f>
        <v>-0.96922674047133262</v>
      </c>
      <c r="N28" s="33">
        <f>SUMPRODUCT(_AT1,K28:M28)</f>
        <v>-0.74901746476362552</v>
      </c>
      <c r="O28" s="14">
        <f>SUMPRODUCT(_AT2,K28:M28)</f>
        <v>0.43377554304100951</v>
      </c>
      <c r="P28" s="14">
        <f>SUMPRODUCT(_AT3,K28:M28)</f>
        <v>1.6215241585034836</v>
      </c>
      <c r="R28" t="s">
        <v>4</v>
      </c>
      <c r="AB28" t="s">
        <v>4</v>
      </c>
      <c r="AQ28" t="s">
        <v>69</v>
      </c>
      <c r="AR28">
        <f>lambda1*AR25</f>
        <v>0.38581927555063555</v>
      </c>
      <c r="AS28">
        <f>lambda1*AS25</f>
        <v>-0.18072084128416477</v>
      </c>
      <c r="AT28">
        <f>lambda1*AT25</f>
        <v>-0.18322889912689924</v>
      </c>
      <c r="AX28" t="s">
        <v>69</v>
      </c>
      <c r="AY28">
        <f>lambda2*AY25</f>
        <v>4.9433472774358233E-3</v>
      </c>
      <c r="AZ28">
        <f>lambda2*AZ25</f>
        <v>0.23070051324416668</v>
      </c>
      <c r="BA28">
        <f>lambda2*BA25</f>
        <v>-0.2352414766747743</v>
      </c>
      <c r="BE28" t="s">
        <v>69</v>
      </c>
      <c r="BF28">
        <f>lambda3*BF25</f>
        <v>-1.2407380936631494</v>
      </c>
      <c r="BG28">
        <f>lambda3*BG25</f>
        <v>-1.274000125273139</v>
      </c>
      <c r="BH28">
        <f>lambda3*BH25</f>
        <v>-1.3061607726398827</v>
      </c>
    </row>
    <row r="29" spans="1:62" ht="16" thickBot="1" x14ac:dyDescent="0.25">
      <c r="A29">
        <v>72</v>
      </c>
      <c r="B29">
        <v>32</v>
      </c>
      <c r="C29">
        <v>46</v>
      </c>
      <c r="D29">
        <v>2.6</v>
      </c>
      <c r="E29">
        <f t="shared" si="0"/>
        <v>66.680000000000007</v>
      </c>
      <c r="F29">
        <f t="shared" si="1"/>
        <v>28.302399999999928</v>
      </c>
      <c r="G29">
        <f t="shared" si="2"/>
        <v>71.36</v>
      </c>
      <c r="H29">
        <f t="shared" si="3"/>
        <v>0.40960000000000074</v>
      </c>
      <c r="I29">
        <f t="shared" si="4"/>
        <v>73.739999999999981</v>
      </c>
      <c r="J29">
        <f t="shared" si="5"/>
        <v>3.0275999999999326</v>
      </c>
      <c r="K29">
        <f>(B29-mean1)/_std1</f>
        <v>-0.7245864416642811</v>
      </c>
      <c r="L29">
        <f>(C29-mean2)/_std2</f>
        <v>-1.0394643003869828</v>
      </c>
      <c r="M29">
        <f>(D29-mean3)/_std3</f>
        <v>1.0573382623323655</v>
      </c>
      <c r="N29" s="33">
        <f>SUMPRODUCT(_AT1,K29:M29)</f>
        <v>-0.61547106109897365</v>
      </c>
      <c r="O29" s="14">
        <f>SUMPRODUCT(_AT2,K29:M29)</f>
        <v>-1.4936881059658951</v>
      </c>
      <c r="P29" s="14">
        <f>SUMPRODUCT(_AT3,K29:M29)</f>
        <v>0.38169196817418005</v>
      </c>
      <c r="AQ29" t="s">
        <v>106</v>
      </c>
      <c r="AR29">
        <f>AR27-AR28</f>
        <v>-2.9495445554700295E-4</v>
      </c>
      <c r="AS29">
        <f t="shared" ref="AS29:AT29" si="6">AS27-AS28</f>
        <v>-1.3812968734397413E-3</v>
      </c>
      <c r="AT29">
        <f t="shared" si="6"/>
        <v>7.8172836465914552E-4</v>
      </c>
      <c r="AX29" t="s">
        <v>106</v>
      </c>
      <c r="AY29">
        <f>AY27-AY28</f>
        <v>9.9975766987715937E-4</v>
      </c>
      <c r="AZ29">
        <f t="shared" ref="AZ29" si="7">AZ27-AZ28</f>
        <v>-7.1511061779927498E-4</v>
      </c>
      <c r="BA29">
        <f t="shared" ref="BA29" si="8">BA27-BA28</f>
        <v>-6.9941348915719681E-4</v>
      </c>
      <c r="BE29" t="s">
        <v>106</v>
      </c>
      <c r="BF29">
        <f>BF27-BF28</f>
        <v>1.3336968419129347E-2</v>
      </c>
      <c r="BG29">
        <f t="shared" ref="BG29" si="9">BG27-BG28</f>
        <v>-1.9610519740878019E-2</v>
      </c>
      <c r="BH29">
        <f t="shared" ref="BH29" si="10">BH27-BH28</f>
        <v>6.7771210529463666E-3</v>
      </c>
    </row>
    <row r="30" spans="1:62" x14ac:dyDescent="0.2">
      <c r="A30">
        <v>57</v>
      </c>
      <c r="B30">
        <v>32</v>
      </c>
      <c r="C30">
        <v>52</v>
      </c>
      <c r="D30">
        <v>2.4</v>
      </c>
      <c r="E30">
        <f t="shared" si="0"/>
        <v>66.740000000000009</v>
      </c>
      <c r="F30">
        <f t="shared" si="1"/>
        <v>94.867600000000181</v>
      </c>
      <c r="G30">
        <f t="shared" si="2"/>
        <v>71.36</v>
      </c>
      <c r="H30">
        <f t="shared" si="3"/>
        <v>206.20959999999999</v>
      </c>
      <c r="I30">
        <f t="shared" si="4"/>
        <v>68.219999999999985</v>
      </c>
      <c r="J30">
        <f t="shared" si="5"/>
        <v>125.88839999999965</v>
      </c>
      <c r="K30">
        <f>(B30-mean1)/_std1</f>
        <v>-0.7245864416642811</v>
      </c>
      <c r="L30">
        <f>(C30-mean2)/_std2</f>
        <v>0.36686975307775971</v>
      </c>
      <c r="M30">
        <f>(D30-mean3)/_std3</f>
        <v>0.38181659473113227</v>
      </c>
      <c r="N30" s="33">
        <f>SUMPRODUCT(_AT1,K30:M30)</f>
        <v>-0.89659476974333385</v>
      </c>
      <c r="O30" s="14">
        <f>SUMPRODUCT(_AT2,K30:M30)</f>
        <v>-2.6600594708865166E-2</v>
      </c>
      <c r="P30" s="14">
        <f>SUMPRODUCT(_AT3,K30:M30)</f>
        <v>-3.0401350371688923E-2</v>
      </c>
      <c r="R30" s="3" t="s">
        <v>5</v>
      </c>
      <c r="S30" s="3"/>
      <c r="AB30" s="3" t="s">
        <v>5</v>
      </c>
      <c r="AC30" s="3"/>
    </row>
    <row r="31" spans="1:62" x14ac:dyDescent="0.2">
      <c r="A31">
        <v>55</v>
      </c>
      <c r="B31">
        <v>42</v>
      </c>
      <c r="C31">
        <v>51</v>
      </c>
      <c r="D31">
        <v>2.7</v>
      </c>
      <c r="E31">
        <f t="shared" si="0"/>
        <v>51.730000000000004</v>
      </c>
      <c r="F31">
        <f t="shared" si="1"/>
        <v>10.692899999999973</v>
      </c>
      <c r="G31">
        <f t="shared" si="2"/>
        <v>56.16</v>
      </c>
      <c r="H31">
        <f t="shared" si="3"/>
        <v>1.3455999999999921</v>
      </c>
      <c r="I31">
        <f t="shared" si="4"/>
        <v>56.439999999999984</v>
      </c>
      <c r="J31">
        <f t="shared" si="5"/>
        <v>2.0735999999999524</v>
      </c>
      <c r="K31">
        <f>(B31-mean1)/_std1</f>
        <v>0.40912023576962825</v>
      </c>
      <c r="L31">
        <f>(C31-mean2)/_std2</f>
        <v>0.13248074416696928</v>
      </c>
      <c r="M31">
        <f>(D31-mean3)/_std3</f>
        <v>1.3950990961329821</v>
      </c>
      <c r="N31" s="33">
        <f>SUMPRODUCT(_AT1,K31:M31)</f>
        <v>-0.26244933086110506</v>
      </c>
      <c r="O31" s="14">
        <f>SUMPRODUCT(_AT2,K31:M31)</f>
        <v>-0.89721262612377173</v>
      </c>
      <c r="P31" s="14">
        <f>SUMPRODUCT(_AT3,K31:M31)</f>
        <v>-1.1323312943952848</v>
      </c>
      <c r="R31" t="s">
        <v>6</v>
      </c>
      <c r="S31">
        <v>0.62238745283458885</v>
      </c>
      <c r="AB31" t="s">
        <v>6</v>
      </c>
      <c r="AC31">
        <v>0.7076775199527513</v>
      </c>
      <c r="AQ31" t="s">
        <v>70</v>
      </c>
      <c r="AR31">
        <f>(AR27-AR28)^2+(AS27-AS28)^2+(AT27-AT28)^2</f>
        <v>2.6060784195340954E-6</v>
      </c>
      <c r="AX31" t="s">
        <v>70</v>
      </c>
      <c r="AY31">
        <f>(AY27-AY28)^2+(AZ27-AZ28)^2+(BA27-BA28)^2</f>
        <v>2.0000778229825124E-6</v>
      </c>
      <c r="BE31" t="s">
        <v>70</v>
      </c>
      <c r="BF31">
        <f>(BF27-BF28)^2+(BG27-BG28)^2+(BH27-BH28)^2</f>
        <v>6.0837658088650892E-4</v>
      </c>
    </row>
    <row r="32" spans="1:62" x14ac:dyDescent="0.2">
      <c r="A32">
        <v>59</v>
      </c>
      <c r="B32">
        <v>33</v>
      </c>
      <c r="C32">
        <v>42</v>
      </c>
      <c r="D32">
        <v>2</v>
      </c>
      <c r="E32">
        <f t="shared" si="0"/>
        <v>75.399999999999991</v>
      </c>
      <c r="F32">
        <f t="shared" si="1"/>
        <v>268.9599999999997</v>
      </c>
      <c r="G32">
        <f t="shared" si="2"/>
        <v>69.84</v>
      </c>
      <c r="H32">
        <f t="shared" si="3"/>
        <v>117.50560000000007</v>
      </c>
      <c r="I32">
        <f t="shared" si="4"/>
        <v>76.149999999999991</v>
      </c>
      <c r="J32">
        <f t="shared" si="5"/>
        <v>294.12249999999972</v>
      </c>
      <c r="K32">
        <f>(B32-mean1)/_std1</f>
        <v>-0.6112157739208901</v>
      </c>
      <c r="L32">
        <f>(C32-mean2)/_std2</f>
        <v>-1.9770203360301446</v>
      </c>
      <c r="M32">
        <f>(D32-mean3)/_std3</f>
        <v>-0.96922674047133262</v>
      </c>
      <c r="N32" s="33">
        <f>SUMPRODUCT(_AT1,K32:M32)</f>
        <v>0.64483606516957548</v>
      </c>
      <c r="O32" s="14">
        <f>SUMPRODUCT(_AT2,K32:M32)</f>
        <v>-0.70149892253199908</v>
      </c>
      <c r="P32" s="14">
        <f>SUMPRODUCT(_AT3,K32:M32)</f>
        <v>2.0588349113566822</v>
      </c>
      <c r="R32" t="s">
        <v>7</v>
      </c>
      <c r="S32">
        <v>0.38736614144592751</v>
      </c>
      <c r="U32" t="s">
        <v>29</v>
      </c>
      <c r="V32">
        <f>1/(1-S32)</f>
        <v>1.6322963317113783</v>
      </c>
      <c r="AB32" t="s">
        <v>7</v>
      </c>
      <c r="AC32">
        <v>0.5008074722464767</v>
      </c>
      <c r="AE32" t="s">
        <v>29</v>
      </c>
      <c r="AF32">
        <f>1/(1-AC32)</f>
        <v>2.0032351135146613</v>
      </c>
    </row>
    <row r="33" spans="1:60" x14ac:dyDescent="0.2">
      <c r="A33">
        <v>83</v>
      </c>
      <c r="B33">
        <v>36</v>
      </c>
      <c r="C33">
        <v>49</v>
      </c>
      <c r="D33">
        <v>1.8</v>
      </c>
      <c r="E33">
        <f t="shared" si="0"/>
        <v>71.600000000000009</v>
      </c>
      <c r="F33">
        <f t="shared" si="1"/>
        <v>129.95999999999981</v>
      </c>
      <c r="G33">
        <f t="shared" si="2"/>
        <v>65.28</v>
      </c>
      <c r="H33">
        <f t="shared" si="3"/>
        <v>313.99839999999995</v>
      </c>
      <c r="I33">
        <f t="shared" si="4"/>
        <v>65.899999999999977</v>
      </c>
      <c r="J33">
        <f t="shared" si="5"/>
        <v>292.41000000000076</v>
      </c>
      <c r="K33">
        <f>(B33-mean1)/_std1</f>
        <v>-0.27110377069071734</v>
      </c>
      <c r="L33">
        <f>(C33-mean2)/_std2</f>
        <v>-0.33629727365461154</v>
      </c>
      <c r="M33">
        <f>(D33-mean3)/_std3</f>
        <v>-1.6447484080725652</v>
      </c>
      <c r="N33" s="33">
        <f>SUMPRODUCT(_AT1,K33:M33)</f>
        <v>0.55531896712685525</v>
      </c>
      <c r="O33" s="14">
        <f>SUMPRODUCT(_AT2,K33:M33)</f>
        <v>0.93481780746104837</v>
      </c>
      <c r="P33" s="14">
        <f>SUMPRODUCT(_AT3,K33:M33)</f>
        <v>1.3201768376355529</v>
      </c>
      <c r="R33" t="s">
        <v>8</v>
      </c>
      <c r="S33">
        <v>0.35887154337364513</v>
      </c>
      <c r="U33" t="s">
        <v>30</v>
      </c>
      <c r="AB33" t="s">
        <v>8</v>
      </c>
      <c r="AC33">
        <v>0.47758921514166169</v>
      </c>
      <c r="AE33" t="s">
        <v>30</v>
      </c>
    </row>
    <row r="34" spans="1:60" x14ac:dyDescent="0.2">
      <c r="A34">
        <v>76</v>
      </c>
      <c r="B34">
        <v>31</v>
      </c>
      <c r="C34">
        <v>47</v>
      </c>
      <c r="D34">
        <v>2</v>
      </c>
      <c r="E34">
        <f t="shared" si="0"/>
        <v>75.47999999999999</v>
      </c>
      <c r="F34">
        <f t="shared" si="1"/>
        <v>0.27040000000001063</v>
      </c>
      <c r="G34">
        <f t="shared" si="2"/>
        <v>72.88</v>
      </c>
      <c r="H34">
        <f t="shared" si="3"/>
        <v>9.7344000000000293</v>
      </c>
      <c r="I34">
        <f t="shared" si="4"/>
        <v>74.089999999999975</v>
      </c>
      <c r="J34">
        <f t="shared" si="5"/>
        <v>3.6481000000000954</v>
      </c>
      <c r="K34">
        <f>(B34-mean1)/_std1</f>
        <v>-0.83795710940767199</v>
      </c>
      <c r="L34">
        <f>(C34-mean2)/_std2</f>
        <v>-0.80507529147619239</v>
      </c>
      <c r="M34">
        <f>(D34-mean3)/_std3</f>
        <v>-0.96922674047133262</v>
      </c>
      <c r="N34" s="33">
        <f>SUMPRODUCT(_AT1,K34:M34)</f>
        <v>-4.6524976910633509E-4</v>
      </c>
      <c r="O34" s="14">
        <f>SUMPRODUCT(_AT2,K34:M34)</f>
        <v>0.11572954649826339</v>
      </c>
      <c r="P34" s="14">
        <f>SUMPRODUCT(_AT3,K34:M34)</f>
        <v>1.5096981378028502</v>
      </c>
      <c r="R34" t="s">
        <v>9</v>
      </c>
      <c r="S34">
        <v>7.1407607299618476</v>
      </c>
      <c r="AB34" t="s">
        <v>9</v>
      </c>
      <c r="AC34">
        <v>3.1177514030792737</v>
      </c>
    </row>
    <row r="35" spans="1:60" ht="16" thickBot="1" x14ac:dyDescent="0.25">
      <c r="A35">
        <v>47</v>
      </c>
      <c r="B35">
        <v>40</v>
      </c>
      <c r="C35">
        <v>48</v>
      </c>
      <c r="D35">
        <v>2.2000000000000002</v>
      </c>
      <c r="E35">
        <f t="shared" si="0"/>
        <v>62.08</v>
      </c>
      <c r="F35">
        <f t="shared" si="1"/>
        <v>227.40639999999996</v>
      </c>
      <c r="G35">
        <f t="shared" si="2"/>
        <v>59.2</v>
      </c>
      <c r="H35">
        <f t="shared" si="3"/>
        <v>148.84000000000006</v>
      </c>
      <c r="I35">
        <f t="shared" si="4"/>
        <v>61.739999999999988</v>
      </c>
      <c r="J35">
        <f t="shared" si="5"/>
        <v>217.26759999999965</v>
      </c>
      <c r="K35">
        <f>(B35-mean1)/_std1</f>
        <v>0.1823789002828464</v>
      </c>
      <c r="L35">
        <f>(C35-mean2)/_std2</f>
        <v>-0.57068628256540199</v>
      </c>
      <c r="M35">
        <f>(D35-mean3)/_std3</f>
        <v>-0.29370507287009945</v>
      </c>
      <c r="N35" s="33">
        <f>SUMPRODUCT(_AT1,K35:M35)</f>
        <v>0.49013929688893554</v>
      </c>
      <c r="O35" s="14">
        <f>SUMPRODUCT(_AT2,K35:M35)</f>
        <v>-0.18716587453593117</v>
      </c>
      <c r="P35" s="14">
        <f>SUMPRODUCT(_AT3,K35:M35)</f>
        <v>0.40079370117305402</v>
      </c>
      <c r="R35" s="1" t="s">
        <v>10</v>
      </c>
      <c r="S35" s="1">
        <v>46</v>
      </c>
      <c r="AB35" s="1" t="s">
        <v>10</v>
      </c>
      <c r="AC35" s="1">
        <v>46</v>
      </c>
      <c r="AQ35" t="s">
        <v>114</v>
      </c>
    </row>
    <row r="36" spans="1:60" x14ac:dyDescent="0.2">
      <c r="A36">
        <v>36</v>
      </c>
      <c r="B36">
        <v>53</v>
      </c>
      <c r="C36">
        <v>57</v>
      </c>
      <c r="D36">
        <v>2.8</v>
      </c>
      <c r="E36">
        <f t="shared" si="0"/>
        <v>35.200000000000017</v>
      </c>
      <c r="F36">
        <f t="shared" si="1"/>
        <v>0.6399999999999727</v>
      </c>
      <c r="G36">
        <f t="shared" si="2"/>
        <v>39.44</v>
      </c>
      <c r="H36">
        <f t="shared" si="3"/>
        <v>11.833599999999985</v>
      </c>
      <c r="I36">
        <f t="shared" si="4"/>
        <v>36.949999999999982</v>
      </c>
      <c r="J36">
        <f t="shared" si="5"/>
        <v>0.90249999999996489</v>
      </c>
      <c r="K36">
        <f>(B36-mean1)/_std1</f>
        <v>1.6561975809469285</v>
      </c>
      <c r="L36">
        <f>(C36-mean2)/_std2</f>
        <v>1.5388147976317119</v>
      </c>
      <c r="M36">
        <f>(D36-mean3)/_std3</f>
        <v>1.7328599299335972</v>
      </c>
      <c r="N36" s="33">
        <f>SUMPRODUCT(_AT1,K36:M36)</f>
        <v>9.3551437278771021E-2</v>
      </c>
      <c r="O36" s="14">
        <f>SUMPRODUCT(_AT2,K36:M36)</f>
        <v>-0.13491000103384443</v>
      </c>
      <c r="P36" s="14">
        <f>SUMPRODUCT(_AT3,K36:M36)</f>
        <v>-2.8454267236314834</v>
      </c>
      <c r="AQ36" s="30">
        <v>0.83190642012704163</v>
      </c>
      <c r="AR36" s="30">
        <v>1.5004205037917566E-2</v>
      </c>
      <c r="AS36" s="30">
        <v>-0.56228207457108248</v>
      </c>
    </row>
    <row r="37" spans="1:60" ht="16" thickBot="1" x14ac:dyDescent="0.25">
      <c r="A37">
        <v>80</v>
      </c>
      <c r="B37">
        <v>34</v>
      </c>
      <c r="C37">
        <v>49</v>
      </c>
      <c r="D37">
        <v>2.2000000000000002</v>
      </c>
      <c r="E37">
        <f t="shared" si="0"/>
        <v>68.48</v>
      </c>
      <c r="F37">
        <f t="shared" si="1"/>
        <v>132.71039999999991</v>
      </c>
      <c r="G37">
        <f t="shared" si="2"/>
        <v>68.319999999999993</v>
      </c>
      <c r="H37">
        <f t="shared" si="3"/>
        <v>136.42240000000015</v>
      </c>
      <c r="I37">
        <f t="shared" si="4"/>
        <v>68.439999999999969</v>
      </c>
      <c r="J37">
        <f t="shared" si="5"/>
        <v>133.63360000000071</v>
      </c>
      <c r="K37">
        <f>(B37-mean1)/_std1</f>
        <v>-0.49784510617749922</v>
      </c>
      <c r="L37">
        <f>(C37-mean2)/_std2</f>
        <v>-0.33629727365461154</v>
      </c>
      <c r="M37">
        <f>(D37-mean3)/_std3</f>
        <v>-0.29370507287009945</v>
      </c>
      <c r="N37" s="33">
        <f>SUMPRODUCT(_AT1,K37:M37)</f>
        <v>-0.16707816965777397</v>
      </c>
      <c r="O37" s="14">
        <f>SUMPRODUCT(_AT2,K37:M37)</f>
        <v>-3.3245986496880486E-2</v>
      </c>
      <c r="P37" s="14">
        <f>SUMPRODUCT(_AT3,K37:M37)</f>
        <v>0.64794559428615905</v>
      </c>
      <c r="R37" t="s">
        <v>11</v>
      </c>
      <c r="AB37" t="s">
        <v>11</v>
      </c>
      <c r="AP37" t="s">
        <v>122</v>
      </c>
      <c r="AQ37" s="30">
        <v>-0.38967163550988926</v>
      </c>
      <c r="AR37" s="30">
        <v>0.70022954261546722</v>
      </c>
      <c r="AS37" s="30">
        <v>-0.57735587961796098</v>
      </c>
    </row>
    <row r="38" spans="1:60" x14ac:dyDescent="0.2">
      <c r="A38">
        <v>82</v>
      </c>
      <c r="B38">
        <v>29</v>
      </c>
      <c r="C38">
        <v>48</v>
      </c>
      <c r="D38">
        <v>2.5</v>
      </c>
      <c r="E38">
        <f t="shared" si="0"/>
        <v>70.569999999999993</v>
      </c>
      <c r="F38">
        <f t="shared" si="1"/>
        <v>130.64490000000015</v>
      </c>
      <c r="G38">
        <f t="shared" si="2"/>
        <v>75.92</v>
      </c>
      <c r="H38">
        <f t="shared" si="3"/>
        <v>36.966399999999979</v>
      </c>
      <c r="I38">
        <f t="shared" si="4"/>
        <v>75.70999999999998</v>
      </c>
      <c r="J38">
        <f t="shared" si="5"/>
        <v>39.564100000000259</v>
      </c>
      <c r="K38">
        <f>(B38-mean1)/_std1</f>
        <v>-1.0646984448944539</v>
      </c>
      <c r="L38">
        <f>(C38-mean2)/_std2</f>
        <v>-0.57068628256540199</v>
      </c>
      <c r="M38">
        <f>(D38-mean3)/_std3</f>
        <v>0.71957742853174889</v>
      </c>
      <c r="N38" s="33">
        <f>SUMPRODUCT(_AT1,K38:M38)</f>
        <v>-0.94763952602279389</v>
      </c>
      <c r="O38" s="14">
        <f>SUMPRODUCT(_AT2,K38:M38)</f>
        <v>-0.92937356907339796</v>
      </c>
      <c r="P38" s="14">
        <f>SUMPRODUCT(_AT3,K38:M38)</f>
        <v>0.50221006407650537</v>
      </c>
      <c r="R38" s="2"/>
      <c r="S38" s="2" t="s">
        <v>16</v>
      </c>
      <c r="T38" s="2" t="s">
        <v>17</v>
      </c>
      <c r="U38" s="2" t="s">
        <v>18</v>
      </c>
      <c r="V38" s="2" t="s">
        <v>19</v>
      </c>
      <c r="W38" s="2" t="s">
        <v>20</v>
      </c>
      <c r="AB38" s="2"/>
      <c r="AC38" s="2" t="s">
        <v>16</v>
      </c>
      <c r="AD38" s="2" t="s">
        <v>17</v>
      </c>
      <c r="AE38" s="2" t="s">
        <v>18</v>
      </c>
      <c r="AF38" s="2" t="s">
        <v>19</v>
      </c>
      <c r="AG38" s="2" t="s">
        <v>20</v>
      </c>
      <c r="AQ38" s="30">
        <v>-0.39507952867034118</v>
      </c>
      <c r="AR38" s="30">
        <v>-0.71401241939078941</v>
      </c>
      <c r="AS38" s="30">
        <v>-0.59193055546073492</v>
      </c>
    </row>
    <row r="39" spans="1:60" x14ac:dyDescent="0.2">
      <c r="A39">
        <v>64</v>
      </c>
      <c r="B39">
        <v>30</v>
      </c>
      <c r="C39">
        <v>51</v>
      </c>
      <c r="D39">
        <v>2.4</v>
      </c>
      <c r="E39">
        <f t="shared" si="0"/>
        <v>69.460000000000008</v>
      </c>
      <c r="F39">
        <f t="shared" si="1"/>
        <v>29.811600000000087</v>
      </c>
      <c r="G39">
        <f t="shared" si="2"/>
        <v>74.400000000000006</v>
      </c>
      <c r="H39">
        <f t="shared" si="3"/>
        <v>108.16000000000012</v>
      </c>
      <c r="I39">
        <f t="shared" si="4"/>
        <v>71.679999999999993</v>
      </c>
      <c r="J39">
        <f t="shared" si="5"/>
        <v>58.982399999999885</v>
      </c>
      <c r="K39">
        <f>(B39-mean1)/_std1</f>
        <v>-0.95132777715106287</v>
      </c>
      <c r="L39">
        <f>(C39-mean2)/_std2</f>
        <v>0.13248074416696928</v>
      </c>
      <c r="M39">
        <f>(D39-mean3)/_std3</f>
        <v>0.38181659473113227</v>
      </c>
      <c r="N39" s="33">
        <f>SUMPRODUCT(_AT1,K39:M39)</f>
        <v>-0.99388759399515725</v>
      </c>
      <c r="O39" s="14">
        <f>SUMPRODUCT(_AT2,K39:M39)</f>
        <v>-0.19412877670077555</v>
      </c>
      <c r="P39" s="14">
        <f>SUMPRODUCT(_AT3,K39:M39)</f>
        <v>0.23241711054930803</v>
      </c>
      <c r="R39" t="s">
        <v>12</v>
      </c>
      <c r="S39">
        <v>2</v>
      </c>
      <c r="T39">
        <v>1386.3665782288249</v>
      </c>
      <c r="U39">
        <v>693.18328911441245</v>
      </c>
      <c r="V39">
        <v>13.594371131794635</v>
      </c>
      <c r="W39">
        <v>2.6596310865942435E-5</v>
      </c>
      <c r="AB39" t="s">
        <v>12</v>
      </c>
      <c r="AC39">
        <v>2</v>
      </c>
      <c r="AD39">
        <v>419.32827393576724</v>
      </c>
      <c r="AE39">
        <v>209.66413696788362</v>
      </c>
      <c r="AF39">
        <v>21.569554940565222</v>
      </c>
      <c r="AG39">
        <v>3.2565941031495956E-7</v>
      </c>
    </row>
    <row r="40" spans="1:60" x14ac:dyDescent="0.2">
      <c r="A40">
        <v>37</v>
      </c>
      <c r="B40">
        <v>47</v>
      </c>
      <c r="C40">
        <v>60</v>
      </c>
      <c r="D40">
        <v>2.4</v>
      </c>
      <c r="E40">
        <f t="shared" si="0"/>
        <v>46.120000000000012</v>
      </c>
      <c r="F40">
        <f t="shared" si="1"/>
        <v>83.174400000000219</v>
      </c>
      <c r="G40">
        <f t="shared" si="2"/>
        <v>48.56</v>
      </c>
      <c r="H40">
        <f t="shared" si="3"/>
        <v>133.63360000000006</v>
      </c>
      <c r="I40">
        <f t="shared" si="4"/>
        <v>41.809999999999988</v>
      </c>
      <c r="J40">
        <f t="shared" si="5"/>
        <v>23.136099999999885</v>
      </c>
      <c r="K40">
        <f>(B40-mean1)/_std1</f>
        <v>0.97597357448658295</v>
      </c>
      <c r="L40">
        <f>(C40-mean2)/_std2</f>
        <v>2.2419818243640832</v>
      </c>
      <c r="M40">
        <f>(D40-mean3)/_std3</f>
        <v>0.38181659473113227</v>
      </c>
      <c r="N40" s="33">
        <f>SUMPRODUCT(_AT1,K40:M40)</f>
        <v>-0.2125659620785621</v>
      </c>
      <c r="O40" s="14">
        <f>SUMPRODUCT(_AT2,K40:M40)</f>
        <v>1.3119238244823104</v>
      </c>
      <c r="P40" s="14">
        <f>SUMPRODUCT(_AT3,K40:M40)</f>
        <v>-2.0692027434854023</v>
      </c>
      <c r="R40" t="s">
        <v>13</v>
      </c>
      <c r="S40">
        <v>43</v>
      </c>
      <c r="T40">
        <v>2192.5899435103061</v>
      </c>
      <c r="U40">
        <v>50.990463802565259</v>
      </c>
      <c r="AB40" t="s">
        <v>13</v>
      </c>
      <c r="AC40">
        <v>43</v>
      </c>
      <c r="AD40">
        <v>417.97607389031953</v>
      </c>
      <c r="AE40">
        <v>9.72037381140278</v>
      </c>
      <c r="AQ40" t="s">
        <v>110</v>
      </c>
    </row>
    <row r="41" spans="1:60" ht="16" thickBot="1" x14ac:dyDescent="0.25">
      <c r="A41">
        <v>42</v>
      </c>
      <c r="B41">
        <v>47</v>
      </c>
      <c r="C41">
        <v>50</v>
      </c>
      <c r="D41">
        <v>2.6</v>
      </c>
      <c r="E41">
        <f t="shared" si="0"/>
        <v>47.82</v>
      </c>
      <c r="F41">
        <f t="shared" si="1"/>
        <v>33.872400000000006</v>
      </c>
      <c r="G41">
        <f t="shared" si="2"/>
        <v>48.56</v>
      </c>
      <c r="H41">
        <f t="shared" si="3"/>
        <v>43.033600000000028</v>
      </c>
      <c r="I41">
        <f t="shared" si="4"/>
        <v>51.009999999999991</v>
      </c>
      <c r="J41">
        <f t="shared" si="5"/>
        <v>81.18009999999984</v>
      </c>
      <c r="K41">
        <f>(B41-mean1)/_std1</f>
        <v>0.97597357448658295</v>
      </c>
      <c r="L41">
        <f>(C41-mean2)/_std2</f>
        <v>-0.10190826474382113</v>
      </c>
      <c r="M41">
        <f>(D41-mean3)/_std3</f>
        <v>1.0573382623323655</v>
      </c>
      <c r="N41" s="33">
        <f>SUMPRODUCT(_AT1,K41:M41)</f>
        <v>0.4338967403570369</v>
      </c>
      <c r="O41" s="14">
        <f>SUMPRODUCT(_AT2,K41:M41)</f>
        <v>-0.81166812078950135</v>
      </c>
      <c r="P41" s="14">
        <f>SUMPRODUCT(_AT3,K41:M41)</f>
        <v>-1.1158059352896472</v>
      </c>
      <c r="R41" s="1" t="s">
        <v>14</v>
      </c>
      <c r="S41" s="1">
        <v>45</v>
      </c>
      <c r="T41" s="1">
        <v>3578.9565217391309</v>
      </c>
      <c r="U41" s="1"/>
      <c r="V41" s="1"/>
      <c r="W41" s="1"/>
      <c r="AB41" s="1" t="s">
        <v>14</v>
      </c>
      <c r="AC41" s="1">
        <v>45</v>
      </c>
      <c r="AD41" s="1">
        <v>837.30434782608677</v>
      </c>
      <c r="AE41" s="1"/>
      <c r="AF41" s="1"/>
      <c r="AG41" s="1"/>
      <c r="AQ41" s="30">
        <v>0.83190642012704163</v>
      </c>
      <c r="AR41" s="30">
        <v>-0.38967163550988926</v>
      </c>
      <c r="AS41" s="30">
        <v>-0.39507952867034118</v>
      </c>
    </row>
    <row r="42" spans="1:60" ht="16" thickBot="1" x14ac:dyDescent="0.25">
      <c r="A42">
        <v>66</v>
      </c>
      <c r="B42">
        <v>43</v>
      </c>
      <c r="C42">
        <v>53</v>
      </c>
      <c r="D42">
        <v>2.2999999999999998</v>
      </c>
      <c r="E42">
        <f t="shared" si="0"/>
        <v>55.11</v>
      </c>
      <c r="F42">
        <f t="shared" si="1"/>
        <v>118.59210000000002</v>
      </c>
      <c r="G42">
        <f t="shared" si="2"/>
        <v>54.64</v>
      </c>
      <c r="H42">
        <f t="shared" si="3"/>
        <v>129.0496</v>
      </c>
      <c r="I42">
        <f t="shared" si="4"/>
        <v>53.329999999999984</v>
      </c>
      <c r="J42">
        <f t="shared" si="5"/>
        <v>160.52890000000039</v>
      </c>
      <c r="K42">
        <f>(B42-mean1)/_std1</f>
        <v>0.52249090351301919</v>
      </c>
      <c r="L42">
        <f>(C42-mean2)/_std2</f>
        <v>0.60125876198855011</v>
      </c>
      <c r="M42">
        <f>(D42-mean3)/_std3</f>
        <v>4.4055760930515664E-2</v>
      </c>
      <c r="N42" s="33">
        <f>SUMPRODUCT(_AT1,K42:M42)</f>
        <v>0.18296452267808838</v>
      </c>
      <c r="O42" s="14">
        <f>SUMPRODUCT(_AT2,K42:M42)</f>
        <v>0.39740234809744091</v>
      </c>
      <c r="P42" s="14">
        <f>SUMPRODUCT(_AT3,K42:M42)</f>
        <v>-0.6670055016165708</v>
      </c>
      <c r="AP42" t="s">
        <v>123</v>
      </c>
      <c r="AQ42" s="30">
        <v>1.5004205037917566E-2</v>
      </c>
      <c r="AR42" s="30">
        <v>0.70022954261546722</v>
      </c>
      <c r="AS42" s="30">
        <v>-0.71401241939078941</v>
      </c>
    </row>
    <row r="43" spans="1:60" x14ac:dyDescent="0.2">
      <c r="A43">
        <v>83</v>
      </c>
      <c r="B43">
        <v>22</v>
      </c>
      <c r="C43">
        <v>51</v>
      </c>
      <c r="D43">
        <v>2</v>
      </c>
      <c r="E43">
        <f t="shared" si="0"/>
        <v>83.980000000000018</v>
      </c>
      <c r="F43">
        <f t="shared" si="1"/>
        <v>0.96040000000003567</v>
      </c>
      <c r="G43">
        <f t="shared" si="2"/>
        <v>86.56</v>
      </c>
      <c r="H43">
        <f t="shared" si="3"/>
        <v>12.673600000000016</v>
      </c>
      <c r="I43">
        <f t="shared" si="4"/>
        <v>81.839999999999989</v>
      </c>
      <c r="J43">
        <f t="shared" si="5"/>
        <v>1.345600000000025</v>
      </c>
      <c r="K43">
        <f>(B43-mean1)/_std1</f>
        <v>-1.8582931190981904</v>
      </c>
      <c r="L43">
        <f>(C43-mean2)/_std2</f>
        <v>0.13248074416696928</v>
      </c>
      <c r="M43">
        <f>(D43-mean3)/_std3</f>
        <v>-0.96922674047133262</v>
      </c>
      <c r="N43" s="33">
        <f>SUMPRODUCT(_AT1,K43:M43)</f>
        <v>-1.214628320708695</v>
      </c>
      <c r="O43" s="14">
        <f>SUMPRODUCT(_AT2,K43:M43)</f>
        <v>0.75692464981607799</v>
      </c>
      <c r="P43" s="14">
        <f>SUMPRODUCT(_AT3,K43:M43)</f>
        <v>1.542111296441329</v>
      </c>
      <c r="R43" s="2"/>
      <c r="S43" s="2" t="s">
        <v>21</v>
      </c>
      <c r="T43" s="2" t="s">
        <v>9</v>
      </c>
      <c r="U43" s="2" t="s">
        <v>22</v>
      </c>
      <c r="V43" s="2" t="s">
        <v>23</v>
      </c>
      <c r="W43" s="2" t="s">
        <v>24</v>
      </c>
      <c r="X43" s="2" t="s">
        <v>25</v>
      </c>
      <c r="Y43" s="2" t="s">
        <v>26</v>
      </c>
      <c r="Z43" s="2" t="s">
        <v>27</v>
      </c>
      <c r="AB43" s="2"/>
      <c r="AC43" s="2" t="s">
        <v>21</v>
      </c>
      <c r="AD43" s="2" t="s">
        <v>9</v>
      </c>
      <c r="AE43" s="2" t="s">
        <v>22</v>
      </c>
      <c r="AF43" s="2" t="s">
        <v>23</v>
      </c>
      <c r="AG43" s="2" t="s">
        <v>24</v>
      </c>
      <c r="AH43" s="2" t="s">
        <v>25</v>
      </c>
      <c r="AI43" s="2" t="s">
        <v>26</v>
      </c>
      <c r="AJ43" s="2" t="s">
        <v>27</v>
      </c>
      <c r="AQ43" s="30">
        <v>-0.56228207457108248</v>
      </c>
      <c r="AR43" s="30">
        <v>-0.57735587961796098</v>
      </c>
      <c r="AS43" s="30">
        <v>-0.59193055546073492</v>
      </c>
    </row>
    <row r="44" spans="1:60" x14ac:dyDescent="0.2">
      <c r="A44">
        <v>37</v>
      </c>
      <c r="B44">
        <v>44</v>
      </c>
      <c r="C44">
        <v>51</v>
      </c>
      <c r="D44">
        <v>2.6</v>
      </c>
      <c r="E44">
        <f t="shared" si="0"/>
        <v>50.800000000000004</v>
      </c>
      <c r="F44">
        <f t="shared" si="1"/>
        <v>190.44000000000011</v>
      </c>
      <c r="G44">
        <f t="shared" si="2"/>
        <v>53.120000000000005</v>
      </c>
      <c r="H44">
        <f t="shared" si="3"/>
        <v>259.85440000000017</v>
      </c>
      <c r="I44">
        <f t="shared" si="4"/>
        <v>53.899999999999991</v>
      </c>
      <c r="J44">
        <f t="shared" si="5"/>
        <v>285.60999999999973</v>
      </c>
      <c r="K44">
        <f>(B44-mean1)/_std1</f>
        <v>0.63586157125641007</v>
      </c>
      <c r="L44">
        <f>(C44-mean2)/_std2</f>
        <v>0.13248074416696928</v>
      </c>
      <c r="M44">
        <f>(D44-mean3)/_std3</f>
        <v>1.0573382623323655</v>
      </c>
      <c r="N44" s="33">
        <f>SUMPRODUCT(_AT1,K44:M44)</f>
        <v>5.9620632859777256E-2</v>
      </c>
      <c r="O44" s="14">
        <f>SUMPRODUCT(_AT2,K44:M44)</f>
        <v>-0.65264512251812823</v>
      </c>
      <c r="P44" s="14">
        <f>SUMPRODUCT(_AT3,K44:M44)</f>
        <v>-1.0598929249393305</v>
      </c>
      <c r="R44" t="s">
        <v>15</v>
      </c>
      <c r="S44">
        <v>-20.218176845051897</v>
      </c>
      <c r="T44">
        <v>12.493835908852969</v>
      </c>
      <c r="U44">
        <v>-1.6182521519052095</v>
      </c>
      <c r="V44">
        <v>0.11292119866103026</v>
      </c>
      <c r="W44">
        <v>-45.414398260868161</v>
      </c>
      <c r="X44">
        <v>4.9780445707643679</v>
      </c>
      <c r="Y44">
        <v>-45.414398260868161</v>
      </c>
      <c r="Z44">
        <v>4.9780445707643679</v>
      </c>
      <c r="AB44" t="s">
        <v>15</v>
      </c>
      <c r="AC44">
        <v>28.393444791719823</v>
      </c>
      <c r="AD44">
        <v>3.5805614049155006</v>
      </c>
      <c r="AE44">
        <v>7.9298862889882189</v>
      </c>
      <c r="AF44">
        <v>5.9600547797079022E-10</v>
      </c>
      <c r="AG44">
        <v>21.172554537570512</v>
      </c>
      <c r="AH44">
        <v>35.614335045869133</v>
      </c>
      <c r="AI44">
        <v>21.172554537570512</v>
      </c>
      <c r="AJ44">
        <v>35.614335045869133</v>
      </c>
    </row>
    <row r="45" spans="1:60" x14ac:dyDescent="0.2">
      <c r="A45">
        <v>68</v>
      </c>
      <c r="B45">
        <v>45</v>
      </c>
      <c r="C45">
        <v>51</v>
      </c>
      <c r="D45">
        <v>2.2000000000000002</v>
      </c>
      <c r="E45">
        <f t="shared" si="0"/>
        <v>55.06</v>
      </c>
      <c r="F45">
        <f t="shared" si="1"/>
        <v>167.44359999999995</v>
      </c>
      <c r="G45">
        <f t="shared" si="2"/>
        <v>51.599999999999994</v>
      </c>
      <c r="H45">
        <f t="shared" si="3"/>
        <v>268.96000000000021</v>
      </c>
      <c r="I45">
        <f t="shared" si="4"/>
        <v>52.629999999999981</v>
      </c>
      <c r="J45">
        <f t="shared" si="5"/>
        <v>236.23690000000059</v>
      </c>
      <c r="K45">
        <f>(B45-mean1)/_std1</f>
        <v>0.74923223899980107</v>
      </c>
      <c r="L45">
        <f>(C45-mean2)/_std2</f>
        <v>0.13248074416696928</v>
      </c>
      <c r="M45">
        <f>(D45-mean3)/_std3</f>
        <v>-0.29370507287009945</v>
      </c>
      <c r="N45" s="33">
        <f>SUMPRODUCT(_AT1,K45:M45)</f>
        <v>0.68770398329458959</v>
      </c>
      <c r="O45" s="14">
        <f>SUMPRODUCT(_AT2,K45:M45)</f>
        <v>0.31371763469569247</v>
      </c>
      <c r="P45" s="14">
        <f>SUMPRODUCT(_AT3,K45:M45)</f>
        <v>-0.32391538733567427</v>
      </c>
      <c r="R45" t="s">
        <v>32</v>
      </c>
      <c r="S45">
        <v>0.69854934992279794</v>
      </c>
      <c r="T45">
        <v>0.33263429026477553</v>
      </c>
      <c r="U45">
        <v>2.1000521304245439</v>
      </c>
      <c r="V45">
        <v>4.1627504862968713E-2</v>
      </c>
      <c r="W45">
        <v>2.7728371550141073E-2</v>
      </c>
      <c r="X45">
        <v>1.3693703282954548</v>
      </c>
      <c r="Y45">
        <v>2.7728371550141073E-2</v>
      </c>
      <c r="Z45">
        <v>1.3693703282954548</v>
      </c>
      <c r="AB45" t="s">
        <v>32</v>
      </c>
      <c r="AC45">
        <v>0.13316530779663943</v>
      </c>
      <c r="AD45">
        <v>6.3410477229305207E-2</v>
      </c>
      <c r="AE45">
        <v>2.1000521304245439</v>
      </c>
      <c r="AF45">
        <v>4.1627504862968713E-2</v>
      </c>
      <c r="AG45">
        <v>5.2858930189859932E-3</v>
      </c>
      <c r="AH45">
        <v>0.2610447225742929</v>
      </c>
      <c r="AI45">
        <v>5.2858930189859932E-3</v>
      </c>
      <c r="AJ45">
        <v>0.2610447225742929</v>
      </c>
    </row>
    <row r="46" spans="1:60" ht="16" thickBot="1" x14ac:dyDescent="0.25">
      <c r="A46">
        <v>59</v>
      </c>
      <c r="B46">
        <v>37</v>
      </c>
      <c r="C46">
        <v>53</v>
      </c>
      <c r="D46">
        <v>2.1</v>
      </c>
      <c r="E46">
        <f t="shared" si="0"/>
        <v>64.650000000000006</v>
      </c>
      <c r="F46">
        <f t="shared" si="1"/>
        <v>31.922500000000063</v>
      </c>
      <c r="G46">
        <f t="shared" si="2"/>
        <v>63.76</v>
      </c>
      <c r="H46">
        <f t="shared" si="3"/>
        <v>22.657599999999981</v>
      </c>
      <c r="I46">
        <f t="shared" si="4"/>
        <v>60.949999999999974</v>
      </c>
      <c r="J46">
        <f t="shared" si="5"/>
        <v>3.8024999999999003</v>
      </c>
      <c r="K46">
        <f>(B46-mean1)/_std1</f>
        <v>-0.1577331029473264</v>
      </c>
      <c r="L46">
        <f>(C46-mean2)/_std2</f>
        <v>0.60125876198855011</v>
      </c>
      <c r="M46">
        <f>(D46-mean3)/_std3</f>
        <v>-0.631465906670716</v>
      </c>
      <c r="N46" s="33">
        <f>SUMPRODUCT(_AT1,K46:M46)</f>
        <v>-0.11603341337831385</v>
      </c>
      <c r="O46" s="14">
        <f>SUMPRODUCT(_AT2,K46:M46)</f>
        <v>0.86952698786765215</v>
      </c>
      <c r="P46" s="14">
        <f>SUMPRODUCT(_AT3,K46:M46)</f>
        <v>0.11533417983796473</v>
      </c>
      <c r="R46" s="1" t="s">
        <v>33</v>
      </c>
      <c r="S46" s="1">
        <v>10.222449078436275</v>
      </c>
      <c r="T46" s="1">
        <v>4.7933491315400358</v>
      </c>
      <c r="U46" s="1">
        <v>2.1326318609201635</v>
      </c>
      <c r="V46" s="1">
        <v>3.8705282189945157E-2</v>
      </c>
      <c r="W46" s="1">
        <v>0.55573927668401701</v>
      </c>
      <c r="X46" s="1">
        <v>19.889158880188532</v>
      </c>
      <c r="Y46" s="1">
        <v>0.55573927668401701</v>
      </c>
      <c r="Z46" s="1">
        <v>19.889158880188532</v>
      </c>
      <c r="AB46" s="1" t="s">
        <v>33</v>
      </c>
      <c r="AC46" s="1">
        <v>7.4023916921294957</v>
      </c>
      <c r="AD46" s="1">
        <v>1.8891637569907191</v>
      </c>
      <c r="AE46" s="1">
        <v>3.9183430577351803</v>
      </c>
      <c r="AF46" s="1">
        <v>3.1470493280423496E-4</v>
      </c>
      <c r="AG46" s="1">
        <v>3.5925298803423824</v>
      </c>
      <c r="AH46" s="1">
        <v>11.212253503916608</v>
      </c>
      <c r="AI46" s="1">
        <v>3.5925298803423824</v>
      </c>
      <c r="AJ46" s="1">
        <v>11.212253503916608</v>
      </c>
    </row>
    <row r="47" spans="1:60" x14ac:dyDescent="0.2">
      <c r="A47">
        <v>92</v>
      </c>
      <c r="B47">
        <v>28</v>
      </c>
      <c r="C47">
        <v>46</v>
      </c>
      <c r="D47">
        <v>1.8</v>
      </c>
      <c r="E47">
        <f t="shared" si="0"/>
        <v>82.04</v>
      </c>
      <c r="F47">
        <f t="shared" si="1"/>
        <v>99.201599999999871</v>
      </c>
      <c r="G47">
        <f t="shared" si="2"/>
        <v>77.44</v>
      </c>
      <c r="H47">
        <f t="shared" si="3"/>
        <v>211.99360000000007</v>
      </c>
      <c r="I47">
        <f t="shared" si="4"/>
        <v>78.819999999999993</v>
      </c>
      <c r="J47">
        <f t="shared" si="5"/>
        <v>173.71240000000017</v>
      </c>
      <c r="K47">
        <f>(B47-mean1)/_std1</f>
        <v>-1.1780691126378449</v>
      </c>
      <c r="L47">
        <f>(C47-mean2)/_std2</f>
        <v>-1.0394643003869828</v>
      </c>
      <c r="M47">
        <f>(D47-mean3)/_std3</f>
        <v>-1.6447484080725652</v>
      </c>
      <c r="N47" s="33">
        <f>SUMPRODUCT(_AT1,K47:M47)</f>
        <v>7.4812921671751464E-2</v>
      </c>
      <c r="O47" s="14">
        <f>SUMPRODUCT(_AT2,K47:M47)</f>
        <v>0.42883118799710229</v>
      </c>
      <c r="P47" s="14">
        <f>SUMPRODUCT(_AT3,K47:M47)</f>
        <v>2.2361248089070695</v>
      </c>
      <c r="BH47" t="s">
        <v>121</v>
      </c>
    </row>
    <row r="48" spans="1:60" x14ac:dyDescent="0.2">
      <c r="D48" t="s">
        <v>54</v>
      </c>
      <c r="F48">
        <f t="shared" ref="E48:J48" si="11">SUM(F2:F47)</f>
        <v>4249.3445999999985</v>
      </c>
      <c r="H48">
        <f t="shared" si="11"/>
        <v>5094.2111999999997</v>
      </c>
      <c r="J48">
        <f t="shared" si="11"/>
        <v>4613.0394000000015</v>
      </c>
      <c r="R48" t="s">
        <v>3</v>
      </c>
      <c r="AC48" s="6" t="s">
        <v>39</v>
      </c>
      <c r="AN48" s="6" t="s">
        <v>116</v>
      </c>
      <c r="AO48" s="35" t="s">
        <v>115</v>
      </c>
      <c r="AP48" s="35"/>
      <c r="AQ48" s="35"/>
      <c r="AR48" s="35"/>
      <c r="AU48" t="s">
        <v>118</v>
      </c>
    </row>
    <row r="49" spans="1:65" ht="17" thickBot="1" x14ac:dyDescent="0.25">
      <c r="A49" t="s">
        <v>59</v>
      </c>
      <c r="B49">
        <f>AVERAGE(B2:B47)</f>
        <v>38.391304347826086</v>
      </c>
      <c r="C49">
        <f t="shared" ref="C49:D49" si="12">AVERAGE(C2:C47)</f>
        <v>50.434782608695649</v>
      </c>
      <c r="D49">
        <f>AVERAGE(D2:D47)</f>
        <v>2.2869565217391301</v>
      </c>
      <c r="R49" t="s">
        <v>4</v>
      </c>
      <c r="AC49" s="4" t="s">
        <v>38</v>
      </c>
      <c r="AO49" s="36"/>
      <c r="AP49" s="36"/>
      <c r="AQ49" s="36"/>
      <c r="AR49" s="36"/>
    </row>
    <row r="50" spans="1:65" ht="16" thickBot="1" x14ac:dyDescent="0.25">
      <c r="A50" t="s">
        <v>60</v>
      </c>
      <c r="B50">
        <f>STDEVPA(B2:B47)</f>
        <v>8.8206237107419359</v>
      </c>
      <c r="C50">
        <f t="shared" ref="C50:D50" si="13">STDEVPA(C2:C47)</f>
        <v>4.2664116574706998</v>
      </c>
      <c r="D50">
        <f t="shared" si="13"/>
        <v>0.29606748323883825</v>
      </c>
      <c r="AC50" t="s">
        <v>42</v>
      </c>
      <c r="AD50" s="13">
        <v>0.61898425199602125</v>
      </c>
      <c r="AO50" s="11"/>
      <c r="AP50" s="11" t="s">
        <v>111</v>
      </c>
      <c r="AQ50" s="11" t="s">
        <v>112</v>
      </c>
      <c r="AR50" s="11" t="s">
        <v>113</v>
      </c>
      <c r="AV50" t="s">
        <v>4</v>
      </c>
      <c r="BH50" t="s">
        <v>4</v>
      </c>
    </row>
    <row r="51" spans="1:65" ht="16" thickBot="1" x14ac:dyDescent="0.25">
      <c r="R51" s="3" t="s">
        <v>5</v>
      </c>
      <c r="S51" s="3"/>
      <c r="AC51" t="s">
        <v>45</v>
      </c>
      <c r="AD51">
        <f>AD58</f>
        <v>9.4454623318326159E-2</v>
      </c>
      <c r="AO51" s="9" t="s">
        <v>111</v>
      </c>
      <c r="AP51">
        <f>RSQ(N2:N47,N2:N47)</f>
        <v>1</v>
      </c>
      <c r="AQ51" s="31"/>
      <c r="AR51" s="31"/>
    </row>
    <row r="52" spans="1:65" x14ac:dyDescent="0.2">
      <c r="R52" t="s">
        <v>6</v>
      </c>
      <c r="S52">
        <v>0.70869968056963817</v>
      </c>
      <c r="AC52" t="s">
        <v>46</v>
      </c>
      <c r="AD52">
        <f>AG58</f>
        <v>0.16584836529745789</v>
      </c>
      <c r="AO52" s="9" t="s">
        <v>112</v>
      </c>
      <c r="AP52" s="31">
        <f>RSQ(N2:N47,O2:O47)</f>
        <v>4.7721423083257436E-4</v>
      </c>
      <c r="AQ52" s="31">
        <f>RSQ(O2:O47,O2:O47)</f>
        <v>0.99999999999999978</v>
      </c>
      <c r="AR52" s="31"/>
      <c r="AV52" s="12" t="s">
        <v>5</v>
      </c>
      <c r="AW52" s="12"/>
      <c r="BH52" s="12" t="s">
        <v>5</v>
      </c>
      <c r="BI52" s="12"/>
    </row>
    <row r="53" spans="1:65" ht="16" thickBot="1" x14ac:dyDescent="0.25">
      <c r="R53" t="s">
        <v>7</v>
      </c>
      <c r="S53">
        <v>0.50225523723950716</v>
      </c>
      <c r="U53" t="s">
        <v>29</v>
      </c>
      <c r="V53">
        <f>1/(1-S53)</f>
        <v>2.0090618220752323</v>
      </c>
      <c r="AO53" s="10" t="s">
        <v>113</v>
      </c>
      <c r="AP53" s="32">
        <f>RSQ(N2:N47,P2:P47)</f>
        <v>1.2947313054012948E-5</v>
      </c>
      <c r="AQ53" s="32">
        <f>RSQ(P2:P47,O2:O47)</f>
        <v>1.7190178776891579E-5</v>
      </c>
      <c r="AR53" s="32">
        <f>RSQ(P2:P47,P2:P47)</f>
        <v>0.99999999999999956</v>
      </c>
      <c r="AV53" s="9" t="s">
        <v>6</v>
      </c>
      <c r="AW53" s="9">
        <v>0.82595056346051343</v>
      </c>
      <c r="BH53" s="9" t="s">
        <v>6</v>
      </c>
      <c r="BI53" s="9">
        <v>0.82595056346051343</v>
      </c>
    </row>
    <row r="54" spans="1:65" x14ac:dyDescent="0.2">
      <c r="R54" t="s">
        <v>8</v>
      </c>
      <c r="S54">
        <v>0.47910431804134473</v>
      </c>
      <c r="U54" t="s">
        <v>30</v>
      </c>
      <c r="AV54" s="9" t="s">
        <v>7</v>
      </c>
      <c r="AW54" s="9">
        <v>0.68219433328073964</v>
      </c>
      <c r="BH54" s="9" t="s">
        <v>7</v>
      </c>
      <c r="BI54" s="9">
        <v>0.68219433328073964</v>
      </c>
    </row>
    <row r="55" spans="1:65" x14ac:dyDescent="0.2">
      <c r="R55" t="s">
        <v>9</v>
      </c>
      <c r="S55">
        <v>0.21604227879492488</v>
      </c>
      <c r="AC55" t="s">
        <v>47</v>
      </c>
      <c r="AD55">
        <f>H48</f>
        <v>5094.2111999999997</v>
      </c>
      <c r="AF55" t="s">
        <v>47</v>
      </c>
      <c r="AG55">
        <f>H48</f>
        <v>5094.2111999999997</v>
      </c>
      <c r="AO55" s="37" t="s">
        <v>117</v>
      </c>
      <c r="AP55" s="37"/>
      <c r="AQ55" s="37"/>
      <c r="AR55" s="37"/>
      <c r="AS55" s="37"/>
      <c r="AT55" s="37"/>
      <c r="AV55" s="9" t="s">
        <v>8</v>
      </c>
      <c r="AW55" s="9">
        <v>0.65949392851507815</v>
      </c>
      <c r="BH55" s="9" t="s">
        <v>8</v>
      </c>
      <c r="BI55" s="9">
        <v>0.65949392851507815</v>
      </c>
    </row>
    <row r="56" spans="1:65" ht="16" thickBot="1" x14ac:dyDescent="0.25">
      <c r="R56" s="1" t="s">
        <v>10</v>
      </c>
      <c r="S56" s="1">
        <v>46</v>
      </c>
      <c r="AC56" t="s">
        <v>48</v>
      </c>
      <c r="AD56">
        <f>J48</f>
        <v>4613.0394000000015</v>
      </c>
      <c r="AF56" t="s">
        <v>48</v>
      </c>
      <c r="AG56">
        <f>F48</f>
        <v>4249.3445999999985</v>
      </c>
      <c r="AO56" s="37"/>
      <c r="AP56" s="37"/>
      <c r="AQ56" s="37"/>
      <c r="AR56" s="37"/>
      <c r="AS56" s="37"/>
      <c r="AT56" s="37"/>
      <c r="AV56" s="9" t="s">
        <v>9</v>
      </c>
      <c r="AW56" s="9">
        <v>10.057975610280129</v>
      </c>
      <c r="BH56" s="9" t="s">
        <v>9</v>
      </c>
      <c r="BI56" s="9">
        <v>10.057975610280128</v>
      </c>
    </row>
    <row r="57" spans="1:65" ht="16" thickBot="1" x14ac:dyDescent="0.25">
      <c r="AO57" s="37"/>
      <c r="AP57" s="37"/>
      <c r="AQ57" s="37"/>
      <c r="AR57" s="37"/>
      <c r="AS57" s="37"/>
      <c r="AT57" s="37"/>
      <c r="AV57" s="10" t="s">
        <v>10</v>
      </c>
      <c r="AW57" s="10">
        <v>46</v>
      </c>
      <c r="BH57" s="10" t="s">
        <v>10</v>
      </c>
      <c r="BI57" s="10">
        <v>46</v>
      </c>
    </row>
    <row r="58" spans="1:65" ht="16" thickBot="1" x14ac:dyDescent="0.25">
      <c r="R58" t="s">
        <v>11</v>
      </c>
      <c r="AC58" t="s">
        <v>49</v>
      </c>
      <c r="AD58">
        <f>(AD55-AD56)/AD55</f>
        <v>9.4454623318326159E-2</v>
      </c>
      <c r="AF58" t="s">
        <v>49</v>
      </c>
      <c r="AG58">
        <f>(AG55-AG56)/AG55</f>
        <v>0.16584836529745789</v>
      </c>
      <c r="AO58" s="37"/>
      <c r="AP58" s="37"/>
      <c r="AQ58" s="37"/>
      <c r="AR58" s="37"/>
      <c r="AS58" s="37"/>
      <c r="AT58" s="37"/>
    </row>
    <row r="59" spans="1:65" ht="16" thickBot="1" x14ac:dyDescent="0.25">
      <c r="R59" s="2"/>
      <c r="S59" s="2" t="s">
        <v>16</v>
      </c>
      <c r="T59" s="2" t="s">
        <v>17</v>
      </c>
      <c r="U59" s="2" t="s">
        <v>18</v>
      </c>
      <c r="V59" s="2" t="s">
        <v>19</v>
      </c>
      <c r="W59" s="2" t="s">
        <v>20</v>
      </c>
      <c r="AV59" t="s">
        <v>11</v>
      </c>
      <c r="BH59" t="s">
        <v>11</v>
      </c>
    </row>
    <row r="60" spans="1:65" x14ac:dyDescent="0.2">
      <c r="R60" t="s">
        <v>12</v>
      </c>
      <c r="S60">
        <v>2</v>
      </c>
      <c r="T60">
        <v>2.0251804652866037</v>
      </c>
      <c r="U60">
        <v>1.0125902326433018</v>
      </c>
      <c r="V60">
        <v>21.694829174617496</v>
      </c>
      <c r="W60">
        <v>3.0594547250853428E-7</v>
      </c>
      <c r="AV60" s="11"/>
      <c r="AW60" s="11" t="s">
        <v>16</v>
      </c>
      <c r="AX60" s="11" t="s">
        <v>17</v>
      </c>
      <c r="AY60" s="11" t="s">
        <v>18</v>
      </c>
      <c r="AZ60" s="11" t="s">
        <v>19</v>
      </c>
      <c r="BA60" s="11" t="s">
        <v>20</v>
      </c>
      <c r="BH60" s="11"/>
      <c r="BI60" s="11" t="s">
        <v>16</v>
      </c>
      <c r="BJ60" s="11" t="s">
        <v>17</v>
      </c>
      <c r="BK60" s="11" t="s">
        <v>18</v>
      </c>
      <c r="BL60" s="11" t="s">
        <v>19</v>
      </c>
      <c r="BM60" s="11" t="s">
        <v>20</v>
      </c>
    </row>
    <row r="61" spans="1:65" x14ac:dyDescent="0.2">
      <c r="R61" t="s">
        <v>13</v>
      </c>
      <c r="S61">
        <v>43</v>
      </c>
      <c r="T61">
        <v>2.0069934477568738</v>
      </c>
      <c r="U61">
        <v>4.6674266226904043E-2</v>
      </c>
      <c r="AV61" s="9" t="s">
        <v>12</v>
      </c>
      <c r="AW61" s="9">
        <v>3</v>
      </c>
      <c r="AX61" s="9">
        <v>9120.4636659925127</v>
      </c>
      <c r="AY61" s="9">
        <v>3040.1545553308374</v>
      </c>
      <c r="AZ61" s="9">
        <v>30.052077939715161</v>
      </c>
      <c r="BA61" s="9">
        <v>1.5419725985736275E-10</v>
      </c>
      <c r="BH61" s="9" t="s">
        <v>12</v>
      </c>
      <c r="BI61" s="9">
        <v>3</v>
      </c>
      <c r="BJ61" s="9">
        <v>9120.4636659925127</v>
      </c>
      <c r="BK61" s="9">
        <v>3040.1545553308374</v>
      </c>
      <c r="BL61" s="9">
        <v>30.052077939715168</v>
      </c>
      <c r="BM61" s="9">
        <v>1.5419725985736218E-10</v>
      </c>
    </row>
    <row r="62" spans="1:65" ht="16" thickBot="1" x14ac:dyDescent="0.25">
      <c r="R62" s="1" t="s">
        <v>14</v>
      </c>
      <c r="S62" s="1">
        <v>45</v>
      </c>
      <c r="T62" s="1">
        <v>4.0321739130434775</v>
      </c>
      <c r="U62" s="1"/>
      <c r="V62" s="1"/>
      <c r="W62" s="1"/>
      <c r="AV62" s="9" t="s">
        <v>13</v>
      </c>
      <c r="AW62" s="9">
        <v>42</v>
      </c>
      <c r="AX62" s="9">
        <v>4248.840681833577</v>
      </c>
      <c r="AY62" s="9">
        <v>101.16287337698994</v>
      </c>
      <c r="AZ62" s="9"/>
      <c r="BA62" s="9"/>
      <c r="BH62" s="9" t="s">
        <v>13</v>
      </c>
      <c r="BI62" s="9">
        <v>42</v>
      </c>
      <c r="BJ62" s="9">
        <v>4248.8406818335761</v>
      </c>
      <c r="BK62" s="9">
        <v>101.16287337698991</v>
      </c>
      <c r="BL62" s="9"/>
      <c r="BM62" s="9"/>
    </row>
    <row r="63" spans="1:65" ht="16" thickBot="1" x14ac:dyDescent="0.25">
      <c r="AV63" s="10" t="s">
        <v>14</v>
      </c>
      <c r="AW63" s="10">
        <v>45</v>
      </c>
      <c r="AX63" s="10">
        <v>13369.30434782609</v>
      </c>
      <c r="AY63" s="10"/>
      <c r="AZ63" s="10"/>
      <c r="BA63" s="10"/>
      <c r="BH63" s="10" t="s">
        <v>14</v>
      </c>
      <c r="BI63" s="10">
        <v>45</v>
      </c>
      <c r="BJ63" s="10">
        <v>13369.304347826088</v>
      </c>
      <c r="BK63" s="10"/>
      <c r="BL63" s="10"/>
      <c r="BM63" s="10"/>
    </row>
    <row r="64" spans="1:65" ht="16" thickBot="1" x14ac:dyDescent="0.25">
      <c r="R64" s="2"/>
      <c r="S64" s="2" t="s">
        <v>21</v>
      </c>
      <c r="T64" s="2" t="s">
        <v>9</v>
      </c>
      <c r="U64" s="2" t="s">
        <v>22</v>
      </c>
      <c r="V64" s="2" t="s">
        <v>23</v>
      </c>
      <c r="W64" s="2" t="s">
        <v>24</v>
      </c>
      <c r="X64" s="2" t="s">
        <v>25</v>
      </c>
      <c r="Y64" s="2" t="s">
        <v>26</v>
      </c>
      <c r="Z64" s="2" t="s">
        <v>27</v>
      </c>
      <c r="AB64" t="s">
        <v>4</v>
      </c>
    </row>
    <row r="65" spans="18:68" ht="16" thickBot="1" x14ac:dyDescent="0.25">
      <c r="R65" t="s">
        <v>15</v>
      </c>
      <c r="S65">
        <v>0.13506828388226055</v>
      </c>
      <c r="T65">
        <v>0.38879337991343699</v>
      </c>
      <c r="U65">
        <v>0.34740376472545104</v>
      </c>
      <c r="V65">
        <v>0.72998273030761407</v>
      </c>
      <c r="W65">
        <v>-0.64900829250058789</v>
      </c>
      <c r="X65">
        <v>0.919144860265109</v>
      </c>
      <c r="Y65">
        <v>-0.64900829250058789</v>
      </c>
      <c r="Z65">
        <v>0.919144860265109</v>
      </c>
      <c r="AV65" s="11"/>
      <c r="AW65" s="11" t="s">
        <v>21</v>
      </c>
      <c r="AX65" s="11" t="s">
        <v>9</v>
      </c>
      <c r="AY65" s="11" t="s">
        <v>22</v>
      </c>
      <c r="AZ65" s="11" t="s">
        <v>23</v>
      </c>
      <c r="BA65" s="11" t="s">
        <v>24</v>
      </c>
      <c r="BB65" s="11" t="s">
        <v>25</v>
      </c>
      <c r="BC65" s="11" t="s">
        <v>26</v>
      </c>
      <c r="BD65" s="11" t="s">
        <v>27</v>
      </c>
      <c r="BH65" s="11"/>
      <c r="BI65" s="11" t="s">
        <v>21</v>
      </c>
      <c r="BJ65" s="11" t="s">
        <v>9</v>
      </c>
      <c r="BK65" s="11" t="s">
        <v>22</v>
      </c>
      <c r="BL65" s="11" t="s">
        <v>23</v>
      </c>
      <c r="BM65" s="11" t="s">
        <v>24</v>
      </c>
      <c r="BN65" s="11" t="s">
        <v>25</v>
      </c>
      <c r="BO65" s="11" t="s">
        <v>26</v>
      </c>
      <c r="BP65" s="11" t="s">
        <v>27</v>
      </c>
    </row>
    <row r="66" spans="18:68" x14ac:dyDescent="0.2">
      <c r="R66" t="s">
        <v>32</v>
      </c>
      <c r="S66">
        <v>9.3571478703416231E-3</v>
      </c>
      <c r="T66">
        <v>4.3876057756655207E-3</v>
      </c>
      <c r="U66">
        <v>2.1326318609201649</v>
      </c>
      <c r="V66">
        <v>3.8705282189945074E-2</v>
      </c>
      <c r="W66">
        <v>5.0869752927001737E-4</v>
      </c>
      <c r="X66">
        <v>1.8205598211413231E-2</v>
      </c>
      <c r="Y66">
        <v>5.0869752927001737E-4</v>
      </c>
      <c r="Z66">
        <v>1.8205598211413231E-2</v>
      </c>
      <c r="AB66" s="12" t="s">
        <v>5</v>
      </c>
      <c r="AC66" s="12"/>
      <c r="AV66" s="9" t="s">
        <v>15</v>
      </c>
      <c r="AW66" s="9">
        <v>61.565217391304351</v>
      </c>
      <c r="AX66" s="9">
        <v>1.4829675989379474</v>
      </c>
      <c r="AY66" s="9">
        <v>41.514876950376618</v>
      </c>
      <c r="AZ66" s="9">
        <v>9.9267938249445537E-36</v>
      </c>
      <c r="BA66" s="9">
        <v>58.572467614015075</v>
      </c>
      <c r="BB66" s="9">
        <v>64.55796716859362</v>
      </c>
      <c r="BC66" s="9">
        <v>58.572467614015075</v>
      </c>
      <c r="BD66" s="9">
        <v>64.55796716859362</v>
      </c>
      <c r="BH66" s="9" t="s">
        <v>15</v>
      </c>
      <c r="BI66" s="9">
        <v>61.565217391304358</v>
      </c>
      <c r="BJ66" s="9">
        <v>1.4829675989379474</v>
      </c>
      <c r="BK66" s="9">
        <v>41.514876950376625</v>
      </c>
      <c r="BL66" s="9">
        <v>9.9267938249444107E-36</v>
      </c>
      <c r="BM66" s="9">
        <v>58.572467614015082</v>
      </c>
      <c r="BN66" s="9">
        <v>64.557967168593635</v>
      </c>
      <c r="BO66" s="9">
        <v>58.572467614015082</v>
      </c>
      <c r="BP66" s="9">
        <v>64.557967168593635</v>
      </c>
    </row>
    <row r="67" spans="18:68" ht="16" thickBot="1" x14ac:dyDescent="0.25">
      <c r="R67" s="1" t="s">
        <v>33</v>
      </c>
      <c r="S67" s="1">
        <v>3.5544024052755474E-2</v>
      </c>
      <c r="T67" s="1">
        <v>9.0711873690049183E-3</v>
      </c>
      <c r="U67" s="1">
        <v>3.9183430577351799</v>
      </c>
      <c r="V67" s="1">
        <v>3.1470493280423659E-4</v>
      </c>
      <c r="W67" s="1">
        <v>1.725023124794928E-2</v>
      </c>
      <c r="X67" s="1">
        <v>5.3837816857561671E-2</v>
      </c>
      <c r="Y67" s="1">
        <v>1.725023124794928E-2</v>
      </c>
      <c r="Z67" s="1">
        <v>5.3837816857561671E-2</v>
      </c>
      <c r="AB67" s="9" t="s">
        <v>6</v>
      </c>
      <c r="AC67" s="9">
        <v>0.80929342879356037</v>
      </c>
      <c r="AV67" s="9" t="s">
        <v>111</v>
      </c>
      <c r="AW67" s="9">
        <v>-6.0166414198257767</v>
      </c>
      <c r="AX67" s="9">
        <v>2.1781661214497952</v>
      </c>
      <c r="AY67" s="9">
        <v>-2.7622509415494347</v>
      </c>
      <c r="AZ67" s="9">
        <v>8.4803795004196724E-3</v>
      </c>
      <c r="BA67" s="9">
        <v>-10.41235861522263</v>
      </c>
      <c r="BB67" s="9">
        <v>-1.6209242244289239</v>
      </c>
      <c r="BC67" s="9">
        <v>-10.41235861522263</v>
      </c>
      <c r="BD67" s="9">
        <v>-1.6209242244289239</v>
      </c>
      <c r="BH67" s="9" t="s">
        <v>56</v>
      </c>
      <c r="BI67" s="39">
        <v>-10.069728522023892</v>
      </c>
      <c r="BJ67" s="9">
        <v>1.8946594687645584</v>
      </c>
      <c r="BK67" s="9">
        <v>-5.3147959768147741</v>
      </c>
      <c r="BL67" s="9">
        <v>3.8102515035993187E-6</v>
      </c>
      <c r="BM67" s="9">
        <v>-13.893306129009364</v>
      </c>
      <c r="BN67" s="9">
        <v>-6.2461509150384202</v>
      </c>
      <c r="BO67" s="9">
        <v>-13.893306129009364</v>
      </c>
      <c r="BP67" s="9">
        <v>-6.2461509150384202</v>
      </c>
    </row>
    <row r="68" spans="18:68" x14ac:dyDescent="0.2">
      <c r="AB68" s="9" t="s">
        <v>7</v>
      </c>
      <c r="AC68" s="9">
        <v>0.65495585388843758</v>
      </c>
      <c r="AV68" s="9" t="s">
        <v>112</v>
      </c>
      <c r="AW68" s="9">
        <v>1.416319409498725</v>
      </c>
      <c r="AX68" s="9">
        <v>2.5837346774783452</v>
      </c>
      <c r="AY68" s="9">
        <v>0.5481675118751026</v>
      </c>
      <c r="AZ68" s="9">
        <v>0.58647886044289499</v>
      </c>
      <c r="BA68" s="9">
        <v>-3.7978682680578419</v>
      </c>
      <c r="BB68" s="9">
        <v>6.6305070870552925</v>
      </c>
      <c r="BC68" s="9">
        <v>-3.7978682680578419</v>
      </c>
      <c r="BD68" s="9">
        <v>6.6305070870552925</v>
      </c>
      <c r="BH68" s="9" t="s">
        <v>57</v>
      </c>
      <c r="BI68" s="39">
        <v>-1.8857721363835471</v>
      </c>
      <c r="BJ68" s="9">
        <v>2.0989284022257828</v>
      </c>
      <c r="BK68" s="9">
        <v>-0.89844519440672832</v>
      </c>
      <c r="BL68" s="9">
        <v>0.37407022534818546</v>
      </c>
      <c r="BM68" s="9">
        <v>-6.1215811404413554</v>
      </c>
      <c r="BN68" s="9">
        <v>2.3500368676742607</v>
      </c>
      <c r="BO68" s="9">
        <v>-6.1215811404413554</v>
      </c>
      <c r="BP68" s="9">
        <v>2.3500368676742607</v>
      </c>
    </row>
    <row r="69" spans="18:68" ht="16" thickBot="1" x14ac:dyDescent="0.25">
      <c r="AB69" s="9" t="s">
        <v>8</v>
      </c>
      <c r="AC69" s="9">
        <v>0.63890728895301607</v>
      </c>
      <c r="AV69" s="10" t="s">
        <v>113</v>
      </c>
      <c r="AW69" s="10">
        <v>9.0447426195602993</v>
      </c>
      <c r="AX69" s="10">
        <v>0.99843415710997674</v>
      </c>
      <c r="AY69" s="10">
        <v>9.0589274767409904</v>
      </c>
      <c r="AZ69" s="10">
        <v>1.9688802681657605E-11</v>
      </c>
      <c r="BA69" s="10">
        <v>7.0298209156276972</v>
      </c>
      <c r="BB69" s="10">
        <v>11.059664323492902</v>
      </c>
      <c r="BC69" s="10">
        <v>7.0298209156276972</v>
      </c>
      <c r="BD69" s="10">
        <v>11.059664323492902</v>
      </c>
      <c r="BH69" s="10" t="s">
        <v>58</v>
      </c>
      <c r="BI69" s="40">
        <v>-3.9880773146788089</v>
      </c>
      <c r="BJ69" s="10">
        <v>2.1019787091604738</v>
      </c>
      <c r="BK69" s="10">
        <v>-1.8972967220356096</v>
      </c>
      <c r="BL69" s="10">
        <v>6.4678126894482574E-2</v>
      </c>
      <c r="BM69" s="10">
        <v>-8.2300420873494975</v>
      </c>
      <c r="BN69" s="10">
        <v>0.25388745799187973</v>
      </c>
      <c r="BO69" s="10">
        <v>-8.2300420873494975</v>
      </c>
      <c r="BP69" s="10">
        <v>0.25388745799187973</v>
      </c>
    </row>
    <row r="70" spans="18:68" x14ac:dyDescent="0.2">
      <c r="AB70" s="9" t="s">
        <v>9</v>
      </c>
      <c r="AC70" s="9">
        <v>10.357561222785508</v>
      </c>
    </row>
    <row r="71" spans="18:68" ht="16" thickBot="1" x14ac:dyDescent="0.25">
      <c r="AB71" s="10" t="s">
        <v>10</v>
      </c>
      <c r="AC71" s="10">
        <v>46</v>
      </c>
    </row>
    <row r="72" spans="18:68" x14ac:dyDescent="0.2">
      <c r="AO72" s="6" t="s">
        <v>119</v>
      </c>
      <c r="AP72" t="s">
        <v>124</v>
      </c>
    </row>
    <row r="73" spans="18:68" ht="16" thickBot="1" x14ac:dyDescent="0.25">
      <c r="AB73" t="s">
        <v>11</v>
      </c>
    </row>
    <row r="74" spans="18:68" x14ac:dyDescent="0.2">
      <c r="AB74" s="11"/>
      <c r="AC74" s="11" t="s">
        <v>16</v>
      </c>
      <c r="AD74" s="11" t="s">
        <v>17</v>
      </c>
      <c r="AE74" s="11" t="s">
        <v>18</v>
      </c>
      <c r="AF74" s="11" t="s">
        <v>19</v>
      </c>
      <c r="AG74" s="11" t="s">
        <v>20</v>
      </c>
      <c r="AO74" s="9" t="s">
        <v>111</v>
      </c>
      <c r="AP74" s="9" t="s">
        <v>112</v>
      </c>
      <c r="AQ74" s="9" t="s">
        <v>113</v>
      </c>
    </row>
    <row r="75" spans="18:68" x14ac:dyDescent="0.2">
      <c r="AB75" s="9" t="s">
        <v>12</v>
      </c>
      <c r="AC75" s="9">
        <v>2</v>
      </c>
      <c r="AD75" s="9">
        <v>8756.3041450248384</v>
      </c>
      <c r="AE75" s="9">
        <v>4378.1520725124192</v>
      </c>
      <c r="AF75" s="9">
        <v>40.810867297103634</v>
      </c>
      <c r="AG75" s="9">
        <v>1.1595921592981466E-10</v>
      </c>
      <c r="AO75" s="31">
        <v>-6.0166414198257767</v>
      </c>
      <c r="AP75" s="31">
        <v>1.416319409498725</v>
      </c>
      <c r="AQ75" s="31">
        <v>9.0447426195602993</v>
      </c>
      <c r="AR75" s="38" t="s">
        <v>120</v>
      </c>
      <c r="AS75" s="13">
        <f>SUMPRODUCT(AO75:AQ75,_A1)</f>
        <v>-10.069728522023894</v>
      </c>
      <c r="AT75" s="13">
        <f>SUMPRODUCT(AO75:AQ75,_A2)</f>
        <v>-1.8857721363835429</v>
      </c>
      <c r="AU75" s="13">
        <f>SUMPRODUCT(AO75:AQ75,_A3)</f>
        <v>-3.9880773146788093</v>
      </c>
    </row>
    <row r="76" spans="18:68" x14ac:dyDescent="0.2">
      <c r="AB76" s="9" t="s">
        <v>13</v>
      </c>
      <c r="AC76" s="9">
        <v>43</v>
      </c>
      <c r="AD76" s="9">
        <v>4613.0002028012514</v>
      </c>
      <c r="AE76" s="9">
        <v>107.27907448375004</v>
      </c>
      <c r="AF76" s="9"/>
      <c r="AG76" s="9"/>
      <c r="AP76" s="14"/>
      <c r="AQ76" s="14"/>
    </row>
    <row r="77" spans="18:68" ht="16" thickBot="1" x14ac:dyDescent="0.25">
      <c r="AB77" s="10" t="s">
        <v>14</v>
      </c>
      <c r="AC77" s="10">
        <v>45</v>
      </c>
      <c r="AD77" s="10">
        <v>13369.30434782609</v>
      </c>
      <c r="AE77" s="10"/>
      <c r="AF77" s="10"/>
      <c r="AG77" s="10"/>
      <c r="AP77" s="14"/>
      <c r="AQ77" s="14"/>
    </row>
    <row r="78" spans="18:68" ht="16" thickBot="1" x14ac:dyDescent="0.25">
      <c r="AO78" t="s">
        <v>125</v>
      </c>
    </row>
    <row r="79" spans="18:68" x14ac:dyDescent="0.2">
      <c r="AB79" s="11"/>
      <c r="AC79" s="11" t="s">
        <v>21</v>
      </c>
      <c r="AD79" s="11" t="s">
        <v>9</v>
      </c>
      <c r="AE79" s="11" t="s">
        <v>22</v>
      </c>
      <c r="AF79" s="11" t="s">
        <v>23</v>
      </c>
      <c r="AG79" s="11" t="s">
        <v>24</v>
      </c>
      <c r="AH79" s="11" t="s">
        <v>25</v>
      </c>
      <c r="AI79" s="11" t="s">
        <v>26</v>
      </c>
      <c r="AJ79" s="11" t="s">
        <v>27</v>
      </c>
      <c r="AS79" s="39">
        <v>-10.069728522023892</v>
      </c>
      <c r="AT79" s="39">
        <v>-1.8857721363835471</v>
      </c>
      <c r="AU79" s="39">
        <v>-3.9880773146788089</v>
      </c>
    </row>
    <row r="80" spans="18:68" x14ac:dyDescent="0.2">
      <c r="AB80" s="9" t="s">
        <v>15</v>
      </c>
      <c r="AC80" s="9">
        <v>156.67185984083926</v>
      </c>
      <c r="AD80" s="9">
        <v>18.639644322996872</v>
      </c>
      <c r="AE80" s="9">
        <v>8.405303080142124</v>
      </c>
      <c r="AF80" s="9">
        <v>1.2738427398470262E-10</v>
      </c>
      <c r="AG80" s="9">
        <v>119.08143453827026</v>
      </c>
      <c r="AH80" s="9">
        <v>194.26228514340826</v>
      </c>
      <c r="AI80" s="9">
        <v>119.08143453827026</v>
      </c>
      <c r="AJ80" s="9">
        <v>194.26228514340826</v>
      </c>
    </row>
    <row r="81" spans="28:47" x14ac:dyDescent="0.2">
      <c r="AB81" s="9" t="s">
        <v>32</v>
      </c>
      <c r="AC81" s="9">
        <v>-1.2676541553492726</v>
      </c>
      <c r="AD81" s="9">
        <v>0.21035186120231986</v>
      </c>
      <c r="AE81" s="9">
        <v>-6.0263510296684384</v>
      </c>
      <c r="AF81" s="9">
        <v>3.3475798285969074E-7</v>
      </c>
      <c r="AG81" s="9">
        <v>-1.6918691129290453</v>
      </c>
      <c r="AH81" s="9">
        <v>-0.84343919776950005</v>
      </c>
      <c r="AI81" s="9">
        <v>-1.6918691129290453</v>
      </c>
      <c r="AJ81" s="9">
        <v>-0.84343919776950005</v>
      </c>
      <c r="AO81" s="34" t="s">
        <v>126</v>
      </c>
      <c r="AP81" s="34"/>
      <c r="AQ81" s="34"/>
      <c r="AR81" s="34"/>
      <c r="AS81" s="34"/>
      <c r="AT81" s="34"/>
      <c r="AU81" s="34"/>
    </row>
    <row r="82" spans="28:47" ht="16" thickBot="1" x14ac:dyDescent="0.25">
      <c r="AB82" s="10" t="s">
        <v>33</v>
      </c>
      <c r="AC82" s="10">
        <v>-0.92078806652232326</v>
      </c>
      <c r="AD82" s="10">
        <v>0.43489348039608894</v>
      </c>
      <c r="AE82" s="10">
        <v>-2.1172726380806974</v>
      </c>
      <c r="AF82" s="10">
        <v>4.0059669586006076E-2</v>
      </c>
      <c r="AG82" s="10">
        <v>-1.7978343559321548</v>
      </c>
      <c r="AH82" s="10">
        <v>-4.374177711249172E-2</v>
      </c>
      <c r="AI82" s="10">
        <v>-1.7978343559321548</v>
      </c>
      <c r="AJ82" s="10">
        <v>-4.374177711249172E-2</v>
      </c>
      <c r="AQ82" s="14"/>
      <c r="AR82" s="14"/>
    </row>
    <row r="83" spans="28:47" x14ac:dyDescent="0.2">
      <c r="AQ83" s="14"/>
      <c r="AR83" s="14"/>
    </row>
  </sheetData>
  <mergeCells count="3">
    <mergeCell ref="AO48:AR49"/>
    <mergeCell ref="AO55:AT58"/>
    <mergeCell ref="AO81:AU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Отчет о результатах 1</vt:lpstr>
      <vt:lpstr>Отчет об устойчивости 1</vt:lpstr>
      <vt:lpstr>Лист2</vt:lpstr>
      <vt:lpstr>_A</vt:lpstr>
      <vt:lpstr>_A1</vt:lpstr>
      <vt:lpstr>_A2</vt:lpstr>
      <vt:lpstr>_A3</vt:lpstr>
      <vt:lpstr>_AT1</vt:lpstr>
      <vt:lpstr>_AT2</vt:lpstr>
      <vt:lpstr>_AT3</vt:lpstr>
      <vt:lpstr>_rsq</vt:lpstr>
      <vt:lpstr>_rsq1</vt:lpstr>
      <vt:lpstr>_std1</vt:lpstr>
      <vt:lpstr>_std2</vt:lpstr>
      <vt:lpstr>_std3</vt:lpstr>
      <vt:lpstr>determinant</vt:lpstr>
      <vt:lpstr>lambda1</vt:lpstr>
      <vt:lpstr>lambda2</vt:lpstr>
      <vt:lpstr>lambda3</vt:lpstr>
      <vt:lpstr>mean1</vt:lpstr>
      <vt:lpstr>mean2</vt:lpstr>
      <vt:lpstr>mean3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Сукиасян Ани Гагиковна</dc:creator>
  <cp:lastModifiedBy>Alexander Kudryashov</cp:lastModifiedBy>
  <dcterms:created xsi:type="dcterms:W3CDTF">2023-04-24T11:22:05Z</dcterms:created>
  <dcterms:modified xsi:type="dcterms:W3CDTF">2023-05-02T12:37:15Z</dcterms:modified>
</cp:coreProperties>
</file>