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kudrasov/Desktop/"/>
    </mc:Choice>
  </mc:AlternateContent>
  <xr:revisionPtr revIDLastSave="0" documentId="8_{C3B0CFB4-D9D8-A74B-AE79-84C6A4CCECE8}" xr6:coauthVersionLast="47" xr6:coauthVersionMax="47" xr10:uidLastSave="{00000000-0000-0000-0000-000000000000}"/>
  <bookViews>
    <workbookView xWindow="0" yWindow="500" windowWidth="28800" windowHeight="16040" activeTab="2" xr2:uid="{AF93D24D-CFD9-4445-ABED-90AA5486D892}"/>
  </bookViews>
  <sheets>
    <sheet name="Task1" sheetId="1" r:id="rId1"/>
    <sheet name="task2" sheetId="2" r:id="rId2"/>
    <sheet name="task3" sheetId="3" r:id="rId3"/>
  </sheets>
  <definedNames>
    <definedName name="_lambda1">Task1!$E$8</definedName>
    <definedName name="_lambda2">Task1!$L$8</definedName>
    <definedName name="_lambda3">Task1!$S$8</definedName>
    <definedName name="_lb1">task3!$D$10</definedName>
    <definedName name="_lb2">task3!$M$10</definedName>
    <definedName name="_lb3">task3!$V$10</definedName>
    <definedName name="_lb4">task3!$AE$10</definedName>
    <definedName name="_lb5">task3!$AN$10</definedName>
    <definedName name="_ll1">task2!$E$5</definedName>
    <definedName name="_ll2">task2!$L$5</definedName>
    <definedName name="_ll3">task2!$R$5</definedName>
    <definedName name="_ll4">task2!$Y$5</definedName>
    <definedName name="_R1">task3!$B$3:$F$3</definedName>
    <definedName name="_R2">task3!$B$4:$F$4</definedName>
    <definedName name="_R3">task3!$B$5:$F$5</definedName>
    <definedName name="_R4">task3!$B$6:$F$6</definedName>
    <definedName name="_R5">task3!$B$7:$F$7</definedName>
    <definedName name="lambda1">Task1!$AM$8</definedName>
    <definedName name="lambda2">Task1!$AT$8</definedName>
    <definedName name="lambda3">Task1!$BA$8</definedName>
    <definedName name="solver_adj" localSheetId="0" hidden="1">Task1!$Q$18:$S$18</definedName>
    <definedName name="solver_adj" localSheetId="1" hidden="1">task2!$W$15:$X$15</definedName>
    <definedName name="solver_adj" localSheetId="2" hidden="1">task3!$AL$22:$AP$22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Task1!$U$18</definedName>
    <definedName name="solver_lhs1" localSheetId="1" hidden="1">task2!$Z$15</definedName>
    <definedName name="solver_lhs1" localSheetId="2" hidden="1">task3!$AR$22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opt" localSheetId="0" hidden="1">Task1!$Q$24</definedName>
    <definedName name="solver_opt" localSheetId="1" hidden="1">task2!$W$21</definedName>
    <definedName name="solver_opt" localSheetId="2" hidden="1">task3!$AL$28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3</definedName>
    <definedName name="solver_typ" localSheetId="1" hidden="1">3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3" l="1"/>
  <c r="F31" i="3"/>
  <c r="P39" i="3"/>
  <c r="P40" i="3" s="1"/>
  <c r="N39" i="3"/>
  <c r="N40" i="3" s="1"/>
  <c r="L39" i="3"/>
  <c r="L40" i="3" s="1"/>
  <c r="J39" i="3"/>
  <c r="J40" i="3" s="1"/>
  <c r="H39" i="3"/>
  <c r="H40" i="3" s="1"/>
  <c r="AP25" i="3"/>
  <c r="AO25" i="3"/>
  <c r="AN25" i="3"/>
  <c r="AM25" i="3"/>
  <c r="AL25" i="3"/>
  <c r="AG25" i="3"/>
  <c r="AF25" i="3"/>
  <c r="AE25" i="3"/>
  <c r="AD25" i="3"/>
  <c r="AC25" i="3"/>
  <c r="X25" i="3"/>
  <c r="W25" i="3"/>
  <c r="V25" i="3"/>
  <c r="U25" i="3"/>
  <c r="T25" i="3"/>
  <c r="O25" i="3"/>
  <c r="N25" i="3"/>
  <c r="M25" i="3"/>
  <c r="L25" i="3"/>
  <c r="K25" i="3"/>
  <c r="K24" i="3"/>
  <c r="AL24" i="3"/>
  <c r="AR22" i="3"/>
  <c r="AC24" i="3"/>
  <c r="AI22" i="3"/>
  <c r="T24" i="3"/>
  <c r="Z22" i="3"/>
  <c r="Q22" i="3"/>
  <c r="H22" i="3"/>
  <c r="C25" i="3"/>
  <c r="D25" i="3"/>
  <c r="E25" i="3"/>
  <c r="F25" i="3"/>
  <c r="B25" i="3"/>
  <c r="B24" i="3"/>
  <c r="AG18" i="3"/>
  <c r="AF17" i="3"/>
  <c r="AE16" i="3"/>
  <c r="AD15" i="3"/>
  <c r="AC14" i="3"/>
  <c r="X18" i="3"/>
  <c r="W17" i="3"/>
  <c r="V16" i="3"/>
  <c r="U15" i="3"/>
  <c r="T14" i="3"/>
  <c r="O18" i="3"/>
  <c r="N17" i="3"/>
  <c r="M16" i="3"/>
  <c r="L15" i="3"/>
  <c r="K14" i="3"/>
  <c r="AP18" i="3"/>
  <c r="AO17" i="3"/>
  <c r="AN16" i="3"/>
  <c r="AM15" i="3"/>
  <c r="AL14" i="3"/>
  <c r="AO18" i="3" a="1"/>
  <c r="AO18" i="3" s="1"/>
  <c r="AN17" i="3" a="1"/>
  <c r="AN18" i="3" s="1"/>
  <c r="AM16" i="3" a="1"/>
  <c r="AM18" i="3" s="1"/>
  <c r="AN14" i="3"/>
  <c r="AM14" i="3"/>
  <c r="AL15" i="3" s="1" a="1"/>
  <c r="AF18" i="3" a="1"/>
  <c r="AF18" i="3" s="1"/>
  <c r="AE17" i="3" a="1"/>
  <c r="AE18" i="3" s="1"/>
  <c r="AD16" i="3" a="1"/>
  <c r="AD18" i="3" s="1"/>
  <c r="AE14" i="3"/>
  <c r="AD14" i="3"/>
  <c r="W18" i="3" a="1"/>
  <c r="W18" i="3" s="1"/>
  <c r="V17" i="3" a="1"/>
  <c r="V18" i="3" s="1"/>
  <c r="U16" i="3" a="1"/>
  <c r="U18" i="3" s="1"/>
  <c r="V14" i="3"/>
  <c r="U14" i="3"/>
  <c r="N18" i="3" a="1"/>
  <c r="N18" i="3" s="1"/>
  <c r="M17" i="3" a="1"/>
  <c r="M17" i="3" s="1"/>
  <c r="L16" i="3" a="1"/>
  <c r="L18" i="3" s="1"/>
  <c r="M14" i="3"/>
  <c r="L14" i="3"/>
  <c r="F18" i="3"/>
  <c r="E17" i="3"/>
  <c r="D16" i="3"/>
  <c r="C15" i="3"/>
  <c r="C14" i="3"/>
  <c r="D14" i="3"/>
  <c r="E18" i="3" a="1"/>
  <c r="E18" i="3" s="1"/>
  <c r="D17" i="3" a="1"/>
  <c r="D18" i="3" s="1"/>
  <c r="C16" i="3" a="1"/>
  <c r="C18" i="3" s="1"/>
  <c r="W18" i="2"/>
  <c r="X17" i="2"/>
  <c r="W17" i="2"/>
  <c r="X18" i="2"/>
  <c r="Q18" i="2"/>
  <c r="P18" i="2"/>
  <c r="Q17" i="2"/>
  <c r="P17" i="2"/>
  <c r="X10" i="2"/>
  <c r="W9" i="2"/>
  <c r="Q10" i="2"/>
  <c r="P9" i="2"/>
  <c r="Z15" i="2"/>
  <c r="S15" i="2"/>
  <c r="K18" i="2"/>
  <c r="J18" i="2"/>
  <c r="K17" i="2"/>
  <c r="J17" i="2"/>
  <c r="D18" i="2"/>
  <c r="C18" i="2"/>
  <c r="D17" i="2"/>
  <c r="C17" i="2"/>
  <c r="J9" i="2"/>
  <c r="K10" i="2"/>
  <c r="D10" i="2"/>
  <c r="C9" i="2"/>
  <c r="M15" i="2"/>
  <c r="F15" i="2"/>
  <c r="R21" i="1"/>
  <c r="S21" i="1"/>
  <c r="Q21" i="1"/>
  <c r="K21" i="1"/>
  <c r="L21" i="1"/>
  <c r="J21" i="1"/>
  <c r="J20" i="1"/>
  <c r="D21" i="1"/>
  <c r="E21" i="1"/>
  <c r="C21" i="1"/>
  <c r="D20" i="1"/>
  <c r="C20" i="1"/>
  <c r="S14" i="1"/>
  <c r="R13" i="1"/>
  <c r="Q12" i="1"/>
  <c r="L14" i="1"/>
  <c r="K13" i="1"/>
  <c r="J12" i="1"/>
  <c r="E14" i="1"/>
  <c r="D13" i="1"/>
  <c r="C12" i="1"/>
  <c r="D12" i="1"/>
  <c r="E12" i="1"/>
  <c r="C13" i="1"/>
  <c r="E13" i="1"/>
  <c r="C14" i="1"/>
  <c r="D14" i="1"/>
  <c r="U18" i="1"/>
  <c r="N18" i="1"/>
  <c r="G18" i="1"/>
  <c r="L20" i="1"/>
  <c r="K20" i="1"/>
  <c r="AC26" i="3" l="1"/>
  <c r="T26" i="3"/>
  <c r="AL26" i="3"/>
  <c r="K26" i="3"/>
  <c r="B15" i="3" a="1"/>
  <c r="B18" i="3" s="1"/>
  <c r="K15" i="3" a="1"/>
  <c r="K18" i="3" s="1"/>
  <c r="T15" i="3" a="1"/>
  <c r="T18" i="3" s="1"/>
  <c r="C17" i="3"/>
  <c r="C16" i="3"/>
  <c r="AD16" i="3"/>
  <c r="AC15" i="3" a="1"/>
  <c r="AC17" i="3" s="1"/>
  <c r="AL15" i="3"/>
  <c r="AL18" i="3"/>
  <c r="AL17" i="3"/>
  <c r="AL16" i="3"/>
  <c r="AN17" i="3"/>
  <c r="AM17" i="3"/>
  <c r="AM16" i="3"/>
  <c r="AD17" i="3"/>
  <c r="AE17" i="3"/>
  <c r="T16" i="3"/>
  <c r="V17" i="3"/>
  <c r="U16" i="3"/>
  <c r="U17" i="3"/>
  <c r="M18" i="3"/>
  <c r="L16" i="3"/>
  <c r="L17" i="3"/>
  <c r="D17" i="3"/>
  <c r="Y6" i="2"/>
  <c r="Q19" i="2"/>
  <c r="R6" i="2"/>
  <c r="X19" i="2"/>
  <c r="W21" i="2"/>
  <c r="P21" i="2"/>
  <c r="P19" i="2"/>
  <c r="W19" i="2"/>
  <c r="J21" i="2"/>
  <c r="K19" i="2"/>
  <c r="D19" i="2"/>
  <c r="C21" i="2"/>
  <c r="J19" i="2"/>
  <c r="L6" i="2"/>
  <c r="E6" i="2"/>
  <c r="C19" i="2"/>
  <c r="C22" i="1"/>
  <c r="L22" i="1"/>
  <c r="E9" i="1"/>
  <c r="L9" i="1"/>
  <c r="K22" i="1"/>
  <c r="S9" i="1"/>
  <c r="J22" i="1"/>
  <c r="J24" i="1"/>
  <c r="Q20" i="1"/>
  <c r="R20" i="1"/>
  <c r="R22" i="1" s="1"/>
  <c r="S20" i="1"/>
  <c r="S22" i="1" s="1"/>
  <c r="D22" i="1"/>
  <c r="E20" i="1"/>
  <c r="E22" i="1" s="1"/>
  <c r="K15" i="3" l="1"/>
  <c r="K16" i="3"/>
  <c r="B17" i="3"/>
  <c r="K17" i="3"/>
  <c r="M11" i="3" s="1"/>
  <c r="B15" i="3"/>
  <c r="B16" i="3"/>
  <c r="T17" i="3"/>
  <c r="T15" i="3"/>
  <c r="V11" i="3" s="1"/>
  <c r="AN11" i="3"/>
  <c r="AC18" i="3"/>
  <c r="AC16" i="3"/>
  <c r="D11" i="3"/>
  <c r="AC15" i="3"/>
  <c r="Q24" i="1"/>
  <c r="Q22" i="1"/>
  <c r="C24" i="1"/>
  <c r="AE11" i="3" l="1"/>
  <c r="E7" i="3" l="1" a="1"/>
  <c r="E7" i="3" s="1"/>
  <c r="D6" i="3" a="1"/>
  <c r="D7" i="3" s="1"/>
  <c r="C5" i="3" a="1"/>
  <c r="C6" i="3" s="1"/>
  <c r="B4" i="3" a="1"/>
  <c r="B6" i="3" s="1"/>
  <c r="C7" i="3" l="1"/>
  <c r="C5" i="3"/>
  <c r="D6" i="3"/>
  <c r="AF24" i="3" s="1"/>
  <c r="AF26" i="3" s="1"/>
  <c r="B7" i="3"/>
  <c r="B4" i="3"/>
  <c r="B5" i="3"/>
  <c r="N24" i="3" l="1"/>
  <c r="N26" i="3" s="1"/>
  <c r="AE24" i="3"/>
  <c r="AE26" i="3" s="1"/>
  <c r="AN24" i="3"/>
  <c r="AN26" i="3" s="1"/>
  <c r="D24" i="3"/>
  <c r="D26" i="3" s="1"/>
  <c r="M24" i="3"/>
  <c r="M26" i="3" s="1"/>
  <c r="V24" i="3"/>
  <c r="V26" i="3" s="1"/>
  <c r="U24" i="3"/>
  <c r="U26" i="3" s="1"/>
  <c r="T28" i="3" s="1"/>
  <c r="AD24" i="3"/>
  <c r="AD26" i="3" s="1"/>
  <c r="AC28" i="3" s="1"/>
  <c r="AM24" i="3"/>
  <c r="AM26" i="3" s="1"/>
  <c r="C24" i="3"/>
  <c r="L24" i="3"/>
  <c r="L26" i="3" s="1"/>
  <c r="W24" i="3"/>
  <c r="W26" i="3" s="1"/>
  <c r="E24" i="3"/>
  <c r="E26" i="3" s="1"/>
  <c r="AO24" i="3"/>
  <c r="AO26" i="3" s="1"/>
  <c r="AP24" i="3"/>
  <c r="AP26" i="3" s="1"/>
  <c r="F24" i="3"/>
  <c r="F26" i="3" s="1"/>
  <c r="O24" i="3"/>
  <c r="O26" i="3" s="1"/>
  <c r="X24" i="3"/>
  <c r="X26" i="3" s="1"/>
  <c r="AG24" i="3"/>
  <c r="AG26" i="3" s="1"/>
  <c r="C26" i="3"/>
  <c r="K28" i="3" l="1"/>
  <c r="AL28" i="3"/>
  <c r="B26" i="3"/>
  <c r="B28" i="3" s="1"/>
</calcChain>
</file>

<file path=xl/sharedStrings.xml><?xml version="1.0" encoding="utf-8"?>
<sst xmlns="http://schemas.openxmlformats.org/spreadsheetml/2006/main" count="249" uniqueCount="31">
  <si>
    <t>Covariance matrix</t>
  </si>
  <si>
    <t>Correlation matrix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</si>
  <si>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mean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 xml:space="preserve"> = </t>
    </r>
  </si>
  <si>
    <t xml:space="preserve">R = </t>
  </si>
  <si>
    <t>cov</t>
  </si>
  <si>
    <t>x1'</t>
  </si>
  <si>
    <t>x2'</t>
  </si>
  <si>
    <t>x3'</t>
  </si>
  <si>
    <t>finding eigenvalues</t>
  </si>
  <si>
    <t xml:space="preserve">lambda = </t>
  </si>
  <si>
    <t xml:space="preserve">det = </t>
  </si>
  <si>
    <t>finding eigenvecors</t>
  </si>
  <si>
    <t>eigenvector</t>
  </si>
  <si>
    <t>module</t>
  </si>
  <si>
    <t>cov*eigenvecor</t>
  </si>
  <si>
    <t>lambda*eigenvector</t>
  </si>
  <si>
    <t>difference</t>
  </si>
  <si>
    <t>module of diff ^2</t>
  </si>
  <si>
    <t>Inverse transform matrix (transposed)</t>
  </si>
  <si>
    <t>A</t>
  </si>
  <si>
    <t>Transform matrix</t>
  </si>
  <si>
    <t>A^T</t>
  </si>
  <si>
    <t>cov-lambda*E</t>
  </si>
  <si>
    <t>(2-l)*(4-(5-l)(1-l))=(2-l)(-1+6l-l^2)=(l-2)(l^2-6l+1)</t>
  </si>
  <si>
    <t>Principal components</t>
  </si>
  <si>
    <t>Principle components are different</t>
  </si>
  <si>
    <t>x4'</t>
  </si>
  <si>
    <t>x5'</t>
  </si>
  <si>
    <t>eigenvalues</t>
  </si>
  <si>
    <t>significance</t>
  </si>
  <si>
    <t>The largest eigenvalue (2,08) corresonds to the 4th principal component, hence it describes the most variance. The elements of eigenvector are close ~0.5, so the average of returns of five stocks bears the most information about the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</si>
</sst>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8" formatCode="0.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0" fillId="0" borderId="14" xfId="0" applyBorder="1"/>
    <xf numFmtId="0" fontId="4" fillId="0" borderId="0" xfId="0" applyFont="1" applyFill="1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4" fillId="0" borderId="12" xfId="0" applyNumberFormat="1" applyFont="1" applyBorder="1" applyAlignment="1">
      <alignment horizontal="center"/>
    </xf>
    <xf numFmtId="2" fontId="0" fillId="0" borderId="10" xfId="0" applyNumberFormat="1" applyBorder="1"/>
    <xf numFmtId="2" fontId="0" fillId="0" borderId="14" xfId="0" applyNumberFormat="1" applyBorder="1"/>
    <xf numFmtId="2" fontId="0" fillId="0" borderId="0" xfId="0" applyNumberFormat="1" applyBorder="1"/>
    <xf numFmtId="0" fontId="0" fillId="0" borderId="0" xfId="0" applyFill="1"/>
    <xf numFmtId="2" fontId="0" fillId="0" borderId="0" xfId="0" applyNumberFormat="1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2" borderId="7" xfId="0" applyNumberFormat="1" applyFill="1" applyBorder="1"/>
    <xf numFmtId="2" fontId="0" fillId="2" borderId="0" xfId="0" applyNumberFormat="1" applyFill="1" applyBorder="1"/>
    <xf numFmtId="2" fontId="0" fillId="2" borderId="9" xfId="0" applyNumberFormat="1" applyFill="1" applyBorder="1"/>
    <xf numFmtId="2" fontId="0" fillId="2" borderId="8" xfId="0" applyNumberFormat="1" applyFill="1" applyBorder="1"/>
    <xf numFmtId="2" fontId="0" fillId="2" borderId="10" xfId="0" applyNumberFormat="1" applyFill="1" applyBorder="1"/>
    <xf numFmtId="2" fontId="0" fillId="2" borderId="11" xfId="0" applyNumberFormat="1" applyFill="1" applyBorder="1"/>
    <xf numFmtId="2" fontId="4" fillId="0" borderId="0" xfId="0" applyNumberFormat="1" applyFont="1" applyBorder="1" applyAlignment="1">
      <alignment horizontal="center"/>
    </xf>
    <xf numFmtId="2" fontId="0" fillId="0" borderId="8" xfId="0" applyNumberFormat="1" applyFill="1" applyBorder="1"/>
    <xf numFmtId="0" fontId="0" fillId="0" borderId="10" xfId="0" applyFill="1" applyBorder="1"/>
    <xf numFmtId="2" fontId="0" fillId="0" borderId="10" xfId="0" applyNumberFormat="1" applyFill="1" applyBorder="1"/>
    <xf numFmtId="2" fontId="0" fillId="0" borderId="11" xfId="0" applyNumberFormat="1" applyFill="1" applyBorder="1"/>
    <xf numFmtId="2" fontId="0" fillId="0" borderId="9" xfId="0" applyNumberFormat="1" applyFill="1" applyBorder="1"/>
    <xf numFmtId="2" fontId="4" fillId="0" borderId="0" xfId="0" applyNumberFormat="1" applyFont="1" applyFill="1" applyBorder="1" applyAlignment="1">
      <alignment horizontal="center"/>
    </xf>
    <xf numFmtId="164" fontId="0" fillId="0" borderId="0" xfId="0" applyNumberFormat="1" applyBorder="1"/>
    <xf numFmtId="2" fontId="0" fillId="0" borderId="0" xfId="0" applyNumberFormat="1" applyFill="1" applyBorder="1"/>
    <xf numFmtId="0" fontId="0" fillId="0" borderId="0" xfId="0" applyFill="1" applyBorder="1"/>
    <xf numFmtId="0" fontId="0" fillId="0" borderId="13" xfId="0" applyBorder="1" applyAlignment="1">
      <alignment horizontal="center"/>
    </xf>
    <xf numFmtId="2" fontId="0" fillId="2" borderId="13" xfId="0" applyNumberFormat="1" applyFill="1" applyBorder="1"/>
    <xf numFmtId="2" fontId="0" fillId="0" borderId="13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2" fontId="0" fillId="2" borderId="18" xfId="0" applyNumberFormat="1" applyFill="1" applyBorder="1"/>
    <xf numFmtId="2" fontId="0" fillId="2" borderId="19" xfId="0" applyNumberFormat="1" applyFill="1" applyBorder="1"/>
    <xf numFmtId="2" fontId="0" fillId="2" borderId="20" xfId="0" applyNumberFormat="1" applyFill="1" applyBorder="1"/>
    <xf numFmtId="2" fontId="0" fillId="0" borderId="21" xfId="0" applyNumberFormat="1" applyFill="1" applyBorder="1" applyAlignment="1">
      <alignment horizontal="center"/>
    </xf>
    <xf numFmtId="2" fontId="0" fillId="2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2" fontId="0" fillId="2" borderId="22" xfId="0" applyNumberFormat="1" applyFill="1" applyBorder="1"/>
    <xf numFmtId="9" fontId="0" fillId="0" borderId="0" xfId="1" applyFont="1"/>
    <xf numFmtId="0" fontId="0" fillId="0" borderId="0" xfId="0" applyBorder="1" applyAlignment="1">
      <alignment horizontal="center" wrapText="1"/>
    </xf>
    <xf numFmtId="168" fontId="0" fillId="2" borderId="0" xfId="0" applyNumberForma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9A43-04DF-4C0A-B784-37A9BD58966D}">
  <dimension ref="A1:U36"/>
  <sheetViews>
    <sheetView zoomScale="84" workbookViewId="0">
      <selection activeCell="B7" sqref="B7:T36"/>
    </sheetView>
  </sheetViews>
  <sheetFormatPr baseColWidth="10" defaultColWidth="8.83203125" defaultRowHeight="15" x14ac:dyDescent="0.2"/>
  <cols>
    <col min="2" max="5" width="9" bestFit="1" customWidth="1"/>
    <col min="7" max="7" width="12.33203125" bestFit="1" customWidth="1"/>
    <col min="9" max="12" width="9" bestFit="1" customWidth="1"/>
    <col min="14" max="14" width="9" bestFit="1" customWidth="1"/>
    <col min="17" max="19" width="9" bestFit="1" customWidth="1"/>
    <col min="21" max="21" width="9.83203125" bestFit="1" customWidth="1"/>
  </cols>
  <sheetData>
    <row r="1" spans="1:19" ht="16" thickBot="1" x14ac:dyDescent="0.25">
      <c r="A1" s="13"/>
      <c r="B1" t="s">
        <v>4</v>
      </c>
    </row>
    <row r="2" spans="1:19" x14ac:dyDescent="0.2">
      <c r="A2" s="14"/>
      <c r="B2" s="12"/>
      <c r="C2" s="12" t="s">
        <v>5</v>
      </c>
      <c r="D2" s="12" t="s">
        <v>6</v>
      </c>
      <c r="E2" s="12" t="s">
        <v>7</v>
      </c>
      <c r="H2" s="16" t="s">
        <v>23</v>
      </c>
    </row>
    <row r="3" spans="1:19" x14ac:dyDescent="0.2">
      <c r="A3" s="13"/>
      <c r="B3" t="s">
        <v>5</v>
      </c>
      <c r="C3" s="15">
        <v>1</v>
      </c>
      <c r="D3" s="15">
        <v>-2</v>
      </c>
      <c r="E3" s="15">
        <v>0</v>
      </c>
    </row>
    <row r="4" spans="1:19" x14ac:dyDescent="0.2">
      <c r="A4" s="13"/>
      <c r="B4" t="s">
        <v>6</v>
      </c>
      <c r="C4" s="13">
        <v>-2</v>
      </c>
      <c r="D4" s="13">
        <v>5</v>
      </c>
      <c r="E4" s="13">
        <v>0</v>
      </c>
    </row>
    <row r="5" spans="1:19" ht="16" thickBot="1" x14ac:dyDescent="0.25">
      <c r="A5" s="13"/>
      <c r="B5" s="10" t="s">
        <v>7</v>
      </c>
      <c r="C5" s="10">
        <v>0</v>
      </c>
      <c r="D5" s="10">
        <v>0</v>
      </c>
      <c r="E5" s="10">
        <v>2</v>
      </c>
    </row>
    <row r="6" spans="1:19" x14ac:dyDescent="0.2">
      <c r="A6" s="1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2">
      <c r="B7" s="17"/>
      <c r="C7" s="17"/>
      <c r="D7" s="17"/>
      <c r="E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x14ac:dyDescent="0.2">
      <c r="B8" s="17" t="s">
        <v>8</v>
      </c>
      <c r="C8" s="17"/>
      <c r="D8" s="17" t="s">
        <v>9</v>
      </c>
      <c r="E8" s="19">
        <v>1.9999995710067038</v>
      </c>
      <c r="I8" s="17" t="s">
        <v>8</v>
      </c>
      <c r="J8" s="17"/>
      <c r="K8" s="17" t="s">
        <v>9</v>
      </c>
      <c r="L8" s="19">
        <v>0.17157298040735477</v>
      </c>
      <c r="M8" s="17"/>
      <c r="N8" s="17"/>
      <c r="O8" s="17"/>
      <c r="P8" s="17" t="s">
        <v>8</v>
      </c>
      <c r="Q8" s="17"/>
      <c r="R8" s="17" t="s">
        <v>9</v>
      </c>
      <c r="S8" s="19">
        <v>5.8284270686787671</v>
      </c>
    </row>
    <row r="9" spans="1:19" x14ac:dyDescent="0.2">
      <c r="B9" s="17"/>
      <c r="C9" s="17"/>
      <c r="D9" s="17" t="s">
        <v>10</v>
      </c>
      <c r="E9" s="17">
        <f>MDETERM(C12:E14)</f>
        <v>-3.0029527054681303E-6</v>
      </c>
      <c r="I9" s="17"/>
      <c r="J9" s="17"/>
      <c r="K9" s="17" t="s">
        <v>10</v>
      </c>
      <c r="L9" s="17">
        <f>MDETERM(J12:L14)</f>
        <v>-1.0876183582060857E-6</v>
      </c>
      <c r="M9" s="17"/>
      <c r="N9" s="17"/>
      <c r="O9" s="17"/>
      <c r="P9" s="17"/>
      <c r="Q9" s="17"/>
      <c r="R9" s="17" t="s">
        <v>10</v>
      </c>
      <c r="S9" s="17">
        <f>MDETERM(Q12:S14)</f>
        <v>1.2142439767603169E-6</v>
      </c>
    </row>
    <row r="10" spans="1:19" ht="16" thickBot="1" x14ac:dyDescent="0.25">
      <c r="B10" s="17" t="s">
        <v>22</v>
      </c>
      <c r="C10" s="17"/>
      <c r="D10" s="17"/>
      <c r="E10" s="17"/>
      <c r="I10" s="17" t="s">
        <v>4</v>
      </c>
      <c r="J10" s="17"/>
      <c r="K10" s="17"/>
      <c r="L10" s="17"/>
      <c r="M10" s="17"/>
      <c r="N10" s="17"/>
      <c r="O10" s="17"/>
      <c r="P10" s="17" t="s">
        <v>4</v>
      </c>
      <c r="Q10" s="17"/>
      <c r="R10" s="17"/>
      <c r="S10" s="17"/>
    </row>
    <row r="11" spans="1:19" x14ac:dyDescent="0.2">
      <c r="B11" s="20"/>
      <c r="C11" s="20" t="s">
        <v>5</v>
      </c>
      <c r="D11" s="20" t="s">
        <v>6</v>
      </c>
      <c r="E11" s="20" t="s">
        <v>7</v>
      </c>
      <c r="I11" s="20"/>
      <c r="J11" s="20" t="s">
        <v>5</v>
      </c>
      <c r="K11" s="20" t="s">
        <v>6</v>
      </c>
      <c r="L11" s="20" t="s">
        <v>7</v>
      </c>
      <c r="M11" s="17"/>
      <c r="N11" s="17"/>
      <c r="O11" s="17"/>
      <c r="P11" s="20"/>
      <c r="Q11" s="20" t="s">
        <v>5</v>
      </c>
      <c r="R11" s="20" t="s">
        <v>6</v>
      </c>
      <c r="S11" s="20" t="s">
        <v>7</v>
      </c>
    </row>
    <row r="12" spans="1:19" x14ac:dyDescent="0.2">
      <c r="B12" s="17" t="s">
        <v>5</v>
      </c>
      <c r="C12" s="17">
        <f>C3-_lambda1</f>
        <v>-0.99999957100670378</v>
      </c>
      <c r="D12" s="17">
        <f>D3-F8</f>
        <v>-2</v>
      </c>
      <c r="E12" s="17">
        <f>E3-G8</f>
        <v>0</v>
      </c>
      <c r="I12" s="17" t="s">
        <v>5</v>
      </c>
      <c r="J12" s="22">
        <f>1-_lambda2</f>
        <v>0.8284270195926452</v>
      </c>
      <c r="K12" s="22">
        <v>-2</v>
      </c>
      <c r="L12" s="22">
        <v>0</v>
      </c>
      <c r="M12" s="17"/>
      <c r="N12" s="17"/>
      <c r="O12" s="17"/>
      <c r="P12" s="17" t="s">
        <v>5</v>
      </c>
      <c r="Q12" s="22">
        <f>1-_lambda3</f>
        <v>-4.8284270686787671</v>
      </c>
      <c r="R12" s="22">
        <v>-2</v>
      </c>
      <c r="S12" s="22">
        <v>0</v>
      </c>
    </row>
    <row r="13" spans="1:19" x14ac:dyDescent="0.2">
      <c r="B13" s="17" t="s">
        <v>6</v>
      </c>
      <c r="C13" s="17">
        <f>C4</f>
        <v>-2</v>
      </c>
      <c r="D13" s="17">
        <f>D4-_lambda1</f>
        <v>3.000000428993296</v>
      </c>
      <c r="E13" s="17">
        <f>E4</f>
        <v>0</v>
      </c>
      <c r="I13" s="17" t="s">
        <v>6</v>
      </c>
      <c r="J13" s="23">
        <v>-2</v>
      </c>
      <c r="K13" s="23">
        <f>5-_lambda2</f>
        <v>4.8284270195926453</v>
      </c>
      <c r="L13" s="23">
        <v>0</v>
      </c>
      <c r="M13" s="17"/>
      <c r="N13" s="17"/>
      <c r="O13" s="17"/>
      <c r="P13" s="17" t="s">
        <v>6</v>
      </c>
      <c r="Q13" s="23">
        <v>-2</v>
      </c>
      <c r="R13" s="23">
        <f>5-_lambda3</f>
        <v>-0.82842706867876714</v>
      </c>
      <c r="S13" s="23">
        <v>0</v>
      </c>
    </row>
    <row r="14" spans="1:19" ht="16" thickBot="1" x14ac:dyDescent="0.25">
      <c r="B14" s="21" t="s">
        <v>7</v>
      </c>
      <c r="C14" s="21">
        <f>C5</f>
        <v>0</v>
      </c>
      <c r="D14" s="21">
        <f>D5</f>
        <v>0</v>
      </c>
      <c r="E14" s="21">
        <f>E5-_lambda1</f>
        <v>4.2899329621981508E-7</v>
      </c>
      <c r="I14" s="21" t="s">
        <v>7</v>
      </c>
      <c r="J14" s="21">
        <v>0</v>
      </c>
      <c r="K14" s="21">
        <v>0</v>
      </c>
      <c r="L14" s="21">
        <f>2-_lambda2</f>
        <v>1.8284270195926453</v>
      </c>
      <c r="M14" s="17"/>
      <c r="N14" s="17"/>
      <c r="O14" s="17"/>
      <c r="P14" s="21" t="s">
        <v>7</v>
      </c>
      <c r="Q14" s="21">
        <v>0</v>
      </c>
      <c r="R14" s="21">
        <v>0</v>
      </c>
      <c r="S14" s="21">
        <f>2-_lambda3</f>
        <v>-3.8284270686787671</v>
      </c>
    </row>
    <row r="15" spans="1:19" x14ac:dyDescent="0.2">
      <c r="B15" s="17"/>
      <c r="C15" s="17"/>
      <c r="D15" s="17"/>
      <c r="E15" s="17"/>
    </row>
    <row r="16" spans="1:19" x14ac:dyDescent="0.2">
      <c r="B16" t="s">
        <v>11</v>
      </c>
      <c r="I16" t="s">
        <v>11</v>
      </c>
      <c r="P16" t="s">
        <v>11</v>
      </c>
    </row>
    <row r="18" spans="1:21" x14ac:dyDescent="0.2">
      <c r="B18" t="s">
        <v>12</v>
      </c>
      <c r="C18" s="19">
        <v>-4.9809023711068641E-5</v>
      </c>
      <c r="D18" s="19">
        <v>-5.2641427675623534E-4</v>
      </c>
      <c r="E18" s="19">
        <v>0.99999985828876647</v>
      </c>
      <c r="F18" t="s">
        <v>13</v>
      </c>
      <c r="G18">
        <f>SUMPRODUCT(C18:E18,C18:E18)</f>
        <v>0.99999999617048263</v>
      </c>
      <c r="I18" t="s">
        <v>12</v>
      </c>
      <c r="J18" s="19">
        <v>0.92376726089802108</v>
      </c>
      <c r="K18" s="19">
        <v>0.38295434043927412</v>
      </c>
      <c r="L18" s="19">
        <v>1.5608463017820648E-4</v>
      </c>
      <c r="M18" t="s">
        <v>13</v>
      </c>
      <c r="N18">
        <f>SUMPRODUCT(J18:L18,J18:L18)</f>
        <v>1.0000000035307239</v>
      </c>
      <c r="P18" t="s">
        <v>12</v>
      </c>
      <c r="Q18" s="19">
        <v>0.3826400686250801</v>
      </c>
      <c r="R18" s="19">
        <v>-0.9238970419098701</v>
      </c>
      <c r="S18" s="19">
        <v>1.7413868048492984E-5</v>
      </c>
      <c r="T18" t="s">
        <v>13</v>
      </c>
      <c r="U18" s="18">
        <f>SUMPRODUCT(Q18:S18,Q18:S18)</f>
        <v>0.99999916647045706</v>
      </c>
    </row>
    <row r="20" spans="1:21" x14ac:dyDescent="0.2">
      <c r="B20" t="s">
        <v>14</v>
      </c>
      <c r="C20" s="17">
        <f>SUMPRODUCT(C18:E18,C3:E3)</f>
        <v>1.0030195298014019E-3</v>
      </c>
      <c r="D20" s="17">
        <f>SUMPRODUCT(C18:E18,C4:E4)</f>
        <v>-2.5324533363590392E-3</v>
      </c>
      <c r="E20" s="17">
        <f>SUMPRODUCT(C5:E5,C18:E18)</f>
        <v>1.9999997165775329</v>
      </c>
      <c r="I20" t="s">
        <v>14</v>
      </c>
      <c r="J20" s="17">
        <f>SUMPRODUCT(J18:L18,C3:E3)</f>
        <v>0.15785858001947284</v>
      </c>
      <c r="K20" s="17">
        <f>SUMPRODUCT(J18:L18,C4:E4)</f>
        <v>6.7237180400328445E-2</v>
      </c>
      <c r="L20" s="17">
        <f>SUMPRODUCT(C5:E5,J18:L18)</f>
        <v>3.1216926035641297E-4</v>
      </c>
      <c r="P20" t="s">
        <v>14</v>
      </c>
      <c r="Q20" s="17">
        <f>SUMPRODUCT(Q18:S18,C3:E3)</f>
        <v>2.2304341524448201</v>
      </c>
      <c r="R20" s="17">
        <f>SUMPRODUCT(Q18:S18,C4:E4)</f>
        <v>-5.3847653467995107</v>
      </c>
      <c r="S20" s="17">
        <f>SUMPRODUCT(C5:E5,Q18:S18)</f>
        <v>3.4827736096985967E-5</v>
      </c>
    </row>
    <row r="21" spans="1:21" x14ac:dyDescent="0.2">
      <c r="B21" t="s">
        <v>15</v>
      </c>
      <c r="C21" s="17">
        <f>_lambda1*C18</f>
        <v>-9.9618026054400019E-5</v>
      </c>
      <c r="D21" s="17">
        <f>_lambda1*D18</f>
        <v>-1.0528283276842749E-3</v>
      </c>
      <c r="E21" s="17">
        <f>_lambda1*E18</f>
        <v>1.9999992875842976</v>
      </c>
      <c r="I21" t="s">
        <v>15</v>
      </c>
      <c r="J21" s="17">
        <f>_lambda2*J18</f>
        <v>0.15849350215501196</v>
      </c>
      <c r="K21" s="17">
        <f>_lambda2*K18</f>
        <v>6.5704617549099051E-2</v>
      </c>
      <c r="L21" s="17">
        <f>_lambda2*L18</f>
        <v>2.6779905195454636E-5</v>
      </c>
      <c r="P21" t="s">
        <v>15</v>
      </c>
      <c r="Q21" s="17">
        <f>_lambda3*Q18</f>
        <v>2.2301897335355179</v>
      </c>
      <c r="R21" s="17">
        <f>_lambda3*R18</f>
        <v>-5.3848665277397281</v>
      </c>
      <c r="S21" s="17">
        <f>_lambda3*S18</f>
        <v>1.0149545990423681E-4</v>
      </c>
    </row>
    <row r="22" spans="1:21" x14ac:dyDescent="0.2">
      <c r="B22" t="s">
        <v>16</v>
      </c>
      <c r="C22" s="17">
        <f>C20-C21</f>
        <v>1.102637555855802E-3</v>
      </c>
      <c r="D22" s="17">
        <f t="shared" ref="D22:E22" si="0">D20-D21</f>
        <v>-1.4796250086747643E-3</v>
      </c>
      <c r="E22" s="17">
        <f t="shared" si="0"/>
        <v>4.2899323537959333E-7</v>
      </c>
      <c r="I22" t="s">
        <v>16</v>
      </c>
      <c r="J22" s="17">
        <f>J20-J21</f>
        <v>-6.3492213553911769E-4</v>
      </c>
      <c r="K22" s="17">
        <f t="shared" ref="K22:L22" si="1">K20-K21</f>
        <v>1.5325628512293937E-3</v>
      </c>
      <c r="L22" s="17">
        <f t="shared" si="1"/>
        <v>2.8538935516095836E-4</v>
      </c>
      <c r="P22" t="s">
        <v>16</v>
      </c>
      <c r="Q22" s="17">
        <f>Q20-Q21</f>
        <v>2.4441890930226862E-4</v>
      </c>
      <c r="R22" s="17">
        <f t="shared" ref="R22:S22" si="2">R20-R21</f>
        <v>1.0118094021738244E-4</v>
      </c>
      <c r="S22" s="17">
        <f t="shared" si="2"/>
        <v>-6.6667723807250834E-5</v>
      </c>
    </row>
    <row r="24" spans="1:21" x14ac:dyDescent="0.2">
      <c r="B24" t="s">
        <v>17</v>
      </c>
      <c r="C24" s="17">
        <f>(C20-C21)^2+(D20-D21)^2+(E20-E21)^2</f>
        <v>3.4050999299146493E-6</v>
      </c>
      <c r="I24" t="s">
        <v>17</v>
      </c>
      <c r="J24" s="17">
        <f>(J20-J21)^2+(K20-K21)^2+(L20-L21)^2</f>
        <v>2.8333220952051097E-6</v>
      </c>
      <c r="P24" t="s">
        <v>17</v>
      </c>
      <c r="Q24" s="17">
        <f>(Q20-Q21)^2+(R20-R21)^2+(S20-S21)^2</f>
        <v>7.4422771285424024E-8</v>
      </c>
    </row>
    <row r="27" spans="1:21" ht="16" thickBot="1" x14ac:dyDescent="0.25"/>
    <row r="28" spans="1:21" x14ac:dyDescent="0.2">
      <c r="B28" t="s">
        <v>18</v>
      </c>
      <c r="G28" s="26" t="s">
        <v>24</v>
      </c>
      <c r="H28" s="27"/>
      <c r="I28" s="27"/>
      <c r="J28" s="27"/>
      <c r="K28" s="28"/>
    </row>
    <row r="29" spans="1:21" x14ac:dyDescent="0.2">
      <c r="B29" s="19">
        <v>-4.9809023711068641E-5</v>
      </c>
      <c r="C29" s="19">
        <v>0.92376726089802108</v>
      </c>
      <c r="D29" s="19">
        <v>0.3826400686250801</v>
      </c>
      <c r="G29" s="29">
        <v>-4.9809023711068641E-5</v>
      </c>
      <c r="H29" s="13"/>
      <c r="I29" s="30">
        <v>0.92376726089802108</v>
      </c>
      <c r="J29" s="13"/>
      <c r="K29" s="31">
        <v>0.3826400686250801</v>
      </c>
      <c r="L29" s="24"/>
    </row>
    <row r="30" spans="1:21" x14ac:dyDescent="0.2">
      <c r="A30" t="s">
        <v>19</v>
      </c>
      <c r="B30" s="19">
        <v>-5.2641427675623534E-4</v>
      </c>
      <c r="C30" s="19">
        <v>0.38295434043927412</v>
      </c>
      <c r="D30" s="19">
        <v>-0.9238970419098701</v>
      </c>
      <c r="G30" s="29">
        <v>-5.2641427675623534E-4</v>
      </c>
      <c r="H30" s="13"/>
      <c r="I30" s="30">
        <v>0.38295434043927412</v>
      </c>
      <c r="J30" s="13"/>
      <c r="K30" s="31">
        <v>-0.9238970419098701</v>
      </c>
      <c r="L30" s="24"/>
    </row>
    <row r="31" spans="1:21" ht="16" thickBot="1" x14ac:dyDescent="0.25">
      <c r="B31" s="19">
        <v>0.99999985828876647</v>
      </c>
      <c r="C31" s="19">
        <v>1.5608463017820648E-4</v>
      </c>
      <c r="D31" s="19">
        <v>1.7413868048492984E-5</v>
      </c>
      <c r="G31" s="32">
        <v>0.99999985828876647</v>
      </c>
      <c r="H31" s="10"/>
      <c r="I31" s="33">
        <v>1.5608463017820648E-4</v>
      </c>
      <c r="J31" s="10"/>
      <c r="K31" s="34">
        <v>1.7413868048492984E-5</v>
      </c>
      <c r="L31" s="24"/>
    </row>
    <row r="32" spans="1:21" x14ac:dyDescent="0.2">
      <c r="H32" s="24"/>
      <c r="I32" s="25"/>
      <c r="J32" s="25"/>
      <c r="K32" s="25"/>
      <c r="L32" s="24"/>
    </row>
    <row r="33" spans="1:12" x14ac:dyDescent="0.2">
      <c r="B33" t="s">
        <v>20</v>
      </c>
      <c r="H33" s="24"/>
      <c r="I33" s="24"/>
      <c r="J33" s="24"/>
      <c r="K33" s="24"/>
      <c r="L33" s="24"/>
    </row>
    <row r="34" spans="1:12" x14ac:dyDescent="0.2">
      <c r="B34" s="19">
        <v>-4.9809023711068641E-5</v>
      </c>
      <c r="C34" s="19">
        <v>-5.2641427675623534E-4</v>
      </c>
      <c r="D34" s="19">
        <v>0.99999985828876647</v>
      </c>
      <c r="H34" s="24"/>
      <c r="I34" s="24"/>
      <c r="J34" s="24"/>
      <c r="K34" s="24"/>
      <c r="L34" s="24"/>
    </row>
    <row r="35" spans="1:12" x14ac:dyDescent="0.2">
      <c r="A35" t="s">
        <v>21</v>
      </c>
      <c r="B35" s="19">
        <v>0.92376726089802108</v>
      </c>
      <c r="C35" s="19">
        <v>0.38295434043927412</v>
      </c>
      <c r="D35" s="19">
        <v>1.5608463017820648E-4</v>
      </c>
    </row>
    <row r="36" spans="1:12" x14ac:dyDescent="0.2">
      <c r="B36" s="19">
        <v>0.3826400686250801</v>
      </c>
      <c r="C36" s="19">
        <v>-0.9238970419098701</v>
      </c>
      <c r="D36" s="19">
        <v>1.7413868048492984E-5</v>
      </c>
    </row>
  </sheetData>
  <mergeCells count="1">
    <mergeCell ref="G28:K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6263-71BC-6545-8B58-15CE3D5B7DBF}">
  <dimension ref="A1:Z36"/>
  <sheetViews>
    <sheetView topLeftCell="L12" zoomScale="131" workbookViewId="0">
      <selection activeCell="S18" sqref="S18"/>
    </sheetView>
  </sheetViews>
  <sheetFormatPr baseColWidth="10" defaultRowHeight="15" x14ac:dyDescent="0.2"/>
  <cols>
    <col min="6" max="6" width="11.6640625" bestFit="1" customWidth="1"/>
  </cols>
  <sheetData>
    <row r="1" spans="1:26" x14ac:dyDescent="0.2">
      <c r="A1" t="s">
        <v>0</v>
      </c>
      <c r="E1" t="s">
        <v>1</v>
      </c>
      <c r="O1" t="s">
        <v>1</v>
      </c>
    </row>
    <row r="2" spans="1:26" x14ac:dyDescent="0.2">
      <c r="A2">
        <v>1</v>
      </c>
      <c r="B2">
        <v>4</v>
      </c>
      <c r="E2">
        <v>1</v>
      </c>
      <c r="F2">
        <v>0.4</v>
      </c>
      <c r="O2">
        <v>1</v>
      </c>
      <c r="P2">
        <v>0.4</v>
      </c>
    </row>
    <row r="3" spans="1:26" x14ac:dyDescent="0.2">
      <c r="A3">
        <v>4</v>
      </c>
      <c r="B3">
        <v>100</v>
      </c>
      <c r="E3">
        <v>0.4</v>
      </c>
      <c r="F3">
        <v>1</v>
      </c>
      <c r="O3">
        <v>0.4</v>
      </c>
      <c r="P3">
        <v>1</v>
      </c>
    </row>
    <row r="5" spans="1:26" x14ac:dyDescent="0.2">
      <c r="B5" s="17" t="s">
        <v>8</v>
      </c>
      <c r="C5" s="17"/>
      <c r="D5" s="17" t="s">
        <v>9</v>
      </c>
      <c r="E5" s="19">
        <v>0.83864673936045431</v>
      </c>
      <c r="I5" s="17" t="s">
        <v>8</v>
      </c>
      <c r="J5" s="17"/>
      <c r="K5" s="17" t="s">
        <v>9</v>
      </c>
      <c r="L5" s="19">
        <v>100.16135310551762</v>
      </c>
      <c r="M5" s="17"/>
      <c r="N5" s="17"/>
      <c r="O5" s="17" t="s">
        <v>8</v>
      </c>
      <c r="P5" s="17"/>
      <c r="Q5" s="17" t="s">
        <v>9</v>
      </c>
      <c r="R5" s="19">
        <v>0.60000004779854477</v>
      </c>
      <c r="V5" s="17" t="s">
        <v>8</v>
      </c>
      <c r="W5" s="17"/>
      <c r="X5" s="17" t="s">
        <v>9</v>
      </c>
      <c r="Y5" s="19">
        <v>1.4</v>
      </c>
      <c r="Z5" s="17"/>
    </row>
    <row r="6" spans="1:26" x14ac:dyDescent="0.2">
      <c r="B6" s="17"/>
      <c r="C6" s="17"/>
      <c r="D6" s="17" t="s">
        <v>10</v>
      </c>
      <c r="E6" s="17">
        <f>MDETERM(C9:D10)</f>
        <v>7.6780340378945766E-6</v>
      </c>
      <c r="I6" s="17"/>
      <c r="J6" s="17"/>
      <c r="K6" s="17" t="s">
        <v>10</v>
      </c>
      <c r="L6" s="17">
        <f>MDETERM(J9:K10)</f>
        <v>-7.7290954790563019E-6</v>
      </c>
      <c r="M6" s="17"/>
      <c r="N6" s="17"/>
      <c r="O6" s="17"/>
      <c r="P6" s="17"/>
      <c r="Q6" s="17" t="s">
        <v>10</v>
      </c>
      <c r="R6" s="17">
        <f>MDETERM(P9:Q10)</f>
        <v>-3.8238833544035344E-8</v>
      </c>
      <c r="V6" s="17"/>
      <c r="W6" s="17"/>
      <c r="X6" s="17" t="s">
        <v>10</v>
      </c>
      <c r="Y6" s="17">
        <f>MDETERM(W9:X10)</f>
        <v>-8.8817841970012528E-17</v>
      </c>
      <c r="Z6" s="17"/>
    </row>
    <row r="7" spans="1:26" ht="16" thickBot="1" x14ac:dyDescent="0.25">
      <c r="B7" s="17" t="s">
        <v>22</v>
      </c>
      <c r="C7" s="17"/>
      <c r="D7" s="17"/>
      <c r="E7" s="17"/>
      <c r="I7" s="17" t="s">
        <v>4</v>
      </c>
      <c r="J7" s="17"/>
      <c r="K7" s="17"/>
      <c r="L7" s="17"/>
      <c r="M7" s="17"/>
      <c r="N7" s="17"/>
      <c r="O7" s="17" t="s">
        <v>22</v>
      </c>
      <c r="P7" s="17"/>
      <c r="Q7" s="17"/>
      <c r="R7" s="17"/>
      <c r="V7" s="17" t="s">
        <v>4</v>
      </c>
      <c r="W7" s="17"/>
      <c r="X7" s="17"/>
      <c r="Y7" s="17"/>
      <c r="Z7" s="17"/>
    </row>
    <row r="8" spans="1:26" x14ac:dyDescent="0.2">
      <c r="B8" s="20"/>
      <c r="C8" s="20" t="s">
        <v>5</v>
      </c>
      <c r="D8" s="20" t="s">
        <v>6</v>
      </c>
      <c r="E8" s="35"/>
      <c r="I8" s="20"/>
      <c r="J8" s="20" t="s">
        <v>5</v>
      </c>
      <c r="K8" s="20" t="s">
        <v>6</v>
      </c>
      <c r="L8" s="35"/>
      <c r="M8" s="17"/>
      <c r="N8" s="17"/>
      <c r="O8" s="20"/>
      <c r="P8" s="20" t="s">
        <v>5</v>
      </c>
      <c r="Q8" s="20" t="s">
        <v>6</v>
      </c>
      <c r="R8" s="35"/>
      <c r="V8" s="20"/>
      <c r="W8" s="20" t="s">
        <v>5</v>
      </c>
      <c r="X8" s="20" t="s">
        <v>6</v>
      </c>
      <c r="Y8" s="35"/>
      <c r="Z8" s="17"/>
    </row>
    <row r="9" spans="1:26" x14ac:dyDescent="0.2">
      <c r="B9" s="17" t="s">
        <v>5</v>
      </c>
      <c r="C9">
        <f>1-_ll1</f>
        <v>0.16135326063954569</v>
      </c>
      <c r="D9">
        <v>4</v>
      </c>
      <c r="E9" s="23"/>
      <c r="I9" s="17" t="s">
        <v>5</v>
      </c>
      <c r="J9">
        <f>1-_ll2</f>
        <v>-99.16135310551762</v>
      </c>
      <c r="K9">
        <v>4</v>
      </c>
      <c r="L9" s="23"/>
      <c r="M9" s="17"/>
      <c r="N9" s="17"/>
      <c r="O9" s="17" t="s">
        <v>5</v>
      </c>
      <c r="P9">
        <f>1-_ll3</f>
        <v>0.39999995220145523</v>
      </c>
      <c r="Q9">
        <v>0.4</v>
      </c>
      <c r="R9" s="23"/>
      <c r="V9" s="17" t="s">
        <v>5</v>
      </c>
      <c r="W9">
        <f>1-_ll4</f>
        <v>-0.39999999999999991</v>
      </c>
      <c r="X9">
        <v>0.4</v>
      </c>
      <c r="Y9" s="23"/>
      <c r="Z9" s="17"/>
    </row>
    <row r="10" spans="1:26" x14ac:dyDescent="0.2">
      <c r="B10" s="17" t="s">
        <v>6</v>
      </c>
      <c r="C10">
        <v>4</v>
      </c>
      <c r="D10">
        <f>100-_ll1</f>
        <v>99.161353260639544</v>
      </c>
      <c r="E10" s="23"/>
      <c r="I10" s="17" t="s">
        <v>6</v>
      </c>
      <c r="J10">
        <v>4</v>
      </c>
      <c r="K10">
        <f>100-_ll2</f>
        <v>-0.16135310551761961</v>
      </c>
      <c r="L10" s="23"/>
      <c r="M10" s="17"/>
      <c r="N10" s="17"/>
      <c r="O10" s="17" t="s">
        <v>6</v>
      </c>
      <c r="P10">
        <v>0.4</v>
      </c>
      <c r="Q10">
        <f>1-_ll3</f>
        <v>0.39999995220145523</v>
      </c>
      <c r="R10" s="23"/>
      <c r="V10" s="17" t="s">
        <v>6</v>
      </c>
      <c r="W10">
        <v>0.4</v>
      </c>
      <c r="X10">
        <f>1-_ll4</f>
        <v>-0.39999999999999991</v>
      </c>
      <c r="Y10" s="23"/>
      <c r="Z10" s="17"/>
    </row>
    <row r="11" spans="1:26" x14ac:dyDescent="0.2">
      <c r="B11" s="23"/>
      <c r="C11" s="23"/>
      <c r="D11" s="23"/>
      <c r="E11" s="23"/>
      <c r="I11" s="23"/>
      <c r="J11" s="23"/>
      <c r="K11" s="23"/>
      <c r="L11" s="23"/>
      <c r="M11" s="17"/>
      <c r="N11" s="17"/>
      <c r="O11" s="23"/>
      <c r="P11" s="23"/>
      <c r="Q11" s="23"/>
      <c r="R11" s="23"/>
      <c r="V11" s="23"/>
      <c r="W11" s="23"/>
      <c r="X11" s="23"/>
      <c r="Y11" s="23"/>
      <c r="Z11" s="17"/>
    </row>
    <row r="12" spans="1:26" x14ac:dyDescent="0.2">
      <c r="B12" s="17"/>
      <c r="C12" s="17"/>
      <c r="D12" s="17"/>
      <c r="E12" s="17"/>
      <c r="O12" s="17"/>
      <c r="P12" s="17"/>
      <c r="Q12" s="17"/>
      <c r="R12" s="17"/>
    </row>
    <row r="13" spans="1:26" x14ac:dyDescent="0.2">
      <c r="B13" t="s">
        <v>11</v>
      </c>
      <c r="I13" t="s">
        <v>11</v>
      </c>
      <c r="O13" t="s">
        <v>11</v>
      </c>
      <c r="V13" t="s">
        <v>11</v>
      </c>
    </row>
    <row r="15" spans="1:26" x14ac:dyDescent="0.2">
      <c r="B15" t="s">
        <v>12</v>
      </c>
      <c r="C15" s="19">
        <v>-0.99918742113516434</v>
      </c>
      <c r="D15" s="19">
        <v>4.0305647572242066E-2</v>
      </c>
      <c r="E15" t="s">
        <v>13</v>
      </c>
      <c r="F15" s="18">
        <f>SUMPRODUCT(C15:D15,C15:D15)</f>
        <v>1.0000000477809581</v>
      </c>
      <c r="I15" t="s">
        <v>12</v>
      </c>
      <c r="J15" s="19">
        <v>4.0721333047134087E-2</v>
      </c>
      <c r="K15" s="19">
        <v>0.9991705581343715</v>
      </c>
      <c r="L15" t="s">
        <v>13</v>
      </c>
      <c r="M15" s="18">
        <f>SUMPRODUCT(J15:K15,J15:K15)</f>
        <v>1.0000000312076871</v>
      </c>
      <c r="O15" t="s">
        <v>12</v>
      </c>
      <c r="P15" s="19">
        <v>-0.70723295175779244</v>
      </c>
      <c r="Q15" s="19">
        <v>0.70698072748324037</v>
      </c>
      <c r="R15" t="s">
        <v>13</v>
      </c>
      <c r="S15" s="18">
        <f>SUMPRODUCT(P15:Q15,P15:Q15)</f>
        <v>1.0000001970847716</v>
      </c>
      <c r="V15" t="s">
        <v>12</v>
      </c>
      <c r="W15" s="19">
        <v>0.70656886479697978</v>
      </c>
      <c r="X15" s="19">
        <v>0.70764455251983205</v>
      </c>
      <c r="Y15" t="s">
        <v>13</v>
      </c>
      <c r="Z15" s="18">
        <f>SUMPRODUCT(W15:X15,W15:X15)</f>
        <v>1.0000003734114862</v>
      </c>
    </row>
    <row r="16" spans="1:26" x14ac:dyDescent="0.2">
      <c r="E16" s="24"/>
      <c r="L16" s="24"/>
      <c r="R16" s="24"/>
      <c r="Y16" s="24"/>
    </row>
    <row r="17" spans="1:25" x14ac:dyDescent="0.2">
      <c r="B17" t="s">
        <v>14</v>
      </c>
      <c r="C17" s="17">
        <f>SUMPRODUCT(C15:D15,A2:B2)</f>
        <v>-0.83796483084619611</v>
      </c>
      <c r="D17" s="17">
        <f>SUMPRODUCT(C15:D15,A3:B3)</f>
        <v>3.3815072683549552E-2</v>
      </c>
      <c r="E17" s="25"/>
      <c r="I17" t="s">
        <v>14</v>
      </c>
      <c r="J17" s="17">
        <f>SUMPRODUCT(J15:K15,A2:B2)</f>
        <v>4.0374035655846203</v>
      </c>
      <c r="K17" s="17">
        <f>SUMPRODUCT(J15:K15,A3:B3)</f>
        <v>100.07994114562568</v>
      </c>
      <c r="L17" s="25"/>
      <c r="O17" t="s">
        <v>14</v>
      </c>
      <c r="P17" s="17">
        <f>SUMPRODUCT(P15:Q15,O2:P2)</f>
        <v>-0.42444066076449627</v>
      </c>
      <c r="Q17" s="17">
        <f>SUMPRODUCT(P15:Q15,O3:P3)</f>
        <v>0.42408754678012339</v>
      </c>
      <c r="R17" s="25"/>
      <c r="V17" t="s">
        <v>14</v>
      </c>
      <c r="W17" s="17">
        <f>SUMPRODUCT(W15:X15,O2:P2)</f>
        <v>0.98962668580491253</v>
      </c>
      <c r="X17" s="17">
        <f>SUMPRODUCT(W15:X15,O3:P3)</f>
        <v>0.99027209843862396</v>
      </c>
      <c r="Y17" s="25"/>
    </row>
    <row r="18" spans="1:25" x14ac:dyDescent="0.2">
      <c r="B18" t="s">
        <v>15</v>
      </c>
      <c r="C18" s="17">
        <f>_ll1*C15</f>
        <v>-0.83796527274498667</v>
      </c>
      <c r="D18" s="17">
        <f>_ll1*D15</f>
        <v>3.380219991427242E-2</v>
      </c>
      <c r="E18" s="25"/>
      <c r="I18" t="s">
        <v>15</v>
      </c>
      <c r="J18" s="17">
        <f>_ll2*J15</f>
        <v>4.0787038182613813</v>
      </c>
      <c r="K18" s="17">
        <f>_ll2*K15</f>
        <v>100.07827508593391</v>
      </c>
      <c r="L18" s="25"/>
      <c r="O18" t="s">
        <v>15</v>
      </c>
      <c r="P18" s="17">
        <f>_ll3*P15</f>
        <v>-0.42433980485938139</v>
      </c>
      <c r="Q18" s="17">
        <f>_ll3*Q15</f>
        <v>0.42418847028259415</v>
      </c>
      <c r="R18" s="25"/>
      <c r="V18" t="s">
        <v>15</v>
      </c>
      <c r="W18" s="17">
        <f>_ll4*W15</f>
        <v>0.98919641071577158</v>
      </c>
      <c r="X18" s="17">
        <f>_ll4*X15</f>
        <v>0.9907023735277648</v>
      </c>
      <c r="Y18" s="25"/>
    </row>
    <row r="19" spans="1:25" x14ac:dyDescent="0.2">
      <c r="B19" t="s">
        <v>16</v>
      </c>
      <c r="C19" s="17">
        <f>C17-C18</f>
        <v>4.4189879055966941E-7</v>
      </c>
      <c r="D19" s="17">
        <f t="shared" ref="D19:E19" si="0">D17-D18</f>
        <v>1.2872769277132157E-5</v>
      </c>
      <c r="E19" s="25"/>
      <c r="I19" t="s">
        <v>16</v>
      </c>
      <c r="J19" s="17">
        <f>J17-J18</f>
        <v>-4.1300252676760962E-2</v>
      </c>
      <c r="K19" s="17">
        <f t="shared" ref="K19:L19" si="1">K17-K18</f>
        <v>1.666059691771693E-3</v>
      </c>
      <c r="L19" s="25"/>
      <c r="O19" t="s">
        <v>16</v>
      </c>
      <c r="P19" s="17">
        <f>P17-P18</f>
        <v>-1.0085590511488274E-4</v>
      </c>
      <c r="Q19" s="17">
        <f t="shared" ref="Q19:R19" si="2">Q17-Q18</f>
        <v>-1.0092350247076221E-4</v>
      </c>
      <c r="R19" s="25"/>
      <c r="V19" t="s">
        <v>16</v>
      </c>
      <c r="W19" s="17">
        <f>W17-W18</f>
        <v>4.3027508914095236E-4</v>
      </c>
      <c r="X19" s="17">
        <f t="shared" ref="X19:Y19" si="3">X17-X18</f>
        <v>-4.3027508914084134E-4</v>
      </c>
      <c r="Y19" s="25"/>
    </row>
    <row r="21" spans="1:25" x14ac:dyDescent="0.2">
      <c r="B21" t="s">
        <v>17</v>
      </c>
      <c r="C21" s="17">
        <f>(C17-C18)^2+(D17-D18)^2+(E17-E18)^2</f>
        <v>1.6590346340337564E-10</v>
      </c>
      <c r="I21" t="s">
        <v>17</v>
      </c>
      <c r="J21" s="17">
        <f>(J17-J18)^2+(K17-K18)^2+(L17-L18)^2</f>
        <v>1.7084866260608474E-3</v>
      </c>
      <c r="O21" t="s">
        <v>17</v>
      </c>
      <c r="P21" s="17">
        <f>(P17-P18)^2+(Q17-Q18)^2+(R17-R18)^2</f>
        <v>2.0357466947508175E-8</v>
      </c>
      <c r="V21" t="s">
        <v>17</v>
      </c>
      <c r="W21" s="17">
        <f>(W17-W18)^2+(X17-X18)^2+(Y17-Y18)^2</f>
        <v>3.7027330467041346E-7</v>
      </c>
    </row>
    <row r="24" spans="1:25" ht="16" thickBot="1" x14ac:dyDescent="0.25"/>
    <row r="25" spans="1:25" x14ac:dyDescent="0.2">
      <c r="B25" t="s">
        <v>18</v>
      </c>
      <c r="G25" s="26" t="s">
        <v>24</v>
      </c>
      <c r="H25" s="27"/>
      <c r="I25" s="27"/>
      <c r="J25" s="27"/>
      <c r="K25" s="28"/>
      <c r="O25" t="s">
        <v>18</v>
      </c>
      <c r="T25" s="26" t="s">
        <v>24</v>
      </c>
      <c r="U25" s="27"/>
      <c r="V25" s="27"/>
      <c r="W25" s="27"/>
      <c r="X25" s="28"/>
    </row>
    <row r="26" spans="1:25" x14ac:dyDescent="0.2">
      <c r="B26" s="19">
        <v>-0.99918742113516434</v>
      </c>
      <c r="C26" s="19">
        <v>4.0721333047134087E-2</v>
      </c>
      <c r="D26" s="25"/>
      <c r="G26" s="29">
        <v>-0.99918742113516434</v>
      </c>
      <c r="H26" s="13"/>
      <c r="I26" s="30">
        <v>4.0721333047134087E-2</v>
      </c>
      <c r="J26" s="13"/>
      <c r="K26" s="40"/>
      <c r="L26" s="24"/>
      <c r="O26" s="19">
        <v>-0.70723295175779244</v>
      </c>
      <c r="P26" s="19">
        <v>0.70656886479697978</v>
      </c>
      <c r="Q26" s="25"/>
      <c r="T26" s="29">
        <v>-0.70723295175779244</v>
      </c>
      <c r="U26" s="13"/>
      <c r="V26" s="30">
        <v>0.70656886479697978</v>
      </c>
      <c r="W26" s="13"/>
      <c r="X26" s="40"/>
      <c r="Y26" s="24"/>
    </row>
    <row r="27" spans="1:25" x14ac:dyDescent="0.2">
      <c r="A27" t="s">
        <v>19</v>
      </c>
      <c r="B27" s="19">
        <v>4.0305647572242066E-2</v>
      </c>
      <c r="C27" s="19">
        <v>0.9991705581343715</v>
      </c>
      <c r="D27" s="25"/>
      <c r="G27" s="29">
        <v>4.0305647572242066E-2</v>
      </c>
      <c r="H27" s="13"/>
      <c r="I27" s="30">
        <v>0.9991705581343715</v>
      </c>
      <c r="J27" s="13"/>
      <c r="K27" s="40"/>
      <c r="L27" s="24"/>
      <c r="O27" s="19">
        <v>0.70698072748324037</v>
      </c>
      <c r="P27" s="19">
        <v>0.70764455251983205</v>
      </c>
      <c r="Q27" s="25"/>
      <c r="T27" s="29">
        <v>0.70698072748324037</v>
      </c>
      <c r="U27" s="13"/>
      <c r="V27" s="30">
        <v>0.70764455251983205</v>
      </c>
      <c r="W27" s="13"/>
      <c r="X27" s="40"/>
      <c r="Y27" s="24"/>
    </row>
    <row r="28" spans="1:25" ht="16" thickBot="1" x14ac:dyDescent="0.25">
      <c r="B28" s="25"/>
      <c r="C28" s="25"/>
      <c r="D28" s="25"/>
      <c r="G28" s="36"/>
      <c r="H28" s="37"/>
      <c r="I28" s="38"/>
      <c r="J28" s="37"/>
      <c r="K28" s="39"/>
      <c r="L28" s="24"/>
      <c r="O28" s="25"/>
      <c r="P28" s="25"/>
      <c r="Q28" s="25"/>
      <c r="T28" s="36"/>
      <c r="U28" s="37"/>
      <c r="V28" s="38"/>
      <c r="W28" s="37"/>
      <c r="X28" s="39"/>
      <c r="Y28" s="24"/>
    </row>
    <row r="29" spans="1:25" x14ac:dyDescent="0.2">
      <c r="H29" s="24"/>
      <c r="I29" s="25"/>
      <c r="J29" s="25"/>
      <c r="K29" s="25"/>
      <c r="L29" s="24"/>
      <c r="U29" s="24"/>
      <c r="V29" s="25"/>
      <c r="W29" s="25"/>
      <c r="X29" s="25"/>
      <c r="Y29" s="24"/>
    </row>
    <row r="30" spans="1:25" x14ac:dyDescent="0.2">
      <c r="B30" t="s">
        <v>20</v>
      </c>
      <c r="H30" s="24"/>
      <c r="I30" s="24"/>
      <c r="J30" s="24"/>
      <c r="K30" s="24"/>
      <c r="L30" s="24"/>
      <c r="O30" t="s">
        <v>20</v>
      </c>
      <c r="U30" s="24"/>
      <c r="V30" s="24"/>
      <c r="W30" s="24"/>
      <c r="X30" s="24"/>
      <c r="Y30" s="24"/>
    </row>
    <row r="31" spans="1:25" x14ac:dyDescent="0.2">
      <c r="B31" s="19">
        <v>-0.99918742113516434</v>
      </c>
      <c r="C31" s="19">
        <v>4.0721333047134087E-2</v>
      </c>
      <c r="D31" s="25"/>
      <c r="H31" s="24"/>
      <c r="I31" s="24"/>
      <c r="J31" s="24"/>
      <c r="K31" s="24"/>
      <c r="L31" s="24"/>
      <c r="O31" s="19">
        <v>-0.70723295175779244</v>
      </c>
      <c r="P31" s="19">
        <v>0.70698072748324037</v>
      </c>
      <c r="Q31" s="25"/>
      <c r="U31" s="24"/>
      <c r="V31" s="24"/>
      <c r="W31" s="24"/>
      <c r="X31" s="24"/>
      <c r="Y31" s="24"/>
    </row>
    <row r="32" spans="1:25" x14ac:dyDescent="0.2">
      <c r="A32" t="s">
        <v>21</v>
      </c>
      <c r="B32" s="19">
        <v>4.0305647572242066E-2</v>
      </c>
      <c r="C32" s="19">
        <v>0.9991705581343715</v>
      </c>
      <c r="D32" s="25"/>
      <c r="O32" s="19">
        <v>0.70656886479697978</v>
      </c>
      <c r="P32" s="19">
        <v>0.70764455251983205</v>
      </c>
      <c r="Q32" s="25"/>
    </row>
    <row r="33" spans="2:13" x14ac:dyDescent="0.2">
      <c r="B33" s="25"/>
      <c r="C33" s="25"/>
      <c r="D33" s="25"/>
    </row>
    <row r="36" spans="2:13" x14ac:dyDescent="0.2">
      <c r="M36" t="s">
        <v>25</v>
      </c>
    </row>
  </sheetData>
  <mergeCells count="2">
    <mergeCell ref="G25:K25"/>
    <mergeCell ref="T25:X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0968-7755-DF4F-9AA5-DFFCEBD2C252}">
  <dimension ref="A1:AR45"/>
  <sheetViews>
    <sheetView tabSelected="1" zoomScale="61" zoomScaleNormal="61" workbookViewId="0">
      <selection activeCell="I59" sqref="I59"/>
    </sheetView>
  </sheetViews>
  <sheetFormatPr baseColWidth="10" defaultRowHeight="15" x14ac:dyDescent="0.2"/>
  <cols>
    <col min="6" max="6" width="11.83203125" bestFit="1" customWidth="1"/>
  </cols>
  <sheetData>
    <row r="1" spans="1:42" ht="19" thickBot="1" x14ac:dyDescent="0.3">
      <c r="A1" t="s">
        <v>2</v>
      </c>
      <c r="B1" s="1">
        <v>1.1000000000000001E-3</v>
      </c>
      <c r="C1" s="2">
        <v>6.9999999999999999E-4</v>
      </c>
      <c r="D1" s="2">
        <v>1.6000000000000001E-3</v>
      </c>
      <c r="E1" s="2">
        <v>4.0000000000000001E-3</v>
      </c>
      <c r="F1" s="3">
        <v>4.0000000000000001E-3</v>
      </c>
      <c r="G1" s="42"/>
      <c r="H1" s="42"/>
    </row>
    <row r="2" spans="1:42" ht="16" thickBot="1" x14ac:dyDescent="0.25"/>
    <row r="3" spans="1:42" x14ac:dyDescent="0.2">
      <c r="B3" s="4">
        <v>1</v>
      </c>
      <c r="C3" s="5">
        <v>0.63200000000000001</v>
      </c>
      <c r="D3" s="5">
        <v>0.51100000000000001</v>
      </c>
      <c r="E3" s="5">
        <v>0.115</v>
      </c>
      <c r="F3" s="6">
        <v>0.155</v>
      </c>
      <c r="G3" s="13"/>
      <c r="H3" s="13"/>
    </row>
    <row r="4" spans="1:42" x14ac:dyDescent="0.2">
      <c r="B4" s="7">
        <f t="array" ref="B4:B7">TRANSPOSE(C3:F3)</f>
        <v>0.63200000000000001</v>
      </c>
      <c r="C4">
        <v>1</v>
      </c>
      <c r="D4">
        <v>0.57399999999999995</v>
      </c>
      <c r="E4">
        <v>0.32200000000000001</v>
      </c>
      <c r="F4" s="9">
        <v>0.21299999999999999</v>
      </c>
      <c r="G4" s="13"/>
      <c r="H4" s="13"/>
    </row>
    <row r="5" spans="1:42" x14ac:dyDescent="0.2">
      <c r="A5" t="s">
        <v>3</v>
      </c>
      <c r="B5" s="7">
        <v>0.51100000000000001</v>
      </c>
      <c r="C5">
        <f t="array" ref="C5:C7">TRANSPOSE(D4:F4)</f>
        <v>0.57399999999999995</v>
      </c>
      <c r="D5">
        <v>1</v>
      </c>
      <c r="E5">
        <v>0.183</v>
      </c>
      <c r="F5" s="9">
        <v>0.14599999999999999</v>
      </c>
      <c r="G5" s="13"/>
      <c r="H5" s="13"/>
    </row>
    <row r="6" spans="1:42" x14ac:dyDescent="0.2">
      <c r="B6" s="7">
        <v>0.115</v>
      </c>
      <c r="C6">
        <v>0.32200000000000001</v>
      </c>
      <c r="D6">
        <f t="array" ref="D6:D7">TRANSPOSE(E5:F5)</f>
        <v>0.183</v>
      </c>
      <c r="E6">
        <v>1</v>
      </c>
      <c r="F6" s="9">
        <v>0.68300000000000005</v>
      </c>
      <c r="G6" s="13"/>
      <c r="H6" s="13"/>
    </row>
    <row r="7" spans="1:42" ht="16" thickBot="1" x14ac:dyDescent="0.25">
      <c r="B7" s="8">
        <v>0.155</v>
      </c>
      <c r="C7" s="10">
        <v>0.21299999999999999</v>
      </c>
      <c r="D7" s="10">
        <v>0.14599999999999999</v>
      </c>
      <c r="E7" s="10">
        <f t="array" ref="E7">TRANSPOSE(F6)</f>
        <v>0.68300000000000005</v>
      </c>
      <c r="F7" s="11">
        <v>1</v>
      </c>
      <c r="G7" s="13"/>
      <c r="H7" s="13"/>
    </row>
    <row r="9" spans="1:42" x14ac:dyDescent="0.2">
      <c r="A9" s="17"/>
      <c r="B9" s="17"/>
      <c r="C9" s="17"/>
      <c r="D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AB9" s="17"/>
      <c r="AC9" s="17"/>
      <c r="AD9" s="17"/>
      <c r="AE9" s="17"/>
      <c r="AK9" s="17"/>
      <c r="AL9" s="17"/>
      <c r="AM9" s="17"/>
      <c r="AN9" s="17"/>
    </row>
    <row r="10" spans="1:42" x14ac:dyDescent="0.2">
      <c r="A10" s="17" t="s">
        <v>8</v>
      </c>
      <c r="B10" s="17"/>
      <c r="C10" s="17" t="s">
        <v>9</v>
      </c>
      <c r="D10" s="19">
        <v>0.25590740428154835</v>
      </c>
      <c r="J10" s="17" t="s">
        <v>8</v>
      </c>
      <c r="K10" s="17"/>
      <c r="L10" s="17" t="s">
        <v>9</v>
      </c>
      <c r="M10" s="19">
        <v>0.30098603404264718</v>
      </c>
      <c r="N10" s="17"/>
      <c r="O10" s="17"/>
      <c r="P10" s="17"/>
      <c r="Q10" s="17"/>
      <c r="R10" s="17"/>
      <c r="S10" s="17" t="s">
        <v>8</v>
      </c>
      <c r="T10" s="17"/>
      <c r="U10" s="17" t="s">
        <v>9</v>
      </c>
      <c r="V10" s="19">
        <v>1.2184499710176417</v>
      </c>
      <c r="AB10" s="17" t="s">
        <v>8</v>
      </c>
      <c r="AC10" s="17"/>
      <c r="AD10" s="17" t="s">
        <v>9</v>
      </c>
      <c r="AE10" s="19">
        <v>2.0788323152529991</v>
      </c>
      <c r="AK10" s="17" t="s">
        <v>8</v>
      </c>
      <c r="AL10" s="17"/>
      <c r="AM10" s="17" t="s">
        <v>9</v>
      </c>
      <c r="AN10" s="19">
        <v>0.42761851956274849</v>
      </c>
    </row>
    <row r="11" spans="1:42" x14ac:dyDescent="0.2">
      <c r="A11" s="17"/>
      <c r="B11" s="17"/>
      <c r="C11" s="17" t="s">
        <v>10</v>
      </c>
      <c r="D11" s="17">
        <f>MDETERM(B14:F18)</f>
        <v>-1.696111215213747E-7</v>
      </c>
      <c r="J11" s="17"/>
      <c r="K11" s="17"/>
      <c r="L11" s="17" t="s">
        <v>10</v>
      </c>
      <c r="M11" s="17">
        <f>MDETERM(K14:O18)</f>
        <v>1.0099605382754521E-8</v>
      </c>
      <c r="N11" s="17"/>
      <c r="O11" s="17"/>
      <c r="P11" s="17"/>
      <c r="Q11" s="17"/>
      <c r="R11" s="17"/>
      <c r="S11" s="17"/>
      <c r="T11" s="17"/>
      <c r="U11" s="17" t="s">
        <v>10</v>
      </c>
      <c r="V11" s="17">
        <f>MDETERM(T14:X18)</f>
        <v>2.6605026179318393E-3</v>
      </c>
      <c r="AB11" s="17"/>
      <c r="AC11" s="17"/>
      <c r="AD11" s="17" t="s">
        <v>10</v>
      </c>
      <c r="AE11" s="17">
        <f>MDETERM(AC14:AG18)</f>
        <v>-6.8716551151849949E-9</v>
      </c>
      <c r="AK11" s="17"/>
      <c r="AL11" s="17"/>
      <c r="AM11" s="17" t="s">
        <v>10</v>
      </c>
      <c r="AN11" s="17">
        <f>MDETERM(AL14:AP18)</f>
        <v>1.9722397582432847E-4</v>
      </c>
    </row>
    <row r="12" spans="1:42" ht="16" thickBot="1" x14ac:dyDescent="0.25">
      <c r="A12" s="17" t="s">
        <v>22</v>
      </c>
      <c r="B12" s="17"/>
      <c r="C12" s="17"/>
      <c r="D12" s="17"/>
      <c r="E12" s="21"/>
      <c r="F12" s="21"/>
      <c r="G12" s="23"/>
      <c r="H12" s="23"/>
      <c r="J12" s="17" t="s">
        <v>4</v>
      </c>
      <c r="K12" s="17"/>
      <c r="L12" s="17"/>
      <c r="M12" s="17"/>
      <c r="N12" s="17"/>
      <c r="O12" s="17"/>
      <c r="P12" s="17"/>
      <c r="Q12" s="17"/>
      <c r="R12" s="17"/>
      <c r="S12" s="17" t="s">
        <v>4</v>
      </c>
      <c r="T12" s="17"/>
      <c r="U12" s="17"/>
      <c r="V12" s="17"/>
      <c r="AB12" s="17" t="s">
        <v>4</v>
      </c>
      <c r="AC12" s="17"/>
      <c r="AD12" s="17"/>
      <c r="AE12" s="17"/>
      <c r="AK12" s="17" t="s">
        <v>4</v>
      </c>
      <c r="AL12" s="17"/>
      <c r="AM12" s="17"/>
      <c r="AN12" s="17"/>
    </row>
    <row r="13" spans="1:42" ht="16" thickBot="1" x14ac:dyDescent="0.25">
      <c r="A13" s="20"/>
      <c r="B13" s="20" t="s">
        <v>5</v>
      </c>
      <c r="C13" s="20" t="s">
        <v>6</v>
      </c>
      <c r="D13" s="20" t="s">
        <v>7</v>
      </c>
      <c r="E13" s="41" t="s">
        <v>26</v>
      </c>
      <c r="F13" s="41" t="s">
        <v>27</v>
      </c>
      <c r="G13" s="41"/>
      <c r="H13" s="41"/>
      <c r="J13" s="20"/>
      <c r="K13" s="20" t="s">
        <v>5</v>
      </c>
      <c r="L13" s="20" t="s">
        <v>6</v>
      </c>
      <c r="M13" s="20" t="s">
        <v>7</v>
      </c>
      <c r="N13" s="41" t="s">
        <v>26</v>
      </c>
      <c r="O13" s="41" t="s">
        <v>27</v>
      </c>
      <c r="P13" s="17"/>
      <c r="Q13" s="17"/>
      <c r="R13" s="17"/>
      <c r="S13" s="20"/>
      <c r="T13" s="20" t="s">
        <v>5</v>
      </c>
      <c r="U13" s="20" t="s">
        <v>6</v>
      </c>
      <c r="V13" s="20" t="s">
        <v>7</v>
      </c>
      <c r="W13" s="41" t="s">
        <v>26</v>
      </c>
      <c r="X13" s="41" t="s">
        <v>27</v>
      </c>
      <c r="AB13" s="20"/>
      <c r="AC13" s="20" t="s">
        <v>5</v>
      </c>
      <c r="AD13" s="20" t="s">
        <v>6</v>
      </c>
      <c r="AE13" s="20" t="s">
        <v>7</v>
      </c>
      <c r="AF13" s="41" t="s">
        <v>26</v>
      </c>
      <c r="AG13" s="41" t="s">
        <v>27</v>
      </c>
      <c r="AK13" s="20"/>
      <c r="AL13" s="20" t="s">
        <v>5</v>
      </c>
      <c r="AM13" s="20" t="s">
        <v>6</v>
      </c>
      <c r="AN13" s="20" t="s">
        <v>7</v>
      </c>
      <c r="AO13" s="41" t="s">
        <v>26</v>
      </c>
      <c r="AP13" s="41" t="s">
        <v>27</v>
      </c>
    </row>
    <row r="14" spans="1:42" ht="16" thickBot="1" x14ac:dyDescent="0.25">
      <c r="A14" s="20" t="s">
        <v>5</v>
      </c>
      <c r="B14" s="4">
        <f>B3-_lb1</f>
        <v>0.74409259571845165</v>
      </c>
      <c r="C14" s="4">
        <f t="shared" ref="C14:D14" si="0">C3</f>
        <v>0.63200000000000001</v>
      </c>
      <c r="D14" s="4">
        <f t="shared" si="0"/>
        <v>0.51100000000000001</v>
      </c>
      <c r="E14" s="5">
        <v>0.115</v>
      </c>
      <c r="F14" s="6">
        <v>0.155</v>
      </c>
      <c r="G14" s="13"/>
      <c r="H14" s="13"/>
      <c r="J14" s="20" t="s">
        <v>5</v>
      </c>
      <c r="K14" s="4">
        <f>K3-_lb2</f>
        <v>-0.30098603404264718</v>
      </c>
      <c r="L14" s="4">
        <f t="shared" ref="L14:M14" si="1">L3</f>
        <v>0</v>
      </c>
      <c r="M14" s="4">
        <f t="shared" si="1"/>
        <v>0</v>
      </c>
      <c r="N14" s="5">
        <v>0.115</v>
      </c>
      <c r="O14" s="6">
        <v>0.155</v>
      </c>
      <c r="P14" s="17"/>
      <c r="Q14" s="17"/>
      <c r="R14" s="17"/>
      <c r="S14" s="20" t="s">
        <v>5</v>
      </c>
      <c r="T14" s="4">
        <f>T3-_lb3</f>
        <v>-1.2184499710176417</v>
      </c>
      <c r="U14" s="4">
        <f t="shared" ref="U14:V14" si="2">U3</f>
        <v>0</v>
      </c>
      <c r="V14" s="4">
        <f t="shared" si="2"/>
        <v>0</v>
      </c>
      <c r="W14" s="5">
        <v>0.115</v>
      </c>
      <c r="X14" s="6">
        <v>0.155</v>
      </c>
      <c r="AB14" s="20" t="s">
        <v>5</v>
      </c>
      <c r="AC14" s="4">
        <f>AC3-_lb4</f>
        <v>-2.0788323152529991</v>
      </c>
      <c r="AD14" s="4">
        <f t="shared" ref="AD14:AE14" si="3">AD3</f>
        <v>0</v>
      </c>
      <c r="AE14" s="4">
        <f t="shared" si="3"/>
        <v>0</v>
      </c>
      <c r="AF14" s="5">
        <v>0.115</v>
      </c>
      <c r="AG14" s="6">
        <v>0.155</v>
      </c>
      <c r="AK14" s="20" t="s">
        <v>5</v>
      </c>
      <c r="AL14" s="4">
        <f>AL3-_lb5</f>
        <v>-0.42761851956274849</v>
      </c>
      <c r="AM14" s="4">
        <f t="shared" ref="AM14:AN14" si="4">AM3</f>
        <v>0</v>
      </c>
      <c r="AN14" s="4">
        <f t="shared" si="4"/>
        <v>0</v>
      </c>
      <c r="AO14" s="5">
        <v>0.115</v>
      </c>
      <c r="AP14" s="6">
        <v>0.155</v>
      </c>
    </row>
    <row r="15" spans="1:42" ht="16" thickBot="1" x14ac:dyDescent="0.25">
      <c r="A15" s="20" t="s">
        <v>6</v>
      </c>
      <c r="B15" s="7">
        <f t="array" ref="B15:B18">TRANSPOSE(C14:F14)</f>
        <v>0.63200000000000001</v>
      </c>
      <c r="C15">
        <f>1-_lb1</f>
        <v>0.74409259571845165</v>
      </c>
      <c r="D15">
        <v>0.57399999999999995</v>
      </c>
      <c r="E15">
        <v>0.32200000000000001</v>
      </c>
      <c r="F15" s="9">
        <v>0.21299999999999999</v>
      </c>
      <c r="G15" s="13"/>
      <c r="H15" s="13"/>
      <c r="J15" s="20" t="s">
        <v>6</v>
      </c>
      <c r="K15" s="7">
        <f t="array" ref="K15:K18">TRANSPOSE(L14:O14)</f>
        <v>0</v>
      </c>
      <c r="L15">
        <f>1-_lb2</f>
        <v>0.69901396595735288</v>
      </c>
      <c r="M15">
        <v>0.57399999999999995</v>
      </c>
      <c r="N15">
        <v>0.32200000000000001</v>
      </c>
      <c r="O15" s="9">
        <v>0.21299999999999999</v>
      </c>
      <c r="P15" s="17"/>
      <c r="Q15" s="17"/>
      <c r="R15" s="17"/>
      <c r="S15" s="20" t="s">
        <v>6</v>
      </c>
      <c r="T15" s="7">
        <f t="array" ref="T15:T18">TRANSPOSE(U14:X14)</f>
        <v>0</v>
      </c>
      <c r="U15">
        <f>1-_lb3</f>
        <v>-0.21844997101764174</v>
      </c>
      <c r="V15">
        <v>0.57399999999999995</v>
      </c>
      <c r="W15">
        <v>0.32200000000000001</v>
      </c>
      <c r="X15" s="9">
        <v>0.21299999999999999</v>
      </c>
      <c r="AB15" s="20" t="s">
        <v>6</v>
      </c>
      <c r="AC15" s="7">
        <f t="array" ref="AC15:AC18">TRANSPOSE(AD14:AG14)</f>
        <v>0</v>
      </c>
      <c r="AD15">
        <f>1-_lb4</f>
        <v>-1.0788323152529991</v>
      </c>
      <c r="AE15">
        <v>0.57399999999999995</v>
      </c>
      <c r="AF15">
        <v>0.32200000000000001</v>
      </c>
      <c r="AG15" s="9">
        <v>0.21299999999999999</v>
      </c>
      <c r="AK15" s="20" t="s">
        <v>6</v>
      </c>
      <c r="AL15" s="7">
        <f t="array" ref="AL15:AL18">TRANSPOSE(AM14:AP14)</f>
        <v>0</v>
      </c>
      <c r="AM15">
        <f>1-_lb5</f>
        <v>0.57238148043725157</v>
      </c>
      <c r="AN15">
        <v>0.57399999999999995</v>
      </c>
      <c r="AO15">
        <v>0.32200000000000001</v>
      </c>
      <c r="AP15" s="9">
        <v>0.21299999999999999</v>
      </c>
    </row>
    <row r="16" spans="1:42" x14ac:dyDescent="0.2">
      <c r="A16" s="20" t="s">
        <v>7</v>
      </c>
      <c r="B16" s="7">
        <v>0.51100000000000001</v>
      </c>
      <c r="C16">
        <f t="array" ref="C16:C18">TRANSPOSE(D15:F15)</f>
        <v>0.57399999999999995</v>
      </c>
      <c r="D16">
        <f>1-_lb1</f>
        <v>0.74409259571845165</v>
      </c>
      <c r="E16">
        <v>0.183</v>
      </c>
      <c r="F16" s="9">
        <v>0.14599999999999999</v>
      </c>
      <c r="G16" s="13"/>
      <c r="H16" s="13"/>
      <c r="J16" s="20" t="s">
        <v>7</v>
      </c>
      <c r="K16" s="7">
        <v>0</v>
      </c>
      <c r="L16">
        <f t="array" ref="L16:L18">TRANSPOSE(M15:O15)</f>
        <v>0.57399999999999995</v>
      </c>
      <c r="M16">
        <f>1-_lb2</f>
        <v>0.69901396595735288</v>
      </c>
      <c r="N16">
        <v>0.183</v>
      </c>
      <c r="O16" s="9">
        <v>0.14599999999999999</v>
      </c>
      <c r="P16" s="17"/>
      <c r="Q16" s="17"/>
      <c r="R16" s="17"/>
      <c r="S16" s="20" t="s">
        <v>7</v>
      </c>
      <c r="T16" s="7">
        <v>0</v>
      </c>
      <c r="U16">
        <f t="array" ref="U16:U18">TRANSPOSE(V15:X15)</f>
        <v>0.57399999999999995</v>
      </c>
      <c r="V16">
        <f>1-_lb3</f>
        <v>-0.21844997101764174</v>
      </c>
      <c r="W16">
        <v>0.183</v>
      </c>
      <c r="X16" s="9">
        <v>0.14599999999999999</v>
      </c>
      <c r="AB16" s="20" t="s">
        <v>7</v>
      </c>
      <c r="AC16" s="7">
        <v>0</v>
      </c>
      <c r="AD16">
        <f t="array" ref="AD16:AD18">TRANSPOSE(AE15:AG15)</f>
        <v>0.57399999999999995</v>
      </c>
      <c r="AE16">
        <f>1-_lb4</f>
        <v>-1.0788323152529991</v>
      </c>
      <c r="AF16">
        <v>0.183</v>
      </c>
      <c r="AG16" s="9">
        <v>0.14599999999999999</v>
      </c>
      <c r="AK16" s="20" t="s">
        <v>7</v>
      </c>
      <c r="AL16" s="7">
        <v>0</v>
      </c>
      <c r="AM16">
        <f t="array" ref="AM16:AM18">TRANSPOSE(AN15:AP15)</f>
        <v>0.57399999999999995</v>
      </c>
      <c r="AN16">
        <f>1-_lb5</f>
        <v>0.57238148043725157</v>
      </c>
      <c r="AO16">
        <v>0.183</v>
      </c>
      <c r="AP16" s="9">
        <v>0.14599999999999999</v>
      </c>
    </row>
    <row r="17" spans="1:44" x14ac:dyDescent="0.2">
      <c r="A17" s="41" t="s">
        <v>26</v>
      </c>
      <c r="B17" s="7">
        <v>0.115</v>
      </c>
      <c r="C17">
        <v>0.32200000000000001</v>
      </c>
      <c r="D17">
        <f t="array" ref="D17:D18">TRANSPOSE(E16:F16)</f>
        <v>0.183</v>
      </c>
      <c r="E17">
        <f>1-_lb1</f>
        <v>0.74409259571845165</v>
      </c>
      <c r="F17" s="9">
        <v>0.68300000000000005</v>
      </c>
      <c r="G17" s="13"/>
      <c r="H17" s="13"/>
      <c r="J17" s="41" t="s">
        <v>26</v>
      </c>
      <c r="K17" s="7">
        <v>0.115</v>
      </c>
      <c r="L17">
        <v>0.32200000000000001</v>
      </c>
      <c r="M17">
        <f t="array" ref="M17:M18">TRANSPOSE(N16:O16)</f>
        <v>0.183</v>
      </c>
      <c r="N17">
        <f>1-_lb2</f>
        <v>0.69901396595735288</v>
      </c>
      <c r="O17" s="9">
        <v>0.68300000000000005</v>
      </c>
      <c r="P17" s="17"/>
      <c r="Q17" s="17"/>
      <c r="R17" s="17"/>
      <c r="S17" s="41" t="s">
        <v>26</v>
      </c>
      <c r="T17" s="7">
        <v>0.115</v>
      </c>
      <c r="U17">
        <v>0.32200000000000001</v>
      </c>
      <c r="V17">
        <f t="array" ref="V17:V18">TRANSPOSE(W16:X16)</f>
        <v>0.183</v>
      </c>
      <c r="W17">
        <f>1-_lb3</f>
        <v>-0.21844997101764174</v>
      </c>
      <c r="X17" s="9">
        <v>0.68300000000000005</v>
      </c>
      <c r="AB17" s="41" t="s">
        <v>26</v>
      </c>
      <c r="AC17" s="7">
        <v>0.115</v>
      </c>
      <c r="AD17">
        <v>0.32200000000000001</v>
      </c>
      <c r="AE17">
        <f t="array" ref="AE17:AE18">TRANSPOSE(AF16:AG16)</f>
        <v>0.183</v>
      </c>
      <c r="AF17">
        <f>1-_lb4</f>
        <v>-1.0788323152529991</v>
      </c>
      <c r="AG17" s="9">
        <v>0.68300000000000005</v>
      </c>
      <c r="AK17" s="41" t="s">
        <v>26</v>
      </c>
      <c r="AL17" s="7">
        <v>0.115</v>
      </c>
      <c r="AM17">
        <v>0.32200000000000001</v>
      </c>
      <c r="AN17">
        <f t="array" ref="AN17:AN18">TRANSPOSE(AO16:AP16)</f>
        <v>0.183</v>
      </c>
      <c r="AO17">
        <f>1-_lb5</f>
        <v>0.57238148043725157</v>
      </c>
      <c r="AP17" s="9">
        <v>0.68300000000000005</v>
      </c>
    </row>
    <row r="18" spans="1:44" ht="16" thickBot="1" x14ac:dyDescent="0.25">
      <c r="A18" s="41" t="s">
        <v>27</v>
      </c>
      <c r="B18" s="8">
        <v>0.155</v>
      </c>
      <c r="C18" s="10">
        <v>0.21299999999999999</v>
      </c>
      <c r="D18" s="10">
        <v>0.14599999999999999</v>
      </c>
      <c r="E18" s="10">
        <f t="array" ref="E18">TRANSPOSE(F17)</f>
        <v>0.68300000000000005</v>
      </c>
      <c r="F18" s="11">
        <f>1-_lb1</f>
        <v>0.74409259571845165</v>
      </c>
      <c r="G18" s="13"/>
      <c r="H18" s="13"/>
      <c r="J18" s="41" t="s">
        <v>27</v>
      </c>
      <c r="K18" s="8">
        <v>0.155</v>
      </c>
      <c r="L18" s="10">
        <v>0.21299999999999999</v>
      </c>
      <c r="M18" s="10">
        <v>0.14599999999999999</v>
      </c>
      <c r="N18" s="10">
        <f t="array" ref="N18">TRANSPOSE(O17)</f>
        <v>0.68300000000000005</v>
      </c>
      <c r="O18" s="11">
        <f>1-_lb2</f>
        <v>0.69901396595735288</v>
      </c>
      <c r="P18" s="17"/>
      <c r="Q18" s="17"/>
      <c r="R18" s="17"/>
      <c r="S18" s="41" t="s">
        <v>27</v>
      </c>
      <c r="T18" s="8">
        <v>0.155</v>
      </c>
      <c r="U18" s="10">
        <v>0.21299999999999999</v>
      </c>
      <c r="V18" s="10">
        <v>0.14599999999999999</v>
      </c>
      <c r="W18" s="10">
        <f t="array" ref="W18">TRANSPOSE(X17)</f>
        <v>0.68300000000000005</v>
      </c>
      <c r="X18" s="11">
        <f>1-_lb3</f>
        <v>-0.21844997101764174</v>
      </c>
      <c r="AB18" s="41" t="s">
        <v>27</v>
      </c>
      <c r="AC18" s="8">
        <v>0.155</v>
      </c>
      <c r="AD18" s="10">
        <v>0.21299999999999999</v>
      </c>
      <c r="AE18" s="10">
        <v>0.14599999999999999</v>
      </c>
      <c r="AF18" s="10">
        <f t="array" ref="AF18">TRANSPOSE(AG17)</f>
        <v>0.68300000000000005</v>
      </c>
      <c r="AG18" s="11">
        <f>1-_lb4</f>
        <v>-1.0788323152529991</v>
      </c>
      <c r="AK18" s="41" t="s">
        <v>27</v>
      </c>
      <c r="AL18" s="8">
        <v>0.155</v>
      </c>
      <c r="AM18" s="10">
        <v>0.21299999999999999</v>
      </c>
      <c r="AN18" s="10">
        <v>0.14599999999999999</v>
      </c>
      <c r="AO18" s="10">
        <f t="array" ref="AO18">TRANSPOSE(AP17)</f>
        <v>0.68300000000000005</v>
      </c>
      <c r="AP18" s="11">
        <f>1-_lb5</f>
        <v>0.57238148043725157</v>
      </c>
    </row>
    <row r="19" spans="1:44" x14ac:dyDescent="0.2">
      <c r="A19" s="17"/>
      <c r="B19" s="17"/>
      <c r="C19" s="17"/>
      <c r="D19" s="17"/>
    </row>
    <row r="20" spans="1:44" x14ac:dyDescent="0.2">
      <c r="A20" t="s">
        <v>11</v>
      </c>
      <c r="J20" t="s">
        <v>11</v>
      </c>
      <c r="S20" t="s">
        <v>11</v>
      </c>
      <c r="AB20" t="s">
        <v>11</v>
      </c>
      <c r="AK20" t="s">
        <v>11</v>
      </c>
    </row>
    <row r="22" spans="1:44" x14ac:dyDescent="0.2">
      <c r="A22" t="s">
        <v>12</v>
      </c>
      <c r="B22" s="19">
        <v>-5.0440771245282731E-5</v>
      </c>
      <c r="C22" s="19">
        <v>-4.9023881508100621E-4</v>
      </c>
      <c r="D22" s="19">
        <v>4.5535744998252317E-2</v>
      </c>
      <c r="E22" s="19">
        <v>-0.70874656233451805</v>
      </c>
      <c r="F22" s="19">
        <v>0.70399220146033126</v>
      </c>
      <c r="G22" t="s">
        <v>13</v>
      </c>
      <c r="H22">
        <f>SUMPRODUCT(B22:F22,B22:F22)</f>
        <v>1.0000004562888736</v>
      </c>
      <c r="J22" t="s">
        <v>12</v>
      </c>
      <c r="K22" s="19">
        <v>-4.9818565025547336E-5</v>
      </c>
      <c r="L22" s="19">
        <v>-5.2749456940577404E-4</v>
      </c>
      <c r="M22" s="19">
        <v>4.5522937243256859E-2</v>
      </c>
      <c r="N22" s="19">
        <v>-0.70834420230073081</v>
      </c>
      <c r="O22" s="19">
        <v>0.70439825932964295</v>
      </c>
      <c r="P22" t="s">
        <v>13</v>
      </c>
      <c r="Q22">
        <f>SUMPRODUCT(K22:O22,K22:O22)</f>
        <v>1.0000010352273532</v>
      </c>
      <c r="S22" t="s">
        <v>12</v>
      </c>
      <c r="T22" s="19">
        <v>-0.36778650691433667</v>
      </c>
      <c r="U22" s="19">
        <v>-0.23644278837705771</v>
      </c>
      <c r="V22" s="19">
        <v>-0.31541133504135055</v>
      </c>
      <c r="W22" s="19">
        <v>0.58501774018601171</v>
      </c>
      <c r="X22" s="19">
        <v>0.60588599496381512</v>
      </c>
      <c r="Y22" t="s">
        <v>13</v>
      </c>
      <c r="Z22">
        <f>SUMPRODUCT(T22:X22,T22:X22)</f>
        <v>1.0000000123419748</v>
      </c>
      <c r="AB22" t="s">
        <v>12</v>
      </c>
      <c r="AC22" s="19">
        <v>0.46921497991067457</v>
      </c>
      <c r="AD22" s="19">
        <v>0.53222568690029881</v>
      </c>
      <c r="AE22" s="19">
        <v>0.46522386259058746</v>
      </c>
      <c r="AF22" s="19">
        <v>0.38733384769244689</v>
      </c>
      <c r="AG22" s="19">
        <v>0.36071092633276464</v>
      </c>
      <c r="AH22" t="s">
        <v>13</v>
      </c>
      <c r="AI22">
        <f>SUMPRODUCT(AC22:AG22,AC22:AG22)</f>
        <v>1.0000000034368521</v>
      </c>
      <c r="AK22" t="s">
        <v>12</v>
      </c>
      <c r="AL22" s="19">
        <v>-4.981188590524247E-5</v>
      </c>
      <c r="AM22" s="19">
        <v>-5.268266078790908E-4</v>
      </c>
      <c r="AN22" s="19">
        <v>4.6023835489119154E-2</v>
      </c>
      <c r="AO22" s="19">
        <v>-0.70781954814455472</v>
      </c>
      <c r="AP22" s="19">
        <v>0.70489206316760222</v>
      </c>
      <c r="AQ22" t="s">
        <v>13</v>
      </c>
      <c r="AR22">
        <f>SUMPRODUCT(AL22:AP22,AL22:AP22)</f>
        <v>0.99999980691286872</v>
      </c>
    </row>
    <row r="24" spans="1:44" x14ac:dyDescent="0.2">
      <c r="A24" t="s">
        <v>14</v>
      </c>
      <c r="B24" s="17">
        <f>SUMPRODUCT(B22:F22,_R1)</f>
        <v>5.052143054961223E-2</v>
      </c>
      <c r="C24" s="17">
        <f>SUMPRODUCT(B22:F22,_R2)</f>
        <v>-5.2650653914175449E-2</v>
      </c>
      <c r="D24" s="17">
        <f>SUMPRODUCT(B22:F22,_R3)</f>
        <v>1.831081319028105E-2</v>
      </c>
      <c r="E24" s="17">
        <f>SUMPRODUCT(B22:F22,_R4)</f>
        <v>-0.21975050498958093</v>
      </c>
      <c r="F24" s="17">
        <f>SUMPRODUCT(B22:F22,_R5)</f>
        <v>0.22645427896844494</v>
      </c>
      <c r="J24" t="s">
        <v>14</v>
      </c>
      <c r="K24" s="17">
        <f>SUMPRODUCT(K22:O22,_R1)</f>
        <v>5.060117272992487E-2</v>
      </c>
      <c r="L24" s="17">
        <f>SUMPRODUCT(K22:O22,_R2)</f>
        <v>-5.2478817828493868E-2</v>
      </c>
      <c r="M24" s="17">
        <f>SUMPRODUCT(K22:O22,_R3)</f>
        <v>1.840985491478403E-2</v>
      </c>
      <c r="N24" s="17">
        <f>SUMPRODUCT(K22:O22,_R4)</f>
        <v>-0.2190850760493952</v>
      </c>
      <c r="O24" s="17">
        <f>SUMPRODUCT(K22:O22,_R5)</f>
        <v>0.22712543977489691</v>
      </c>
      <c r="S24" t="s">
        <v>14</v>
      </c>
      <c r="T24" s="17">
        <f>SUMPRODUCT(T22:X22,_R1)</f>
        <v>-0.51720417203398461</v>
      </c>
      <c r="U24" s="17">
        <f>SUMPRODUCT(T22:X22,_R2)</f>
        <v>-0.33250053779346522</v>
      </c>
      <c r="V24" s="17">
        <f>SUMPRODUCT(T22:X22,_R3)</f>
        <v>-0.44355079888425059</v>
      </c>
      <c r="W24" s="17">
        <f>SUMPRODUCT(T22:X22,_R4)</f>
        <v>0.82268757428116901</v>
      </c>
      <c r="X24" s="17">
        <f>SUMPRODUCT(T22:X22,_R5)</f>
        <v>0.85203383409878852</v>
      </c>
      <c r="AB24" t="s">
        <v>14</v>
      </c>
      <c r="AC24" s="17">
        <f>SUMPRODUCT(AC22:AG22,_R1)</f>
        <v>1.1437645938816634</v>
      </c>
      <c r="AD24" s="17">
        <f>SUMPRODUCT(AC22:AG22,_R2)</f>
        <v>1.297360977596689</v>
      </c>
      <c r="AE24" s="17">
        <f>SUMPRODUCT(AC22:AG22,_R3)</f>
        <v>1.134036150978015</v>
      </c>
      <c r="AF24" s="17">
        <f>SUMPRODUCT(AC22:AG22,_R4)</f>
        <v>0.94417177110342654</v>
      </c>
      <c r="AG24" s="17">
        <f>SUMPRODUCT(AC22:AG22,_R5)</f>
        <v>0.87927502144084979</v>
      </c>
      <c r="AK24" t="s">
        <v>14</v>
      </c>
      <c r="AL24" s="17">
        <f>SUMPRODUCT(AL22:AP22,_R1)</f>
        <v>5.0994435387209609E-2</v>
      </c>
      <c r="AM24" s="17">
        <f>SUMPRODUCT(AL22:AP22,_R2)</f>
        <v>-5.1916511196864162E-2</v>
      </c>
      <c r="AN24" s="17">
        <f>SUMPRODUCT(AL22:AP22,_R3)</f>
        <v>1.9079247054515386E-2</v>
      </c>
      <c r="AO24" s="17">
        <f>SUMPRODUCT(AL22:AP22,_R4)</f>
        <v>-0.21813127364118978</v>
      </c>
      <c r="AP24" s="17">
        <f>SUMPRODUCT(AL22:AP22,_R5)</f>
        <v>0.22805085685648918</v>
      </c>
    </row>
    <row r="25" spans="1:44" x14ac:dyDescent="0.2">
      <c r="A25" t="s">
        <v>15</v>
      </c>
      <c r="B25" s="17">
        <f>B22*_lb1</f>
        <v>-1.2908166839339667E-5</v>
      </c>
      <c r="C25" s="17">
        <f>C22*_lb1</f>
        <v>-1.2545574264544228E-4</v>
      </c>
      <c r="D25" s="17">
        <f>D22*_lb1</f>
        <v>1.1652934304529249E-2</v>
      </c>
      <c r="E25" s="17">
        <f>E22*_lb1</f>
        <v>-0.1813734930604971</v>
      </c>
      <c r="F25" s="17">
        <f>F22*_lb1</f>
        <v>0.18015681691016622</v>
      </c>
      <c r="J25" t="s">
        <v>15</v>
      </c>
      <c r="K25" s="17">
        <f>K22*_lb2</f>
        <v>-1.4994692308735222E-5</v>
      </c>
      <c r="L25" s="17">
        <f>L22*_lb2</f>
        <v>-1.5876849842447782E-4</v>
      </c>
      <c r="M25" s="17">
        <f>M22*_lb2</f>
        <v>1.3701768338820201E-2</v>
      </c>
      <c r="N25" s="17">
        <f>N22*_lb2</f>
        <v>-0.21320171218759953</v>
      </c>
      <c r="O25" s="17">
        <f>O22*_lb2</f>
        <v>0.21201403846217332</v>
      </c>
      <c r="S25" t="s">
        <v>15</v>
      </c>
      <c r="T25" s="17">
        <f>T22*_lb3</f>
        <v>-0.44812945869045323</v>
      </c>
      <c r="U25" s="17">
        <f>U22*_lb3</f>
        <v>-0.28809370864535638</v>
      </c>
      <c r="V25" s="17">
        <f>V22*_lb3</f>
        <v>-0.38431293203976924</v>
      </c>
      <c r="W25" s="17">
        <f>W22*_lb3</f>
        <v>0.71281484857445221</v>
      </c>
      <c r="X25" s="17">
        <f>X22*_lb3</f>
        <v>0.73824177300365557</v>
      </c>
      <c r="AB25" t="s">
        <v>15</v>
      </c>
      <c r="AC25" s="17">
        <f>AC22*_lb4</f>
        <v>0.9754192630390971</v>
      </c>
      <c r="AD25" s="17">
        <f>AD22*_lb4</f>
        <v>1.1064079569360659</v>
      </c>
      <c r="AE25" s="17">
        <f>AE22*_lb4</f>
        <v>0.967122399380134</v>
      </c>
      <c r="AF25" s="17">
        <f>AF22*_lb4</f>
        <v>0.80520211937434183</v>
      </c>
      <c r="AG25" s="17">
        <f>AG22*_lb4</f>
        <v>0.74985753012539513</v>
      </c>
      <c r="AK25" t="s">
        <v>15</v>
      </c>
      <c r="AL25" s="17">
        <f>AL22*_lb5</f>
        <v>-2.1300484907428324E-5</v>
      </c>
      <c r="AM25" s="17">
        <f>AM22*_lb5</f>
        <v>-2.252808141275214E-4</v>
      </c>
      <c r="AN25" s="17">
        <f>AN22*_lb5</f>
        <v>1.9680644396456618E-2</v>
      </c>
      <c r="AO25" s="17">
        <f>AO22*_lb5</f>
        <v>-0.3026767472951481</v>
      </c>
      <c r="AP25" s="17">
        <f>AP22*_lb5</f>
        <v>0.30142490050326143</v>
      </c>
    </row>
    <row r="26" spans="1:44" x14ac:dyDescent="0.2">
      <c r="A26" t="s">
        <v>16</v>
      </c>
      <c r="B26" s="17">
        <f>B24-B25</f>
        <v>5.053433871645157E-2</v>
      </c>
      <c r="C26" s="17">
        <f t="shared" ref="C26:F26" si="5">C24-C25</f>
        <v>-5.2525198171530008E-2</v>
      </c>
      <c r="D26" s="17">
        <f t="shared" si="5"/>
        <v>6.6578788857518008E-3</v>
      </c>
      <c r="E26" s="17">
        <f t="shared" si="5"/>
        <v>-3.8377011929083826E-2</v>
      </c>
      <c r="F26" s="17">
        <f t="shared" si="5"/>
        <v>4.6297462058278727E-2</v>
      </c>
      <c r="J26" t="s">
        <v>16</v>
      </c>
      <c r="K26" s="17">
        <f>K24-K25</f>
        <v>5.0616167422233606E-2</v>
      </c>
      <c r="L26" s="17">
        <f t="shared" ref="L26:O26" si="6">L24-L25</f>
        <v>-5.2320049330069389E-2</v>
      </c>
      <c r="M26" s="17">
        <f t="shared" si="6"/>
        <v>4.7080865759638289E-3</v>
      </c>
      <c r="N26" s="17">
        <f t="shared" si="6"/>
        <v>-5.8833638617956652E-3</v>
      </c>
      <c r="O26" s="17">
        <f t="shared" si="6"/>
        <v>1.5111401312723594E-2</v>
      </c>
      <c r="S26" t="s">
        <v>16</v>
      </c>
      <c r="T26" s="17">
        <f>T24-T25</f>
        <v>-6.907471334353138E-2</v>
      </c>
      <c r="U26" s="17">
        <f t="shared" ref="U26:X26" si="7">U24-U25</f>
        <v>-4.440682914810884E-2</v>
      </c>
      <c r="V26" s="17">
        <f t="shared" si="7"/>
        <v>-5.9237866844481346E-2</v>
      </c>
      <c r="W26" s="17">
        <f t="shared" si="7"/>
        <v>0.1098727257067168</v>
      </c>
      <c r="X26" s="17">
        <f t="shared" si="7"/>
        <v>0.11379206109513296</v>
      </c>
      <c r="AB26" t="s">
        <v>16</v>
      </c>
      <c r="AC26" s="17">
        <f>AC24-AC25</f>
        <v>0.16834533084256631</v>
      </c>
      <c r="AD26" s="17">
        <f t="shared" ref="AD26:AG26" si="8">AD24-AD25</f>
        <v>0.19095302066062314</v>
      </c>
      <c r="AE26" s="17">
        <f t="shared" si="8"/>
        <v>0.16691375159788102</v>
      </c>
      <c r="AF26" s="17">
        <f t="shared" si="8"/>
        <v>0.13896965172908471</v>
      </c>
      <c r="AG26" s="17">
        <f t="shared" si="8"/>
        <v>0.12941749131545466</v>
      </c>
      <c r="AK26" t="s">
        <v>16</v>
      </c>
      <c r="AL26" s="17">
        <f>AL24-AL25</f>
        <v>5.1015735872117038E-2</v>
      </c>
      <c r="AM26" s="17">
        <f t="shared" ref="AM26:AP26" si="9">AM24-AM25</f>
        <v>-5.1691230382736639E-2</v>
      </c>
      <c r="AN26" s="17">
        <f t="shared" si="9"/>
        <v>-6.0139734194123232E-4</v>
      </c>
      <c r="AO26" s="17">
        <f t="shared" si="9"/>
        <v>8.4545473653958314E-2</v>
      </c>
      <c r="AP26" s="17">
        <f t="shared" si="9"/>
        <v>-7.3374043646772247E-2</v>
      </c>
    </row>
    <row r="28" spans="1:44" x14ac:dyDescent="0.2">
      <c r="A28" t="s">
        <v>17</v>
      </c>
      <c r="B28" s="17">
        <f>SUMPRODUCT(B26:F26,B26:F26)</f>
        <v>8.9731932213676958E-3</v>
      </c>
      <c r="J28" t="s">
        <v>17</v>
      </c>
      <c r="K28" s="17">
        <f>SUMPRODUCT(K26:O26,K26:O26)</f>
        <v>5.5845184655877152E-3</v>
      </c>
      <c r="S28" t="s">
        <v>17</v>
      </c>
      <c r="T28" s="17">
        <f>SUMPRODUCT(T26:X26,T26:X26)</f>
        <v>3.5273056389266762E-2</v>
      </c>
      <c r="AB28" t="s">
        <v>17</v>
      </c>
      <c r="AC28" s="17">
        <f>SUMPRODUCT(AC26:AG26,AC26:AG26)</f>
        <v>0.12872485814847748</v>
      </c>
      <c r="AK28" t="s">
        <v>17</v>
      </c>
      <c r="AL28" s="17">
        <f>SUMPRODUCT(AL26:AP26,AL26:AP26)</f>
        <v>1.7806637680268255E-2</v>
      </c>
    </row>
    <row r="30" spans="1:44" x14ac:dyDescent="0.2">
      <c r="G30" s="13"/>
      <c r="H30" s="13"/>
      <c r="I30" s="13"/>
      <c r="J30" s="13"/>
      <c r="K30" s="13"/>
      <c r="L30" s="13"/>
      <c r="M30" s="13"/>
      <c r="N30" s="13"/>
      <c r="O30" s="13"/>
    </row>
    <row r="31" spans="1:44" x14ac:dyDescent="0.2">
      <c r="F31">
        <f>MDETERM(A33:E37)</f>
        <v>3.5678845401382581E-8</v>
      </c>
      <c r="G31" s="13"/>
      <c r="H31" s="13"/>
      <c r="I31" s="13"/>
      <c r="J31" s="13"/>
      <c r="K31" s="13"/>
      <c r="L31" s="13"/>
      <c r="M31" s="13"/>
      <c r="N31" s="13"/>
      <c r="O31" s="13"/>
    </row>
    <row r="32" spans="1:44" ht="16" thickBot="1" x14ac:dyDescent="0.25">
      <c r="A32" t="s">
        <v>18</v>
      </c>
      <c r="G32" s="13"/>
      <c r="H32" s="13"/>
      <c r="I32" s="13"/>
      <c r="J32" s="13"/>
      <c r="K32" s="13"/>
      <c r="L32" s="13"/>
      <c r="M32" s="13"/>
      <c r="N32" s="13"/>
      <c r="O32" s="13"/>
    </row>
    <row r="33" spans="1:18" x14ac:dyDescent="0.2">
      <c r="A33" s="62">
        <v>-5.0440771245282731E-5</v>
      </c>
      <c r="B33" s="62">
        <v>-4.9818565025547336E-5</v>
      </c>
      <c r="C33" s="62">
        <v>-0.36778650691433667</v>
      </c>
      <c r="D33" s="62">
        <v>0.46921497991067501</v>
      </c>
      <c r="E33" s="62">
        <v>-4.981188590524247E-5</v>
      </c>
      <c r="G33" s="13"/>
      <c r="H33" s="49" t="s">
        <v>24</v>
      </c>
      <c r="I33" s="50"/>
      <c r="J33" s="50"/>
      <c r="K33" s="50"/>
      <c r="L33" s="50"/>
      <c r="M33" s="50"/>
      <c r="N33" s="50"/>
      <c r="O33" s="50"/>
      <c r="P33" s="51"/>
    </row>
    <row r="34" spans="1:18" x14ac:dyDescent="0.2">
      <c r="A34" s="62">
        <v>-4.9023881508100621E-4</v>
      </c>
      <c r="B34" s="62">
        <v>-5.2749456940577404E-4</v>
      </c>
      <c r="C34" s="62">
        <v>-0.23644278837705771</v>
      </c>
      <c r="D34" s="62">
        <v>0.53222568690029881</v>
      </c>
      <c r="E34" s="62">
        <v>-5.268266078790908E-4</v>
      </c>
      <c r="G34" s="13"/>
      <c r="H34" s="52">
        <v>-5.0440771245282731E-5</v>
      </c>
      <c r="I34" s="47"/>
      <c r="J34" s="46">
        <v>-4.9818565025547336E-5</v>
      </c>
      <c r="K34" s="48"/>
      <c r="L34" s="46">
        <v>-0.36778650691433667</v>
      </c>
      <c r="M34" s="48"/>
      <c r="N34" s="46">
        <v>0.46921497991067501</v>
      </c>
      <c r="O34" s="45"/>
      <c r="P34" s="53">
        <v>-4.981188590524247E-5</v>
      </c>
    </row>
    <row r="35" spans="1:18" x14ac:dyDescent="0.2">
      <c r="A35" s="62">
        <v>4.5535744998252317E-2</v>
      </c>
      <c r="B35" s="62">
        <v>4.5522937243256859E-2</v>
      </c>
      <c r="C35" s="62">
        <v>-0.31541133504135055</v>
      </c>
      <c r="D35" s="62">
        <v>0.46522386259058746</v>
      </c>
      <c r="E35" s="62">
        <v>4.6023835489119154E-2</v>
      </c>
      <c r="G35" s="13"/>
      <c r="H35" s="52">
        <v>-4.9023881508100621E-4</v>
      </c>
      <c r="I35" s="47"/>
      <c r="J35" s="46">
        <v>-5.2749456940577404E-4</v>
      </c>
      <c r="K35" s="48"/>
      <c r="L35" s="46">
        <v>-0.23644278837705771</v>
      </c>
      <c r="M35" s="48"/>
      <c r="N35" s="46">
        <v>0.53222568690029881</v>
      </c>
      <c r="O35" s="45"/>
      <c r="P35" s="53">
        <v>-5.268266078790908E-4</v>
      </c>
    </row>
    <row r="36" spans="1:18" x14ac:dyDescent="0.2">
      <c r="A36" s="62">
        <v>-0.70874656233451805</v>
      </c>
      <c r="B36" s="62">
        <v>-0.70834420230073081</v>
      </c>
      <c r="C36" s="62">
        <v>0.58501774018601171</v>
      </c>
      <c r="D36" s="62">
        <v>0.38733384769244689</v>
      </c>
      <c r="E36" s="62">
        <v>-0.70781954814455472</v>
      </c>
      <c r="G36" s="13"/>
      <c r="H36" s="52">
        <v>4.5535744998252317E-2</v>
      </c>
      <c r="I36" s="47"/>
      <c r="J36" s="46">
        <v>4.5522937243256859E-2</v>
      </c>
      <c r="K36" s="48"/>
      <c r="L36" s="46">
        <v>-0.31541133504135055</v>
      </c>
      <c r="M36" s="48"/>
      <c r="N36" s="46">
        <v>0.46522386259058746</v>
      </c>
      <c r="O36" s="45"/>
      <c r="P36" s="53">
        <v>4.6023835489119154E-2</v>
      </c>
    </row>
    <row r="37" spans="1:18" x14ac:dyDescent="0.2">
      <c r="A37" s="62">
        <v>0.70399220146033126</v>
      </c>
      <c r="B37" s="62">
        <v>0.70439825932964295</v>
      </c>
      <c r="C37" s="62">
        <v>0.60588599496381512</v>
      </c>
      <c r="D37" s="62">
        <v>0.36071092633276464</v>
      </c>
      <c r="E37" s="62">
        <v>0.70489206316760222</v>
      </c>
      <c r="G37" s="13"/>
      <c r="H37" s="52">
        <v>-0.70874656233451805</v>
      </c>
      <c r="I37" s="47"/>
      <c r="J37" s="46">
        <v>-0.70834420230073081</v>
      </c>
      <c r="K37" s="48"/>
      <c r="L37" s="46">
        <v>0.58501774018601171</v>
      </c>
      <c r="M37" s="48"/>
      <c r="N37" s="46">
        <v>0.38733384769244689</v>
      </c>
      <c r="O37" s="45"/>
      <c r="P37" s="53">
        <v>-0.70781954814455472</v>
      </c>
    </row>
    <row r="38" spans="1:18" ht="16" thickBot="1" x14ac:dyDescent="0.25">
      <c r="G38" s="13"/>
      <c r="H38" s="54">
        <v>0.70399220146033126</v>
      </c>
      <c r="I38" s="55"/>
      <c r="J38" s="56">
        <v>0.70439825932964295</v>
      </c>
      <c r="K38" s="57"/>
      <c r="L38" s="56">
        <v>0.60588599496381512</v>
      </c>
      <c r="M38" s="57"/>
      <c r="N38" s="56">
        <v>0.36071092633276464</v>
      </c>
      <c r="O38" s="58"/>
      <c r="P38" s="59">
        <v>0.70489206316760222</v>
      </c>
    </row>
    <row r="39" spans="1:18" x14ac:dyDescent="0.2">
      <c r="G39" s="13" t="s">
        <v>28</v>
      </c>
      <c r="H39" s="23">
        <f>_lb1</f>
        <v>0.25590740428154835</v>
      </c>
      <c r="I39" s="43"/>
      <c r="J39" s="43">
        <f>_lb2</f>
        <v>0.30098603404264718</v>
      </c>
      <c r="K39" s="43"/>
      <c r="L39" s="43">
        <f>_lb3</f>
        <v>1.2184499710176417</v>
      </c>
      <c r="M39" s="43"/>
      <c r="N39" s="23">
        <f>_lb4</f>
        <v>2.0788323152529991</v>
      </c>
      <c r="O39" s="23"/>
      <c r="P39" s="17">
        <f>_lb5</f>
        <v>0.42761851956274849</v>
      </c>
    </row>
    <row r="40" spans="1:18" x14ac:dyDescent="0.2">
      <c r="A40" t="s">
        <v>20</v>
      </c>
      <c r="G40" s="13" t="s">
        <v>29</v>
      </c>
      <c r="H40" s="60">
        <f>H39/SUM(H39:P39)</f>
        <v>5.9766394574127066E-2</v>
      </c>
      <c r="I40" s="60"/>
      <c r="J40" s="60">
        <f>J39/SUM(H39:P39)</f>
        <v>7.0294371209764714E-2</v>
      </c>
      <c r="K40" s="60"/>
      <c r="L40" s="60">
        <f>L39/SUM(H39:P39)</f>
        <v>0.28456527837137208</v>
      </c>
      <c r="M40" s="60"/>
      <c r="N40" s="60">
        <f>N39/SUM(H39:P39)</f>
        <v>0.48550495346419803</v>
      </c>
      <c r="O40" s="60"/>
      <c r="P40" s="60">
        <f>P39/SUM(H39:P39)</f>
        <v>9.9869002380538183E-2</v>
      </c>
      <c r="R40" s="17"/>
    </row>
    <row r="41" spans="1:18" x14ac:dyDescent="0.2">
      <c r="A41" s="19">
        <v>-5.0440771245282731E-5</v>
      </c>
      <c r="B41" s="19">
        <v>-4.9023881508100621E-4</v>
      </c>
      <c r="C41" s="19">
        <v>4.5535744998252317E-2</v>
      </c>
      <c r="D41" s="19">
        <v>-0.70874656233451805</v>
      </c>
      <c r="E41" s="19">
        <v>0.70399220146033126</v>
      </c>
      <c r="G41" s="13"/>
      <c r="H41" s="13"/>
      <c r="I41" s="44"/>
      <c r="J41" s="44"/>
      <c r="K41" s="44"/>
      <c r="L41" s="44"/>
      <c r="M41" s="44"/>
      <c r="N41" s="13"/>
      <c r="O41" s="13"/>
    </row>
    <row r="42" spans="1:18" x14ac:dyDescent="0.2">
      <c r="A42" s="19">
        <v>-4.9818565025547336E-5</v>
      </c>
      <c r="B42" s="19">
        <v>-5.2749456940577404E-4</v>
      </c>
      <c r="C42" s="19">
        <v>4.5522937243256859E-2</v>
      </c>
      <c r="D42" s="19">
        <v>-0.70834420230073081</v>
      </c>
      <c r="E42" s="19">
        <v>0.70439825932964295</v>
      </c>
      <c r="G42" s="13"/>
      <c r="H42" s="61" t="s">
        <v>30</v>
      </c>
      <c r="I42" s="61"/>
      <c r="J42" s="61"/>
      <c r="K42" s="61"/>
      <c r="L42" s="61"/>
      <c r="M42" s="61"/>
      <c r="N42" s="61"/>
      <c r="O42" s="61"/>
      <c r="P42" s="61"/>
    </row>
    <row r="43" spans="1:18" x14ac:dyDescent="0.2">
      <c r="A43" s="19">
        <v>-0.36778650691433667</v>
      </c>
      <c r="B43" s="19">
        <v>-0.23644278837705771</v>
      </c>
      <c r="C43" s="19">
        <v>-0.31541133504135055</v>
      </c>
      <c r="D43" s="19">
        <v>0.58501774018601171</v>
      </c>
      <c r="E43" s="19">
        <v>0.60588599496381512</v>
      </c>
      <c r="G43" s="13"/>
      <c r="H43" s="61"/>
      <c r="I43" s="61"/>
      <c r="J43" s="61"/>
      <c r="K43" s="61"/>
      <c r="L43" s="61"/>
      <c r="M43" s="61"/>
      <c r="N43" s="61"/>
      <c r="O43" s="61"/>
      <c r="P43" s="61"/>
    </row>
    <row r="44" spans="1:18" x14ac:dyDescent="0.2">
      <c r="A44" s="19">
        <v>0.46921497991067501</v>
      </c>
      <c r="B44" s="19">
        <v>0.53222568690029881</v>
      </c>
      <c r="C44" s="19">
        <v>0.46522386259058746</v>
      </c>
      <c r="D44" s="19">
        <v>0.38733384769244689</v>
      </c>
      <c r="E44" s="19">
        <v>0.36071092633276464</v>
      </c>
      <c r="G44" s="13"/>
      <c r="H44" s="13"/>
      <c r="I44" s="13"/>
      <c r="J44" s="13"/>
      <c r="K44" s="13"/>
      <c r="L44" s="13"/>
      <c r="M44" s="13"/>
      <c r="N44" s="13"/>
      <c r="O44" s="13"/>
    </row>
    <row r="45" spans="1:18" x14ac:dyDescent="0.2">
      <c r="A45" s="19">
        <v>-4.981188590524247E-5</v>
      </c>
      <c r="B45" s="19">
        <v>-5.268266078790908E-4</v>
      </c>
      <c r="C45" s="19">
        <v>4.6023835489119154E-2</v>
      </c>
      <c r="D45" s="19">
        <v>-0.70781954814455472</v>
      </c>
      <c r="E45" s="19">
        <v>0.70489206316760222</v>
      </c>
    </row>
  </sheetData>
  <mergeCells count="6">
    <mergeCell ref="H42:P43"/>
    <mergeCell ref="H33:P33"/>
    <mergeCell ref="I34:I38"/>
    <mergeCell ref="K34:K38"/>
    <mergeCell ref="M34:M38"/>
    <mergeCell ref="O34:O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20</vt:i4>
      </vt:variant>
    </vt:vector>
  </HeadingPairs>
  <TitlesOfParts>
    <vt:vector size="23" baseType="lpstr">
      <vt:lpstr>Task1</vt:lpstr>
      <vt:lpstr>task2</vt:lpstr>
      <vt:lpstr>task3</vt:lpstr>
      <vt:lpstr>_lambda1</vt:lpstr>
      <vt:lpstr>_lambda2</vt:lpstr>
      <vt:lpstr>_lambda3</vt:lpstr>
      <vt:lpstr>_lb1</vt:lpstr>
      <vt:lpstr>_lb2</vt:lpstr>
      <vt:lpstr>_lb3</vt:lpstr>
      <vt:lpstr>_lb4</vt:lpstr>
      <vt:lpstr>_lb5</vt:lpstr>
      <vt:lpstr>_ll1</vt:lpstr>
      <vt:lpstr>_ll2</vt:lpstr>
      <vt:lpstr>_ll3</vt:lpstr>
      <vt:lpstr>_ll4</vt:lpstr>
      <vt:lpstr>_R1</vt:lpstr>
      <vt:lpstr>_R2</vt:lpstr>
      <vt:lpstr>_R3</vt:lpstr>
      <vt:lpstr>_R4</vt:lpstr>
      <vt:lpstr>_R5</vt:lpstr>
      <vt:lpstr>lambda1</vt:lpstr>
      <vt:lpstr>lambda2</vt:lpstr>
      <vt:lpstr>lambda3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Сукиасян Ани Гагиковна</dc:creator>
  <cp:lastModifiedBy>Alexander Kudryashov</cp:lastModifiedBy>
  <dcterms:created xsi:type="dcterms:W3CDTF">2023-05-04T05:28:41Z</dcterms:created>
  <dcterms:modified xsi:type="dcterms:W3CDTF">2023-05-04T19:20:39Z</dcterms:modified>
</cp:coreProperties>
</file>