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kudrasov/Desktop/Учеба зайкина/course progect 2024/"/>
    </mc:Choice>
  </mc:AlternateContent>
  <xr:revisionPtr revIDLastSave="0" documentId="13_ncr:1_{F2585DFE-5AAC-3147-826D-29969404ED49}" xr6:coauthVersionLast="47" xr6:coauthVersionMax="47" xr10:uidLastSave="{00000000-0000-0000-0000-000000000000}"/>
  <bookViews>
    <workbookView xWindow="720" yWindow="1000" windowWidth="24540" windowHeight="13700" xr2:uid="{295CE698-F6E4-3F40-8F69-83E7F7F6157C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18" i="1"/>
  <c r="T17" i="1"/>
  <c r="Q16" i="1"/>
  <c r="T16" i="1" s="1"/>
  <c r="T13" i="1"/>
  <c r="T12" i="1"/>
  <c r="T11" i="1"/>
  <c r="T8" i="1"/>
  <c r="T7" i="1"/>
  <c r="T6" i="1"/>
  <c r="N22" i="1"/>
  <c r="N23" i="1"/>
  <c r="N21" i="1"/>
  <c r="N17" i="1"/>
  <c r="N18" i="1"/>
  <c r="K16" i="1"/>
  <c r="N16" i="1" s="1"/>
  <c r="N12" i="1"/>
  <c r="N13" i="1"/>
  <c r="N11" i="1"/>
  <c r="N7" i="1"/>
  <c r="N8" i="1"/>
  <c r="N6" i="1"/>
  <c r="T25" i="1" l="1"/>
  <c r="N25" i="1"/>
  <c r="G16" i="1" l="1"/>
  <c r="H16" i="1"/>
  <c r="H17" i="1"/>
  <c r="G17" i="1"/>
  <c r="H15" i="1"/>
  <c r="G15" i="1"/>
  <c r="H13" i="1"/>
  <c r="G13" i="1"/>
  <c r="H12" i="1"/>
  <c r="G12" i="1"/>
  <c r="H11" i="1"/>
  <c r="G11" i="1"/>
  <c r="H9" i="1"/>
  <c r="G9" i="1"/>
  <c r="H8" i="1"/>
  <c r="G8" i="1"/>
  <c r="G7" i="1"/>
  <c r="H7" i="1"/>
  <c r="H5" i="1"/>
  <c r="G5" i="1"/>
  <c r="G3" i="1"/>
  <c r="G4" i="1"/>
  <c r="H4" i="1"/>
  <c r="H3" i="1"/>
</calcChain>
</file>

<file path=xl/sharedStrings.xml><?xml version="1.0" encoding="utf-8"?>
<sst xmlns="http://schemas.openxmlformats.org/spreadsheetml/2006/main" count="159" uniqueCount="106">
  <si>
    <t xml:space="preserve">Coefficient </t>
  </si>
  <si>
    <t xml:space="preserve">Content </t>
  </si>
  <si>
    <t>Normative interval</t>
  </si>
  <si>
    <t xml:space="preserve">Liquidity </t>
  </si>
  <si>
    <t>excellent</t>
  </si>
  <si>
    <t>good</t>
  </si>
  <si>
    <t>satisfactory</t>
  </si>
  <si>
    <t>unsatisfactory</t>
  </si>
  <si>
    <t>Current liquidity ratio</t>
  </si>
  <si>
    <t>Current assets/current liabilities</t>
  </si>
  <si>
    <t>More than 2,0</t>
  </si>
  <si>
    <t>1,5-2,0</t>
  </si>
  <si>
    <t>1,0-1,5</t>
  </si>
  <si>
    <t>Less than 1,0</t>
  </si>
  <si>
    <t>Quick liquidity ratio</t>
  </si>
  <si>
    <t>(Cash+STI+AR)/CL</t>
  </si>
  <si>
    <t>More than 1,0</t>
  </si>
  <si>
    <t>0,7-1,0</t>
  </si>
  <si>
    <t>0,5-0,7</t>
  </si>
  <si>
    <t>Less than 0,5</t>
  </si>
  <si>
    <t>Absolute liquidity ratio</t>
  </si>
  <si>
    <t>(Cash+STI)/CL</t>
  </si>
  <si>
    <t>More than 0,3</t>
  </si>
  <si>
    <t>0,2-0,3</t>
  </si>
  <si>
    <t>0,1-0,2</t>
  </si>
  <si>
    <t>Less than 0,1</t>
  </si>
  <si>
    <t>Financial stability ratios</t>
  </si>
  <si>
    <t>Debt/Equity</t>
  </si>
  <si>
    <t>Less than 0,7</t>
  </si>
  <si>
    <t>0,7-0,9</t>
  </si>
  <si>
    <t>0,9-1,0</t>
  </si>
  <si>
    <t>NWC/Equity</t>
  </si>
  <si>
    <t>More than 0,5</t>
  </si>
  <si>
    <t>0,3-0,5</t>
  </si>
  <si>
    <t>Less than 0,2</t>
  </si>
  <si>
    <t>Equity/Assets</t>
  </si>
  <si>
    <t>More than 0,7</t>
  </si>
  <si>
    <t>0,6-0,7</t>
  </si>
  <si>
    <t>0,5-0,6</t>
  </si>
  <si>
    <t xml:space="preserve">Profitability </t>
  </si>
  <si>
    <t>Profitability of assets based on EBITDA</t>
  </si>
  <si>
    <t>EBITDA/Assets</t>
  </si>
  <si>
    <t>More than 0,2</t>
  </si>
  <si>
    <t>0-0,1</t>
  </si>
  <si>
    <t>Less than 0</t>
  </si>
  <si>
    <t>Profitability of equity based on EAT</t>
  </si>
  <si>
    <t>EAT/Equity</t>
  </si>
  <si>
    <t>More than 0,25</t>
  </si>
  <si>
    <t>0,125-0,25</t>
  </si>
  <si>
    <t>0-0,125</t>
  </si>
  <si>
    <t>Profitability of sales</t>
  </si>
  <si>
    <t>EBIT/Sales</t>
  </si>
  <si>
    <t>0,15-0,3</t>
  </si>
  <si>
    <t>0-0,15</t>
  </si>
  <si>
    <t>Business activity ratios</t>
  </si>
  <si>
    <t>Turnover of current assets ratio</t>
  </si>
  <si>
    <t>Sales/Current assets</t>
  </si>
  <si>
    <t>More than 7,5</t>
  </si>
  <si>
    <t>5,0-7,5</t>
  </si>
  <si>
    <t>2,5-5,0</t>
  </si>
  <si>
    <t>Less than 2,5</t>
  </si>
  <si>
    <t>Turnover of equity</t>
  </si>
  <si>
    <t>Sales/Equity</t>
  </si>
  <si>
    <t>More than 4,5</t>
  </si>
  <si>
    <t>3,0-4,5</t>
  </si>
  <si>
    <t>1,5-3,0</t>
  </si>
  <si>
    <t>Less than 1,5</t>
  </si>
  <si>
    <t>Return of assets</t>
  </si>
  <si>
    <t>Sales/average noncurrent assets</t>
  </si>
  <si>
    <t>More than 6,0</t>
  </si>
  <si>
    <t>4,0-6,0</t>
  </si>
  <si>
    <t>2,0-4,0</t>
  </si>
  <si>
    <t>Less than 2,0</t>
  </si>
  <si>
    <t>Importance of the group in the overall rating assessment</t>
  </si>
  <si>
    <t>Actual coefficient value</t>
  </si>
  <si>
    <t>Coefficient assessment, points</t>
  </si>
  <si>
    <t>Assessment of a group of indicators taking into account the significance of the group, points</t>
  </si>
  <si>
    <t>Liquidity</t>
  </si>
  <si>
    <t>Group average</t>
  </si>
  <si>
    <t>Profitability of assets based on EAT</t>
  </si>
  <si>
    <t>Company rating</t>
  </si>
  <si>
    <t>Развитие мощностей Компании в г. Череповце </t>
  </si>
  <si>
    <t>Развитие Волховской площадки Компании </t>
  </si>
  <si>
    <t>Развитие Балаковской площадки Компании </t>
  </si>
  <si>
    <t>Цели </t>
  </si>
  <si>
    <t>Увеличение объемов выпуска азотных удобрений, запуск мощностей по производству полуфабрикатов для обеспечения производственной безопасности </t>
  </si>
  <si>
    <t>Запуск производства MAP, преимущественно для экспортных рынков </t>
  </si>
  <si>
    <t>Запуск производства NPK(S), преимущественно для рынков России и Европы </t>
  </si>
  <si>
    <t>Срок реализации </t>
  </si>
  <si>
    <t>2019–2020</t>
  </si>
  <si>
    <t>Ключевые целевые показатели </t>
  </si>
  <si>
    <t>+1 100 тыс. т серной кислоты; </t>
  </si>
  <si>
    <t>+150 тыс. т аммиачной селитры; </t>
  </si>
  <si>
    <t>+300 тыс. т сульфата аммония; </t>
  </si>
  <si>
    <t>+2,3 млн т к максимальной пропускной способности железнодорожной инфраструктуры </t>
  </si>
  <si>
    <t>+840 тыс. т удобрений </t>
  </si>
  <si>
    <t>+1 100 тыс. т удобрений </t>
  </si>
  <si>
    <t>Капитальные затраты, млн долл. США </t>
  </si>
  <si>
    <t>Влияние на EBITDA в год, млн долл. США </t>
  </si>
  <si>
    <t>60+</t>
  </si>
  <si>
    <t>90+</t>
  </si>
  <si>
    <t>50+</t>
  </si>
  <si>
    <t>WACC, % </t>
  </si>
  <si>
    <t>NPV, млн долл. США </t>
  </si>
  <si>
    <t>IRR, % </t>
  </si>
  <si>
    <t>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</si>
</sst>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262324"/>
      <name val="Times New Roman"/>
      <family val="1"/>
    </font>
    <font>
      <sz val="12"/>
      <color rgb="FFFFFFFF"/>
      <name val="Times New Roman"/>
      <family val="1"/>
    </font>
    <font>
      <sz val="12"/>
      <color rgb="FF241F2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FD63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808285"/>
      </bottom>
      <diagonal/>
    </border>
    <border>
      <left/>
      <right/>
      <top style="thick">
        <color rgb="FF808285"/>
      </top>
      <bottom style="thick">
        <color rgb="FF80828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94CF-DA0A-E64C-8494-9E31F412C8B6}">
  <dimension ref="A1:T25"/>
  <sheetViews>
    <sheetView tabSelected="1" topLeftCell="C11" zoomScale="114" workbookViewId="0">
      <selection activeCell="V5" sqref="V5"/>
    </sheetView>
  </sheetViews>
  <sheetFormatPr baseColWidth="10" defaultRowHeight="16" x14ac:dyDescent="0.2"/>
  <cols>
    <col min="7" max="8" width="11.6640625" bestFit="1" customWidth="1"/>
  </cols>
  <sheetData>
    <row r="1" spans="1:20" x14ac:dyDescent="0.2">
      <c r="A1" s="1" t="s">
        <v>0</v>
      </c>
      <c r="B1" s="1" t="s">
        <v>1</v>
      </c>
      <c r="C1" s="2" t="s">
        <v>2</v>
      </c>
      <c r="D1" s="2"/>
      <c r="E1" s="2"/>
      <c r="F1" s="2"/>
      <c r="G1" s="5"/>
      <c r="H1" s="5"/>
    </row>
    <row r="2" spans="1:20" ht="30" x14ac:dyDescent="0.2">
      <c r="A2" s="3" t="s">
        <v>3</v>
      </c>
      <c r="B2" s="4"/>
      <c r="C2" s="1" t="s">
        <v>4</v>
      </c>
      <c r="D2" s="1" t="s">
        <v>5</v>
      </c>
      <c r="E2" s="1" t="s">
        <v>6</v>
      </c>
      <c r="F2" s="1" t="s">
        <v>7</v>
      </c>
      <c r="G2" s="1">
        <v>2023</v>
      </c>
      <c r="H2" s="1">
        <v>2022</v>
      </c>
      <c r="J2" s="19">
        <v>2023</v>
      </c>
      <c r="K2" s="19"/>
      <c r="L2" s="19"/>
      <c r="M2" s="19"/>
      <c r="N2" s="19"/>
      <c r="P2" s="19">
        <v>2022</v>
      </c>
      <c r="Q2" s="19"/>
      <c r="R2" s="19"/>
      <c r="S2" s="19"/>
      <c r="T2" s="19"/>
    </row>
    <row r="3" spans="1:20" ht="45" x14ac:dyDescent="0.2">
      <c r="A3" s="1" t="s">
        <v>8</v>
      </c>
      <c r="B3" s="1" t="s">
        <v>9</v>
      </c>
      <c r="C3" s="1" t="s">
        <v>10</v>
      </c>
      <c r="D3" s="1" t="s">
        <v>11</v>
      </c>
      <c r="E3" s="7" t="s">
        <v>12</v>
      </c>
      <c r="F3" s="1" t="s">
        <v>13</v>
      </c>
      <c r="G3" s="6">
        <f>197.253/194.776</f>
        <v>1.0127171725469255</v>
      </c>
      <c r="H3" s="6">
        <f>141.314/127.579</f>
        <v>1.1076587839691485</v>
      </c>
      <c r="J3" s="1" t="s">
        <v>0</v>
      </c>
      <c r="K3" s="2" t="s">
        <v>2</v>
      </c>
      <c r="L3" s="2"/>
      <c r="M3" s="2"/>
      <c r="N3" s="2"/>
      <c r="P3" s="1" t="s">
        <v>0</v>
      </c>
      <c r="Q3" s="2" t="s">
        <v>2</v>
      </c>
      <c r="R3" s="2"/>
      <c r="S3" s="2"/>
      <c r="T3" s="2"/>
    </row>
    <row r="4" spans="1:20" ht="135" x14ac:dyDescent="0.2">
      <c r="A4" s="1" t="s">
        <v>14</v>
      </c>
      <c r="B4" s="1" t="s">
        <v>15</v>
      </c>
      <c r="C4" s="1" t="s">
        <v>16</v>
      </c>
      <c r="D4" s="7" t="s">
        <v>17</v>
      </c>
      <c r="E4" s="1" t="s">
        <v>18</v>
      </c>
      <c r="F4" s="1" t="s">
        <v>19</v>
      </c>
      <c r="G4" s="6">
        <f>(29.163+62.3+46.2)/194.776</f>
        <v>0.70677598882819237</v>
      </c>
      <c r="H4" s="6">
        <f>(13.356+43.2+56.2)/127.579</f>
        <v>0.88381316674374311</v>
      </c>
      <c r="J4" s="4"/>
      <c r="K4" s="1" t="s">
        <v>73</v>
      </c>
      <c r="L4" s="1" t="s">
        <v>74</v>
      </c>
      <c r="M4" s="1" t="s">
        <v>75</v>
      </c>
      <c r="N4" s="1" t="s">
        <v>76</v>
      </c>
      <c r="P4" s="4"/>
      <c r="Q4" s="1" t="s">
        <v>73</v>
      </c>
      <c r="R4" s="1" t="s">
        <v>74</v>
      </c>
      <c r="S4" s="1" t="s">
        <v>75</v>
      </c>
      <c r="T4" s="1" t="s">
        <v>76</v>
      </c>
    </row>
    <row r="5" spans="1:20" ht="45" x14ac:dyDescent="0.2">
      <c r="A5" s="1" t="s">
        <v>20</v>
      </c>
      <c r="B5" s="1" t="s">
        <v>21</v>
      </c>
      <c r="C5" s="1" t="s">
        <v>22</v>
      </c>
      <c r="D5" s="7" t="s">
        <v>23</v>
      </c>
      <c r="E5" s="1" t="s">
        <v>24</v>
      </c>
      <c r="F5" s="1" t="s">
        <v>25</v>
      </c>
      <c r="G5" s="6">
        <f>(29.163+26.2)/194.776</f>
        <v>0.28423933133445595</v>
      </c>
      <c r="H5" s="6">
        <f>(13.356+23.2)/127.579</f>
        <v>0.28653618542236575</v>
      </c>
      <c r="J5" s="8" t="s">
        <v>77</v>
      </c>
      <c r="K5" s="8"/>
      <c r="L5" s="8"/>
      <c r="M5" s="8"/>
      <c r="N5" s="8"/>
      <c r="P5" s="10" t="s">
        <v>77</v>
      </c>
      <c r="Q5" s="11"/>
      <c r="R5" s="11"/>
      <c r="S5" s="11"/>
      <c r="T5" s="12"/>
    </row>
    <row r="6" spans="1:20" ht="45" x14ac:dyDescent="0.2">
      <c r="A6" s="3" t="s">
        <v>26</v>
      </c>
      <c r="B6" s="3"/>
      <c r="C6" s="4"/>
      <c r="D6" s="4"/>
      <c r="E6" s="4"/>
      <c r="F6" s="4"/>
      <c r="H6" s="4"/>
      <c r="J6" s="1" t="s">
        <v>8</v>
      </c>
      <c r="K6" s="4">
        <v>0.1</v>
      </c>
      <c r="L6" s="13">
        <v>1.0127171725469255</v>
      </c>
      <c r="M6" s="4">
        <v>2</v>
      </c>
      <c r="N6" s="4">
        <f>K6*M6</f>
        <v>0.2</v>
      </c>
      <c r="P6" s="1" t="s">
        <v>8</v>
      </c>
      <c r="Q6" s="4">
        <v>0.1</v>
      </c>
      <c r="R6" s="13">
        <v>1.1076587839691485</v>
      </c>
      <c r="S6" s="4">
        <v>2</v>
      </c>
      <c r="T6" s="4">
        <f>Q6*S6</f>
        <v>0.2</v>
      </c>
    </row>
    <row r="7" spans="1:20" ht="45" x14ac:dyDescent="0.2">
      <c r="A7" s="4"/>
      <c r="B7" s="1" t="s">
        <v>27</v>
      </c>
      <c r="C7" s="1" t="s">
        <v>28</v>
      </c>
      <c r="D7" s="7" t="s">
        <v>29</v>
      </c>
      <c r="E7" s="1" t="s">
        <v>30</v>
      </c>
      <c r="F7" s="1" t="s">
        <v>16</v>
      </c>
      <c r="G7" s="6">
        <f>122/197</f>
        <v>0.61928934010152281</v>
      </c>
      <c r="H7" s="6">
        <f>132/151</f>
        <v>0.8741721854304636</v>
      </c>
      <c r="J7" s="1" t="s">
        <v>14</v>
      </c>
      <c r="K7" s="4">
        <v>0.1</v>
      </c>
      <c r="L7" s="13">
        <v>0.70677598882819237</v>
      </c>
      <c r="M7" s="4">
        <v>3</v>
      </c>
      <c r="N7" s="4">
        <f>K7*M7</f>
        <v>0.30000000000000004</v>
      </c>
      <c r="P7" s="1" t="s">
        <v>14</v>
      </c>
      <c r="Q7" s="4">
        <v>0.1</v>
      </c>
      <c r="R7" s="13">
        <v>0.88381316674374311</v>
      </c>
      <c r="S7" s="4">
        <v>3</v>
      </c>
      <c r="T7" s="4">
        <f t="shared" ref="T7:T8" si="0">Q7*S7</f>
        <v>0.30000000000000004</v>
      </c>
    </row>
    <row r="8" spans="1:20" ht="45" x14ac:dyDescent="0.2">
      <c r="A8" s="4"/>
      <c r="B8" s="1" t="s">
        <v>31</v>
      </c>
      <c r="C8" s="1" t="s">
        <v>32</v>
      </c>
      <c r="D8" s="1" t="s">
        <v>33</v>
      </c>
      <c r="E8" s="7" t="s">
        <v>23</v>
      </c>
      <c r="F8" s="1" t="s">
        <v>34</v>
      </c>
      <c r="G8" s="6">
        <f>54/151</f>
        <v>0.35761589403973509</v>
      </c>
      <c r="H8" s="6">
        <f>45/197</f>
        <v>0.22842639593908629</v>
      </c>
      <c r="J8" s="1" t="s">
        <v>20</v>
      </c>
      <c r="K8" s="4">
        <v>0.1</v>
      </c>
      <c r="L8" s="13">
        <v>0.28423933133445595</v>
      </c>
      <c r="M8" s="4">
        <v>3</v>
      </c>
      <c r="N8" s="4">
        <f>K8*M8</f>
        <v>0.30000000000000004</v>
      </c>
      <c r="P8" s="1" t="s">
        <v>20</v>
      </c>
      <c r="Q8" s="4">
        <v>0.1</v>
      </c>
      <c r="R8" s="13">
        <v>0.28653618542236575</v>
      </c>
      <c r="S8" s="4">
        <v>3</v>
      </c>
      <c r="T8" s="4">
        <f t="shared" si="0"/>
        <v>0.30000000000000004</v>
      </c>
    </row>
    <row r="9" spans="1:20" ht="30" customHeight="1" x14ac:dyDescent="0.2">
      <c r="A9" s="4"/>
      <c r="B9" s="1" t="s">
        <v>35</v>
      </c>
      <c r="C9" s="1" t="s">
        <v>36</v>
      </c>
      <c r="D9" s="1" t="s">
        <v>37</v>
      </c>
      <c r="E9" s="7" t="s">
        <v>38</v>
      </c>
      <c r="F9" s="1" t="s">
        <v>19</v>
      </c>
      <c r="G9" s="6">
        <f>151/225</f>
        <v>0.6711111111111111</v>
      </c>
      <c r="H9" s="6">
        <f>191/355</f>
        <v>0.53802816901408446</v>
      </c>
      <c r="J9" s="3" t="s">
        <v>78</v>
      </c>
      <c r="K9" s="3">
        <v>0.3</v>
      </c>
      <c r="L9" s="4"/>
      <c r="M9" s="4"/>
      <c r="N9" s="4"/>
      <c r="P9" s="3" t="s">
        <v>78</v>
      </c>
      <c r="Q9" s="3">
        <v>0.3</v>
      </c>
      <c r="R9" s="4"/>
      <c r="S9" s="4"/>
      <c r="T9" s="4"/>
    </row>
    <row r="10" spans="1:20" ht="45" customHeight="1" x14ac:dyDescent="0.2">
      <c r="A10" s="3" t="s">
        <v>39</v>
      </c>
      <c r="B10" s="3"/>
      <c r="C10" s="4"/>
      <c r="D10" s="4"/>
      <c r="E10" s="4"/>
      <c r="F10" s="4"/>
      <c r="G10" s="4"/>
      <c r="H10" s="4"/>
      <c r="J10" s="9" t="s">
        <v>26</v>
      </c>
      <c r="K10" s="9"/>
      <c r="L10" s="9"/>
      <c r="M10" s="9"/>
      <c r="N10" s="9"/>
      <c r="P10" s="10" t="s">
        <v>26</v>
      </c>
      <c r="Q10" s="11"/>
      <c r="R10" s="11"/>
      <c r="S10" s="11"/>
      <c r="T10" s="12"/>
    </row>
    <row r="11" spans="1:20" ht="60" x14ac:dyDescent="0.2">
      <c r="A11" s="1" t="s">
        <v>40</v>
      </c>
      <c r="B11" s="1" t="s">
        <v>41</v>
      </c>
      <c r="C11" s="7" t="s">
        <v>42</v>
      </c>
      <c r="D11" s="1" t="s">
        <v>24</v>
      </c>
      <c r="E11" s="1" t="s">
        <v>43</v>
      </c>
      <c r="F11" s="1" t="s">
        <v>44</v>
      </c>
      <c r="G11" s="6">
        <f>153/525</f>
        <v>0.29142857142857143</v>
      </c>
      <c r="H11" s="6">
        <f>144/555</f>
        <v>0.25945945945945947</v>
      </c>
      <c r="J11" s="1" t="s">
        <v>27</v>
      </c>
      <c r="K11" s="4">
        <v>0.1</v>
      </c>
      <c r="L11" s="13">
        <v>0.61928934010152281</v>
      </c>
      <c r="M11" s="4">
        <v>4</v>
      </c>
      <c r="N11" s="4">
        <f>K11*M11</f>
        <v>0.4</v>
      </c>
      <c r="P11" s="1" t="s">
        <v>27</v>
      </c>
      <c r="Q11" s="4">
        <v>0.1</v>
      </c>
      <c r="R11" s="13">
        <v>0.8741721854304636</v>
      </c>
      <c r="S11" s="4">
        <v>3</v>
      </c>
      <c r="T11" s="4">
        <f>Q11*S11</f>
        <v>0.30000000000000004</v>
      </c>
    </row>
    <row r="12" spans="1:20" ht="60" x14ac:dyDescent="0.2">
      <c r="A12" s="1" t="s">
        <v>45</v>
      </c>
      <c r="B12" s="1" t="s">
        <v>46</v>
      </c>
      <c r="C12" s="7" t="s">
        <v>47</v>
      </c>
      <c r="D12" s="1" t="s">
        <v>48</v>
      </c>
      <c r="E12" s="1" t="s">
        <v>49</v>
      </c>
      <c r="F12" s="1" t="s">
        <v>44</v>
      </c>
      <c r="G12" s="6">
        <f>163/525</f>
        <v>0.31047619047619046</v>
      </c>
      <c r="H12" s="6">
        <f>154/555</f>
        <v>0.27747747747747747</v>
      </c>
      <c r="J12" s="1" t="s">
        <v>31</v>
      </c>
      <c r="K12" s="4">
        <v>2.5000000000000001E-2</v>
      </c>
      <c r="L12" s="13">
        <v>0.35761589403973509</v>
      </c>
      <c r="M12" s="4">
        <v>3</v>
      </c>
      <c r="N12" s="4">
        <f>K12*M12</f>
        <v>7.5000000000000011E-2</v>
      </c>
      <c r="P12" s="1" t="s">
        <v>31</v>
      </c>
      <c r="Q12" s="4">
        <v>2.5000000000000001E-2</v>
      </c>
      <c r="R12" s="13">
        <v>0.22842639593908629</v>
      </c>
      <c r="S12" s="4">
        <v>2</v>
      </c>
      <c r="T12" s="4">
        <f t="shared" ref="T12:T13" si="1">Q12*S12</f>
        <v>0.05</v>
      </c>
    </row>
    <row r="13" spans="1:20" ht="30" x14ac:dyDescent="0.2">
      <c r="A13" s="1" t="s">
        <v>50</v>
      </c>
      <c r="B13" s="1" t="s">
        <v>51</v>
      </c>
      <c r="C13" s="1" t="s">
        <v>22</v>
      </c>
      <c r="D13" s="7" t="s">
        <v>52</v>
      </c>
      <c r="E13" s="1" t="s">
        <v>53</v>
      </c>
      <c r="F13" s="1" t="s">
        <v>44</v>
      </c>
      <c r="G13" s="6">
        <f>163/535</f>
        <v>0.30467289719626167</v>
      </c>
      <c r="H13" s="6">
        <f>114/425</f>
        <v>0.26823529411764707</v>
      </c>
      <c r="J13" s="1" t="s">
        <v>35</v>
      </c>
      <c r="K13" s="4">
        <v>2.5000000000000001E-2</v>
      </c>
      <c r="L13" s="13">
        <v>0.6711111111111111</v>
      </c>
      <c r="M13" s="4">
        <v>3</v>
      </c>
      <c r="N13" s="4">
        <f>K13*M13</f>
        <v>7.5000000000000011E-2</v>
      </c>
      <c r="P13" s="1" t="s">
        <v>35</v>
      </c>
      <c r="Q13" s="4">
        <v>2.5000000000000001E-2</v>
      </c>
      <c r="R13" s="13">
        <v>0.53802816901408446</v>
      </c>
      <c r="S13" s="4">
        <v>2</v>
      </c>
      <c r="T13" s="4">
        <f t="shared" si="1"/>
        <v>0.05</v>
      </c>
    </row>
    <row r="14" spans="1:20" ht="45" x14ac:dyDescent="0.2">
      <c r="A14" s="3" t="s">
        <v>54</v>
      </c>
      <c r="B14" s="3"/>
      <c r="C14" s="4"/>
      <c r="D14" s="4"/>
      <c r="E14" s="4"/>
      <c r="F14" s="4"/>
      <c r="G14" s="4"/>
      <c r="H14" s="4"/>
      <c r="J14" s="3" t="s">
        <v>78</v>
      </c>
      <c r="K14" s="3">
        <v>0.15</v>
      </c>
      <c r="L14" s="4"/>
      <c r="M14" s="4"/>
      <c r="N14" s="4"/>
      <c r="P14" s="3" t="s">
        <v>78</v>
      </c>
      <c r="Q14" s="3">
        <v>0.15</v>
      </c>
      <c r="R14" s="4"/>
      <c r="S14" s="4"/>
      <c r="T14" s="4"/>
    </row>
    <row r="15" spans="1:20" ht="45" x14ac:dyDescent="0.2">
      <c r="A15" s="1" t="s">
        <v>55</v>
      </c>
      <c r="B15" s="1" t="s">
        <v>56</v>
      </c>
      <c r="C15" s="1" t="s">
        <v>57</v>
      </c>
      <c r="D15" s="1" t="s">
        <v>58</v>
      </c>
      <c r="E15" s="7" t="s">
        <v>59</v>
      </c>
      <c r="F15" s="1" t="s">
        <v>60</v>
      </c>
      <c r="G15" s="6">
        <f>855/167</f>
        <v>5.1197604790419158</v>
      </c>
      <c r="H15" s="6">
        <f>755/177</f>
        <v>4.2655367231638417</v>
      </c>
      <c r="J15" s="9" t="s">
        <v>39</v>
      </c>
      <c r="K15" s="9"/>
      <c r="L15" s="9"/>
      <c r="M15" s="9"/>
      <c r="N15" s="9"/>
      <c r="P15" s="10" t="s">
        <v>39</v>
      </c>
      <c r="Q15" s="11"/>
      <c r="R15" s="11"/>
      <c r="S15" s="11"/>
      <c r="T15" s="12"/>
    </row>
    <row r="16" spans="1:20" ht="60" x14ac:dyDescent="0.2">
      <c r="A16" s="1" t="s">
        <v>61</v>
      </c>
      <c r="B16" s="1" t="s">
        <v>62</v>
      </c>
      <c r="C16" s="7" t="s">
        <v>63</v>
      </c>
      <c r="D16" s="1" t="s">
        <v>64</v>
      </c>
      <c r="E16" s="1" t="s">
        <v>65</v>
      </c>
      <c r="F16" s="1" t="s">
        <v>66</v>
      </c>
      <c r="G16" s="6">
        <f>855/267</f>
        <v>3.202247191011236</v>
      </c>
      <c r="H16" s="6">
        <f t="shared" ref="H16:H17" si="2">755/177</f>
        <v>4.2655367231638417</v>
      </c>
      <c r="J16" s="1" t="s">
        <v>79</v>
      </c>
      <c r="K16" s="4">
        <f>0.1</f>
        <v>0.1</v>
      </c>
      <c r="L16" s="13">
        <v>0.29142857142857143</v>
      </c>
      <c r="M16" s="4">
        <v>4</v>
      </c>
      <c r="N16" s="4">
        <f>K16*M16</f>
        <v>0.4</v>
      </c>
      <c r="P16" s="1" t="s">
        <v>79</v>
      </c>
      <c r="Q16" s="4">
        <f>0.1</f>
        <v>0.1</v>
      </c>
      <c r="R16" s="13">
        <v>0.25945945945945947</v>
      </c>
      <c r="S16" s="4">
        <v>4</v>
      </c>
      <c r="T16" s="4">
        <f>Q16*S16</f>
        <v>0.4</v>
      </c>
    </row>
    <row r="17" spans="1:20" ht="60" x14ac:dyDescent="0.2">
      <c r="A17" s="1" t="s">
        <v>67</v>
      </c>
      <c r="B17" s="1" t="s">
        <v>68</v>
      </c>
      <c r="C17" s="1" t="s">
        <v>69</v>
      </c>
      <c r="D17" s="7" t="s">
        <v>70</v>
      </c>
      <c r="E17" s="1" t="s">
        <v>71</v>
      </c>
      <c r="F17" s="1" t="s">
        <v>72</v>
      </c>
      <c r="G17" s="6">
        <f t="shared" ref="G17" si="3">855/167</f>
        <v>5.1197604790419158</v>
      </c>
      <c r="H17" s="6">
        <f t="shared" si="2"/>
        <v>4.2655367231638417</v>
      </c>
      <c r="J17" s="1" t="s">
        <v>45</v>
      </c>
      <c r="K17" s="4">
        <v>0.1</v>
      </c>
      <c r="L17" s="13">
        <v>0.31047619047619046</v>
      </c>
      <c r="M17" s="4">
        <v>4</v>
      </c>
      <c r="N17" s="4">
        <f>K17*M17</f>
        <v>0.4</v>
      </c>
      <c r="P17" s="1" t="s">
        <v>45</v>
      </c>
      <c r="Q17" s="4">
        <v>0.1</v>
      </c>
      <c r="R17" s="13">
        <v>0.27747747747747747</v>
      </c>
      <c r="S17" s="4">
        <v>4</v>
      </c>
      <c r="T17" s="4">
        <f t="shared" ref="T17:T18" si="4">Q17*S17</f>
        <v>0.4</v>
      </c>
    </row>
    <row r="18" spans="1:20" ht="30" x14ac:dyDescent="0.2">
      <c r="J18" s="1" t="s">
        <v>50</v>
      </c>
      <c r="K18" s="4">
        <v>0.2</v>
      </c>
      <c r="L18" s="13">
        <v>0.30467289719626167</v>
      </c>
      <c r="M18" s="4">
        <v>4</v>
      </c>
      <c r="N18" s="4">
        <f>K18*M18</f>
        <v>0.8</v>
      </c>
      <c r="P18" s="1" t="s">
        <v>50</v>
      </c>
      <c r="Q18" s="4">
        <v>0.2</v>
      </c>
      <c r="R18" s="13">
        <v>0.26823529411764707</v>
      </c>
      <c r="S18" s="4">
        <v>3</v>
      </c>
      <c r="T18" s="4">
        <f t="shared" si="4"/>
        <v>0.60000000000000009</v>
      </c>
    </row>
    <row r="19" spans="1:20" ht="16" customHeight="1" x14ac:dyDescent="0.2">
      <c r="J19" s="3" t="s">
        <v>78</v>
      </c>
      <c r="K19" s="3">
        <v>0.4</v>
      </c>
      <c r="L19" s="4"/>
      <c r="M19" s="4"/>
      <c r="N19" s="4"/>
      <c r="P19" s="3" t="s">
        <v>78</v>
      </c>
      <c r="Q19" s="3">
        <v>0.4</v>
      </c>
      <c r="R19" s="4"/>
      <c r="S19" s="4"/>
      <c r="T19" s="4"/>
    </row>
    <row r="20" spans="1:20" ht="45" customHeight="1" x14ac:dyDescent="0.2">
      <c r="J20" s="9" t="s">
        <v>54</v>
      </c>
      <c r="K20" s="9"/>
      <c r="L20" s="9"/>
      <c r="M20" s="9"/>
      <c r="N20" s="9"/>
      <c r="P20" s="10" t="s">
        <v>54</v>
      </c>
      <c r="Q20" s="11"/>
      <c r="R20" s="11"/>
      <c r="S20" s="11"/>
      <c r="T20" s="12"/>
    </row>
    <row r="21" spans="1:20" ht="45" x14ac:dyDescent="0.2">
      <c r="J21" s="1" t="s">
        <v>55</v>
      </c>
      <c r="K21" s="4">
        <v>5.0000000000000001E-3</v>
      </c>
      <c r="L21" s="13">
        <v>5.1197604790419158</v>
      </c>
      <c r="M21" s="4">
        <v>3</v>
      </c>
      <c r="N21" s="4">
        <f>K21*M21</f>
        <v>1.4999999999999999E-2</v>
      </c>
      <c r="P21" s="1" t="s">
        <v>55</v>
      </c>
      <c r="Q21" s="4">
        <v>5.0000000000000001E-3</v>
      </c>
      <c r="R21" s="13">
        <v>4.2655367231638417</v>
      </c>
      <c r="S21" s="4">
        <v>2</v>
      </c>
      <c r="T21" s="4">
        <f>Q21*S21</f>
        <v>0.01</v>
      </c>
    </row>
    <row r="22" spans="1:20" ht="30" x14ac:dyDescent="0.2">
      <c r="J22" s="1" t="s">
        <v>61</v>
      </c>
      <c r="K22" s="4">
        <v>5.0000000000000001E-3</v>
      </c>
      <c r="L22" s="13">
        <v>3.202247191011236</v>
      </c>
      <c r="M22" s="4">
        <v>3</v>
      </c>
      <c r="N22" s="4">
        <f>K22*M22</f>
        <v>1.4999999999999999E-2</v>
      </c>
      <c r="P22" s="1" t="s">
        <v>61</v>
      </c>
      <c r="Q22" s="4">
        <v>5.0000000000000001E-3</v>
      </c>
      <c r="R22" s="13">
        <v>4.2655367231638417</v>
      </c>
      <c r="S22" s="4">
        <v>4</v>
      </c>
      <c r="T22" s="4">
        <f t="shared" ref="T22:T23" si="5">Q22*S22</f>
        <v>0.02</v>
      </c>
    </row>
    <row r="23" spans="1:20" ht="30" x14ac:dyDescent="0.2">
      <c r="J23" s="1" t="s">
        <v>67</v>
      </c>
      <c r="K23" s="4">
        <v>5.0000000000000001E-3</v>
      </c>
      <c r="L23" s="13">
        <v>5.1197604790419158</v>
      </c>
      <c r="M23" s="4">
        <v>3</v>
      </c>
      <c r="N23" s="4">
        <f>K23*M23</f>
        <v>1.4999999999999999E-2</v>
      </c>
      <c r="P23" s="1" t="s">
        <v>67</v>
      </c>
      <c r="Q23" s="4">
        <v>5.0000000000000001E-3</v>
      </c>
      <c r="R23" s="13">
        <v>4.2655367231638417</v>
      </c>
      <c r="S23" s="4">
        <v>3</v>
      </c>
      <c r="T23" s="4">
        <f t="shared" si="5"/>
        <v>1.4999999999999999E-2</v>
      </c>
    </row>
    <row r="24" spans="1:20" ht="30" x14ac:dyDescent="0.2">
      <c r="J24" s="3" t="s">
        <v>78</v>
      </c>
      <c r="K24" s="3">
        <v>0.15</v>
      </c>
      <c r="L24" s="4"/>
      <c r="M24" s="4"/>
      <c r="N24" s="4"/>
      <c r="P24" s="3" t="s">
        <v>78</v>
      </c>
      <c r="Q24" s="3">
        <v>0.15</v>
      </c>
      <c r="R24" s="4"/>
      <c r="S24" s="4"/>
      <c r="T24" s="4"/>
    </row>
    <row r="25" spans="1:20" ht="30" x14ac:dyDescent="0.2">
      <c r="J25" s="1" t="s">
        <v>80</v>
      </c>
      <c r="K25" s="3">
        <v>1</v>
      </c>
      <c r="L25" s="4"/>
      <c r="M25" s="4"/>
      <c r="N25" s="4">
        <f>SUM(N6:N23)</f>
        <v>2.9950000000000006</v>
      </c>
      <c r="P25" s="1" t="s">
        <v>80</v>
      </c>
      <c r="Q25" s="3">
        <v>1</v>
      </c>
      <c r="R25" s="4"/>
      <c r="S25" s="4"/>
      <c r="T25" s="4">
        <f>SUM(T6:T23)</f>
        <v>2.645</v>
      </c>
    </row>
  </sheetData>
  <mergeCells count="13">
    <mergeCell ref="P20:T20"/>
    <mergeCell ref="P2:T2"/>
    <mergeCell ref="Q3:T3"/>
    <mergeCell ref="J5:N5"/>
    <mergeCell ref="J10:N10"/>
    <mergeCell ref="J15:N15"/>
    <mergeCell ref="J20:N20"/>
    <mergeCell ref="J2:N2"/>
    <mergeCell ref="P5:T5"/>
    <mergeCell ref="P10:T10"/>
    <mergeCell ref="P15:T15"/>
    <mergeCell ref="C1:F1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11BE-A545-CA4C-8C12-AFD2FD52A727}">
  <dimension ref="A1:H21"/>
  <sheetViews>
    <sheetView workbookViewId="0">
      <selection activeCell="K17" sqref="K17"/>
    </sheetView>
  </sheetViews>
  <sheetFormatPr baseColWidth="10" defaultRowHeight="16" x14ac:dyDescent="0.2"/>
  <sheetData>
    <row r="1" spans="1:8" ht="17" thickBot="1" x14ac:dyDescent="0.25">
      <c r="A1" s="14" t="s">
        <v>81</v>
      </c>
      <c r="B1" s="14" t="s">
        <v>82</v>
      </c>
      <c r="C1" s="14" t="s">
        <v>83</v>
      </c>
    </row>
    <row r="2" spans="1:8" ht="18" thickTop="1" thickBot="1" x14ac:dyDescent="0.25">
      <c r="A2" s="15" t="s">
        <v>84</v>
      </c>
      <c r="B2" s="15"/>
      <c r="C2" s="15"/>
    </row>
    <row r="3" spans="1:8" ht="18" thickTop="1" thickBot="1" x14ac:dyDescent="0.25">
      <c r="A3" s="16" t="s">
        <v>85</v>
      </c>
      <c r="B3" s="16" t="s">
        <v>86</v>
      </c>
      <c r="C3" s="16" t="s">
        <v>87</v>
      </c>
    </row>
    <row r="4" spans="1:8" ht="18" thickTop="1" thickBot="1" x14ac:dyDescent="0.25">
      <c r="A4" s="15" t="s">
        <v>88</v>
      </c>
      <c r="B4" s="15"/>
      <c r="C4" s="15"/>
    </row>
    <row r="5" spans="1:8" ht="17" thickTop="1" x14ac:dyDescent="0.2"/>
    <row r="6" spans="1:8" x14ac:dyDescent="0.2">
      <c r="F6" s="17" t="s">
        <v>89</v>
      </c>
      <c r="G6" s="17">
        <v>2021</v>
      </c>
      <c r="H6" s="17">
        <v>2022</v>
      </c>
    </row>
    <row r="7" spans="1:8" x14ac:dyDescent="0.2">
      <c r="F7" s="18" t="s">
        <v>90</v>
      </c>
      <c r="G7" s="18"/>
      <c r="H7" s="18"/>
    </row>
    <row r="8" spans="1:8" x14ac:dyDescent="0.2">
      <c r="F8" s="17" t="s">
        <v>91</v>
      </c>
      <c r="G8" s="18" t="s">
        <v>95</v>
      </c>
      <c r="H8" s="18" t="s">
        <v>96</v>
      </c>
    </row>
    <row r="9" spans="1:8" x14ac:dyDescent="0.2">
      <c r="F9" s="17" t="s">
        <v>92</v>
      </c>
      <c r="G9" s="18"/>
      <c r="H9" s="18"/>
    </row>
    <row r="10" spans="1:8" x14ac:dyDescent="0.2">
      <c r="F10" s="17" t="s">
        <v>93</v>
      </c>
      <c r="G10" s="18"/>
      <c r="H10" s="18"/>
    </row>
    <row r="11" spans="1:8" ht="32" customHeight="1" x14ac:dyDescent="0.2">
      <c r="F11" s="17" t="s">
        <v>94</v>
      </c>
      <c r="G11" s="18"/>
      <c r="H11" s="18"/>
    </row>
    <row r="12" spans="1:8" x14ac:dyDescent="0.2">
      <c r="F12" s="18" t="s">
        <v>97</v>
      </c>
      <c r="G12" s="18"/>
      <c r="H12" s="18"/>
    </row>
    <row r="13" spans="1:8" ht="32" customHeight="1" x14ac:dyDescent="0.2">
      <c r="F13" s="17">
        <v>389</v>
      </c>
      <c r="G13" s="17">
        <v>430</v>
      </c>
      <c r="H13" s="17">
        <v>240</v>
      </c>
    </row>
    <row r="14" spans="1:8" x14ac:dyDescent="0.2">
      <c r="F14" s="18" t="s">
        <v>98</v>
      </c>
      <c r="G14" s="18"/>
      <c r="H14" s="18"/>
    </row>
    <row r="15" spans="1:8" x14ac:dyDescent="0.2">
      <c r="F15" s="17" t="s">
        <v>99</v>
      </c>
      <c r="G15" s="17" t="s">
        <v>100</v>
      </c>
      <c r="H15" s="17" t="s">
        <v>101</v>
      </c>
    </row>
    <row r="16" spans="1:8" x14ac:dyDescent="0.2">
      <c r="F16" s="18" t="s">
        <v>102</v>
      </c>
      <c r="G16" s="18"/>
      <c r="H16" s="18"/>
    </row>
    <row r="17" spans="6:8" x14ac:dyDescent="0.2">
      <c r="F17" s="17">
        <v>11</v>
      </c>
      <c r="G17" s="17">
        <v>11</v>
      </c>
      <c r="H17" s="17">
        <v>11</v>
      </c>
    </row>
    <row r="18" spans="6:8" x14ac:dyDescent="0.2">
      <c r="F18" s="18" t="s">
        <v>103</v>
      </c>
      <c r="G18" s="18"/>
      <c r="H18" s="18"/>
    </row>
    <row r="19" spans="6:8" x14ac:dyDescent="0.2">
      <c r="F19" s="17">
        <v>265</v>
      </c>
      <c r="G19" s="17">
        <v>173</v>
      </c>
      <c r="H19" s="17">
        <v>143</v>
      </c>
    </row>
    <row r="20" spans="6:8" x14ac:dyDescent="0.2">
      <c r="F20" s="18" t="s">
        <v>104</v>
      </c>
      <c r="G20" s="18"/>
      <c r="H20" s="18"/>
    </row>
    <row r="21" spans="6:8" x14ac:dyDescent="0.2">
      <c r="F21" s="17" t="s">
        <v>105</v>
      </c>
      <c r="G21" s="17">
        <v>20</v>
      </c>
      <c r="H21" s="17">
        <v>20</v>
      </c>
    </row>
  </sheetData>
  <mergeCells count="10">
    <mergeCell ref="F14:H14"/>
    <mergeCell ref="F16:H16"/>
    <mergeCell ref="F18:H18"/>
    <mergeCell ref="F20:H20"/>
    <mergeCell ref="A2:C2"/>
    <mergeCell ref="A4:C4"/>
    <mergeCell ref="F7:H7"/>
    <mergeCell ref="G8:G11"/>
    <mergeCell ref="H8:H11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Kudryashov</dc:creator>
  <cp:lastModifiedBy>Alexander Kudryashov</cp:lastModifiedBy>
  <dcterms:created xsi:type="dcterms:W3CDTF">2024-05-02T07:22:28Z</dcterms:created>
  <dcterms:modified xsi:type="dcterms:W3CDTF">2024-05-02T13:37:34Z</dcterms:modified>
</cp:coreProperties>
</file>