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kudrasov/Desktop/Учеба зайкина/course progect 2024/"/>
    </mc:Choice>
  </mc:AlternateContent>
  <xr:revisionPtr revIDLastSave="0" documentId="13_ncr:1_{5F3D3707-EC56-C44D-AFE3-51E2146F6499}" xr6:coauthVersionLast="47" xr6:coauthVersionMax="47" xr10:uidLastSave="{00000000-0000-0000-0000-000000000000}"/>
  <bookViews>
    <workbookView xWindow="720" yWindow="1000" windowWidth="24540" windowHeight="13540" xr2:uid="{D29424A6-7CFD-1D41-924C-EDF5B6AEC071}"/>
  </bookViews>
  <sheets>
    <sheet name="cash flows" sheetId="2" r:id="rId1"/>
    <sheet name="Лист1" sheetId="4" r:id="rId2"/>
    <sheet name="Лист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6" i="4" l="1"/>
  <c r="R36" i="4"/>
  <c r="N36" i="4"/>
  <c r="J36" i="4"/>
  <c r="F36" i="4"/>
  <c r="B36" i="4"/>
  <c r="W6" i="4"/>
  <c r="W7" i="4" s="1"/>
  <c r="V6" i="4"/>
  <c r="V7" i="4" s="1"/>
  <c r="S6" i="4"/>
  <c r="R6" i="4"/>
  <c r="O6" i="4"/>
  <c r="N6" i="4"/>
  <c r="N7" i="4" s="1"/>
  <c r="K6" i="4"/>
  <c r="J6" i="4"/>
  <c r="G6" i="4"/>
  <c r="C6" i="4"/>
  <c r="X5" i="4"/>
  <c r="T5" i="4"/>
  <c r="P5" i="4"/>
  <c r="L5" i="4"/>
  <c r="J5" i="4"/>
  <c r="F5" i="4"/>
  <c r="B5" i="4"/>
  <c r="Y4" i="4"/>
  <c r="X4" i="4"/>
  <c r="U4" i="4"/>
  <c r="T4" i="4"/>
  <c r="U5" i="4" s="1"/>
  <c r="P4" i="4"/>
  <c r="L4" i="4"/>
  <c r="M5" i="4" s="1"/>
  <c r="I4" i="4"/>
  <c r="H4" i="4"/>
  <c r="E4" i="4"/>
  <c r="D4" i="4"/>
  <c r="T16" i="3"/>
  <c r="V16" i="3"/>
  <c r="O16" i="3"/>
  <c r="P16" i="3"/>
  <c r="N16" i="3"/>
  <c r="V25" i="3"/>
  <c r="U25" i="3"/>
  <c r="V24" i="3"/>
  <c r="U24" i="3"/>
  <c r="T15" i="3"/>
  <c r="U14" i="3"/>
  <c r="U16" i="3" s="1"/>
  <c r="T13" i="3"/>
  <c r="T12" i="3"/>
  <c r="H15" i="3"/>
  <c r="I17" i="3"/>
  <c r="I16" i="3"/>
  <c r="I14" i="3"/>
  <c r="H13" i="3"/>
  <c r="H12" i="3"/>
  <c r="D6" i="3"/>
  <c r="AF22" i="2"/>
  <c r="AF18" i="2"/>
  <c r="AF10" i="2"/>
  <c r="AF14" i="2"/>
  <c r="AF6" i="2"/>
  <c r="AF2" i="2"/>
  <c r="E10" i="2"/>
  <c r="E6" i="2"/>
  <c r="E8" i="2" s="1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AJ22" i="2"/>
  <c r="AJ18" i="2"/>
  <c r="AJ14" i="2"/>
  <c r="AJ10" i="2"/>
  <c r="AJ6" i="2"/>
  <c r="AJ2" i="2"/>
  <c r="B29" i="2"/>
  <c r="B30" i="2" s="1"/>
  <c r="D7" i="3"/>
  <c r="K7" i="3" s="1"/>
  <c r="D5" i="3"/>
  <c r="K4" i="3" s="1"/>
  <c r="D4" i="3"/>
  <c r="K5" i="3" s="1"/>
  <c r="D3" i="3"/>
  <c r="K3" i="3" s="1"/>
  <c r="D2" i="3"/>
  <c r="K2" i="3" s="1"/>
  <c r="V28" i="3"/>
  <c r="T28" i="3"/>
  <c r="U28" i="3" s="1"/>
  <c r="S28" i="3"/>
  <c r="V27" i="3"/>
  <c r="T27" i="3"/>
  <c r="U27" i="3" s="1"/>
  <c r="S27" i="3"/>
  <c r="E24" i="2"/>
  <c r="D24" i="2"/>
  <c r="F23" i="2"/>
  <c r="G23" i="2" s="1"/>
  <c r="H23" i="2" s="1"/>
  <c r="I23" i="2" s="1"/>
  <c r="F22" i="2"/>
  <c r="E20" i="2"/>
  <c r="D20" i="2"/>
  <c r="D21" i="2" s="1"/>
  <c r="F19" i="2"/>
  <c r="G19" i="2" s="1"/>
  <c r="H19" i="2" s="1"/>
  <c r="I19" i="2" s="1"/>
  <c r="F18" i="2"/>
  <c r="E16" i="2"/>
  <c r="D16" i="2"/>
  <c r="F15" i="2"/>
  <c r="G15" i="2" s="1"/>
  <c r="H15" i="2" s="1"/>
  <c r="I15" i="2" s="1"/>
  <c r="J15" i="2" s="1"/>
  <c r="K15" i="2" s="1"/>
  <c r="L15" i="2" s="1"/>
  <c r="M15" i="2" s="1"/>
  <c r="N15" i="2" s="1"/>
  <c r="F14" i="2"/>
  <c r="E12" i="2"/>
  <c r="D12" i="2"/>
  <c r="F11" i="2"/>
  <c r="G11" i="2" s="1"/>
  <c r="H11" i="2" s="1"/>
  <c r="I11" i="2" s="1"/>
  <c r="F10" i="2"/>
  <c r="G10" i="2" s="1"/>
  <c r="D8" i="2"/>
  <c r="F7" i="2"/>
  <c r="G7" i="2" s="1"/>
  <c r="H7" i="2" s="1"/>
  <c r="I7" i="2" s="1"/>
  <c r="J7" i="2" s="1"/>
  <c r="K7" i="2" s="1"/>
  <c r="L7" i="2" s="1"/>
  <c r="M7" i="2" s="1"/>
  <c r="N7" i="2" s="1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B29" i="4" l="1"/>
  <c r="J29" i="4"/>
  <c r="L6" i="4"/>
  <c r="K7" i="4"/>
  <c r="K8" i="4" s="1"/>
  <c r="K9" i="4" s="1"/>
  <c r="T6" i="4"/>
  <c r="D5" i="4"/>
  <c r="B6" i="4"/>
  <c r="V8" i="4"/>
  <c r="X7" i="4"/>
  <c r="W8" i="4"/>
  <c r="W9" i="4" s="1"/>
  <c r="C7" i="4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N8" i="4"/>
  <c r="S7" i="4"/>
  <c r="S8" i="4" s="1"/>
  <c r="S9" i="4" s="1"/>
  <c r="M4" i="4"/>
  <c r="M6" i="4"/>
  <c r="N29" i="4"/>
  <c r="J7" i="4"/>
  <c r="R7" i="4"/>
  <c r="Q5" i="4"/>
  <c r="H5" i="4"/>
  <c r="G7" i="4"/>
  <c r="G8" i="4" s="1"/>
  <c r="G9" i="4" s="1"/>
  <c r="G10" i="4" s="1"/>
  <c r="G11" i="4" s="1"/>
  <c r="G12" i="4" s="1"/>
  <c r="G13" i="4" s="1"/>
  <c r="G14" i="4" s="1"/>
  <c r="O7" i="4"/>
  <c r="O8" i="4" s="1"/>
  <c r="O9" i="4" s="1"/>
  <c r="O10" i="4" s="1"/>
  <c r="O11" i="4" s="1"/>
  <c r="O12" i="4" s="1"/>
  <c r="O13" i="4" s="1"/>
  <c r="O14" i="4" s="1"/>
  <c r="Q4" i="4"/>
  <c r="P6" i="4"/>
  <c r="X6" i="4"/>
  <c r="F6" i="4"/>
  <c r="Y5" i="4"/>
  <c r="Q6" i="4"/>
  <c r="Y7" i="4"/>
  <c r="AG2" i="2"/>
  <c r="AG14" i="2"/>
  <c r="AG10" i="2"/>
  <c r="AH18" i="2"/>
  <c r="AI18" i="2" s="1"/>
  <c r="AG18" i="2"/>
  <c r="AG22" i="2"/>
  <c r="AH22" i="2"/>
  <c r="AI22" i="2" s="1"/>
  <c r="AH2" i="2"/>
  <c r="AH6" i="2"/>
  <c r="AG6" i="2"/>
  <c r="AH10" i="2"/>
  <c r="Y2" i="2"/>
  <c r="Z2" i="2" s="1"/>
  <c r="Z4" i="2" s="1"/>
  <c r="AM10" i="2"/>
  <c r="AH14" i="2"/>
  <c r="AI14" i="2" s="1"/>
  <c r="E25" i="2"/>
  <c r="V4" i="2"/>
  <c r="W4" i="2"/>
  <c r="X3" i="2"/>
  <c r="Y3" i="2" s="1"/>
  <c r="Z3" i="2" s="1"/>
  <c r="AC22" i="2"/>
  <c r="C7" i="3" s="1"/>
  <c r="J7" i="3" s="1"/>
  <c r="AC10" i="2"/>
  <c r="C4" i="3" s="1"/>
  <c r="J5" i="3" s="1"/>
  <c r="F6" i="2"/>
  <c r="G6" i="2" s="1"/>
  <c r="AI6" i="2"/>
  <c r="AC18" i="2"/>
  <c r="C6" i="3" s="1"/>
  <c r="J6" i="3" s="1"/>
  <c r="E21" i="2"/>
  <c r="AC14" i="2"/>
  <c r="C5" i="3" s="1"/>
  <c r="J4" i="3" s="1"/>
  <c r="I18" i="3"/>
  <c r="AC6" i="2"/>
  <c r="C3" i="3" s="1"/>
  <c r="J3" i="3" s="1"/>
  <c r="AC2" i="2"/>
  <c r="C2" i="3" s="1"/>
  <c r="J2" i="3" s="1"/>
  <c r="F12" i="2"/>
  <c r="F13" i="2" s="1"/>
  <c r="E9" i="2"/>
  <c r="F20" i="2"/>
  <c r="F21" i="2" s="1"/>
  <c r="D25" i="2"/>
  <c r="AM6" i="2"/>
  <c r="E17" i="2"/>
  <c r="D9" i="2"/>
  <c r="E13" i="2"/>
  <c r="D13" i="2"/>
  <c r="D17" i="2"/>
  <c r="AM18" i="2"/>
  <c r="G22" i="2"/>
  <c r="F24" i="2"/>
  <c r="F25" i="2" s="1"/>
  <c r="G18" i="2"/>
  <c r="F16" i="2"/>
  <c r="G14" i="2"/>
  <c r="H10" i="2"/>
  <c r="G12" i="2"/>
  <c r="AI10" i="2"/>
  <c r="F7" i="4" l="1"/>
  <c r="H6" i="4"/>
  <c r="L7" i="4"/>
  <c r="J8" i="4"/>
  <c r="V29" i="4"/>
  <c r="J33" i="4"/>
  <c r="V33" i="4"/>
  <c r="R33" i="4"/>
  <c r="N33" i="4"/>
  <c r="F33" i="4"/>
  <c r="B33" i="4"/>
  <c r="P7" i="4"/>
  <c r="N9" i="4"/>
  <c r="P8" i="4"/>
  <c r="Q8" i="4" s="1"/>
  <c r="E5" i="4"/>
  <c r="I5" i="4"/>
  <c r="V28" i="4" a="1"/>
  <c r="V28" i="4" s="1"/>
  <c r="V9" i="4"/>
  <c r="X9" i="4" s="1"/>
  <c r="X8" i="4"/>
  <c r="Y8" i="4" s="1"/>
  <c r="Y9" i="4"/>
  <c r="F29" i="4"/>
  <c r="R29" i="4"/>
  <c r="Y6" i="4"/>
  <c r="U6" i="4"/>
  <c r="V30" i="4" a="1"/>
  <c r="V30" i="4" s="1"/>
  <c r="T7" i="4"/>
  <c r="R8" i="4"/>
  <c r="D6" i="4"/>
  <c r="B7" i="4"/>
  <c r="AM22" i="2"/>
  <c r="Y4" i="2"/>
  <c r="H18" i="3"/>
  <c r="F8" i="2"/>
  <c r="F9" i="2" s="1"/>
  <c r="AM14" i="2"/>
  <c r="J8" i="3"/>
  <c r="D8" i="3"/>
  <c r="K6" i="3"/>
  <c r="K8" i="3" s="1"/>
  <c r="X4" i="2"/>
  <c r="C8" i="3"/>
  <c r="G13" i="2"/>
  <c r="F17" i="2"/>
  <c r="G24" i="2"/>
  <c r="H22" i="2"/>
  <c r="G20" i="2"/>
  <c r="H18" i="2"/>
  <c r="H14" i="2"/>
  <c r="G16" i="2"/>
  <c r="G17" i="2" s="1"/>
  <c r="H12" i="2"/>
  <c r="I10" i="2"/>
  <c r="H6" i="2"/>
  <c r="G8" i="2"/>
  <c r="AA2" i="2" a="1"/>
  <c r="AA2" i="2" s="1"/>
  <c r="E2" i="3" s="1"/>
  <c r="L2" i="3" s="1"/>
  <c r="V31" i="4" l="1" a="1"/>
  <c r="V31" i="4" s="1"/>
  <c r="I7" i="4"/>
  <c r="F30" i="4" s="1" a="1"/>
  <c r="F30" i="4" s="1"/>
  <c r="U7" i="4"/>
  <c r="R30" i="4" s="1" a="1"/>
  <c r="R30" i="4" s="1"/>
  <c r="Q7" i="4"/>
  <c r="N30" i="4" s="1" a="1"/>
  <c r="N30" i="4" s="1"/>
  <c r="P9" i="4"/>
  <c r="N10" i="4"/>
  <c r="H7" i="4"/>
  <c r="F8" i="4"/>
  <c r="I6" i="4"/>
  <c r="V27" i="4" a="1"/>
  <c r="V27" i="4" s="1"/>
  <c r="L8" i="4"/>
  <c r="J9" i="4"/>
  <c r="T8" i="4"/>
  <c r="U8" i="4" s="1"/>
  <c r="R9" i="4"/>
  <c r="T9" i="4" s="1"/>
  <c r="U9" i="4"/>
  <c r="E6" i="4"/>
  <c r="D7" i="4"/>
  <c r="B8" i="4"/>
  <c r="E7" i="4"/>
  <c r="B30" i="4" s="1" a="1"/>
  <c r="B30" i="4" s="1"/>
  <c r="M7" i="4"/>
  <c r="J30" i="4" s="1" a="1"/>
  <c r="J30" i="4" s="1"/>
  <c r="M8" i="4"/>
  <c r="AB2" i="2" a="1"/>
  <c r="AB2" i="2" s="1"/>
  <c r="F2" i="3" s="1"/>
  <c r="M2" i="3" s="1"/>
  <c r="G25" i="2"/>
  <c r="H13" i="2"/>
  <c r="G21" i="2"/>
  <c r="G9" i="2"/>
  <c r="H24" i="2"/>
  <c r="I22" i="2"/>
  <c r="H20" i="2"/>
  <c r="H21" i="2" s="1"/>
  <c r="I18" i="2"/>
  <c r="H16" i="2"/>
  <c r="I14" i="2"/>
  <c r="I12" i="2"/>
  <c r="I13" i="2" s="1"/>
  <c r="H8" i="2"/>
  <c r="H9" i="2" s="1"/>
  <c r="I6" i="2"/>
  <c r="Q9" i="4" l="1"/>
  <c r="R31" i="4" a="1"/>
  <c r="R31" i="4" s="1"/>
  <c r="D8" i="4"/>
  <c r="B9" i="4"/>
  <c r="L9" i="4"/>
  <c r="M9" i="4" s="1"/>
  <c r="J27" i="4" a="1"/>
  <c r="J27" i="4" s="1"/>
  <c r="J28" i="4" a="1"/>
  <c r="J28" i="4" s="1"/>
  <c r="N11" i="4"/>
  <c r="P10" i="4"/>
  <c r="R27" i="4" a="1"/>
  <c r="R27" i="4" s="1"/>
  <c r="F9" i="4"/>
  <c r="H8" i="4"/>
  <c r="E8" i="4"/>
  <c r="I8" i="4"/>
  <c r="R28" i="4" a="1"/>
  <c r="R28" i="4" s="1"/>
  <c r="H17" i="2"/>
  <c r="H25" i="2"/>
  <c r="I24" i="2"/>
  <c r="AE22" i="2" s="1" a="1"/>
  <c r="AE22" i="2" s="1"/>
  <c r="I20" i="2"/>
  <c r="AE18" i="2" s="1" a="1"/>
  <c r="AE18" i="2" s="1"/>
  <c r="I16" i="2"/>
  <c r="J14" i="2"/>
  <c r="I8" i="2"/>
  <c r="I9" i="2" s="1"/>
  <c r="J6" i="2"/>
  <c r="F10" i="4" l="1"/>
  <c r="H9" i="4"/>
  <c r="D9" i="4"/>
  <c r="B10" i="4"/>
  <c r="J31" i="4" a="1"/>
  <c r="J31" i="4" s="1"/>
  <c r="Q10" i="4"/>
  <c r="Q11" i="4"/>
  <c r="P11" i="4"/>
  <c r="N12" i="4"/>
  <c r="I9" i="4"/>
  <c r="I17" i="2"/>
  <c r="I21" i="2"/>
  <c r="I25" i="2"/>
  <c r="J16" i="2"/>
  <c r="K14" i="2"/>
  <c r="K6" i="2"/>
  <c r="J8" i="2"/>
  <c r="J9" i="2" s="1"/>
  <c r="H10" i="4" l="1"/>
  <c r="F11" i="4"/>
  <c r="B11" i="4"/>
  <c r="D10" i="4"/>
  <c r="E9" i="4"/>
  <c r="E10" i="4"/>
  <c r="N13" i="4"/>
  <c r="P12" i="4"/>
  <c r="Q12" i="4" s="1"/>
  <c r="J17" i="2"/>
  <c r="AD18" i="2" a="1"/>
  <c r="AD18" i="2" s="1"/>
  <c r="G6" i="3" s="1"/>
  <c r="K16" i="2"/>
  <c r="L14" i="2"/>
  <c r="L6" i="2"/>
  <c r="K8" i="2"/>
  <c r="F12" i="4" l="1"/>
  <c r="H11" i="4"/>
  <c r="I11" i="4" s="1"/>
  <c r="P13" i="4"/>
  <c r="Q13" i="4" s="1"/>
  <c r="N14" i="4"/>
  <c r="N27" i="4" a="1"/>
  <c r="N27" i="4" s="1"/>
  <c r="I10" i="4"/>
  <c r="D11" i="4"/>
  <c r="B12" i="4"/>
  <c r="K9" i="2"/>
  <c r="K17" i="2"/>
  <c r="AD22" i="2" a="1"/>
  <c r="AD22" i="2" s="1"/>
  <c r="G7" i="3" s="1"/>
  <c r="M14" i="2"/>
  <c r="L16" i="2"/>
  <c r="M6" i="2"/>
  <c r="L8" i="2"/>
  <c r="E11" i="4" l="1"/>
  <c r="P14" i="4"/>
  <c r="N28" i="4" a="1"/>
  <c r="N28" i="4" s="1"/>
  <c r="E12" i="4"/>
  <c r="H12" i="4"/>
  <c r="I12" i="4" s="1"/>
  <c r="F13" i="4"/>
  <c r="B13" i="4"/>
  <c r="D12" i="4"/>
  <c r="L9" i="2"/>
  <c r="L17" i="2"/>
  <c r="N14" i="2"/>
  <c r="M16" i="2"/>
  <c r="M17" i="2" s="1"/>
  <c r="M8" i="2"/>
  <c r="M9" i="2" s="1"/>
  <c r="N6" i="2"/>
  <c r="Q14" i="4" l="1"/>
  <c r="N31" i="4" a="1"/>
  <c r="N31" i="4" s="1"/>
  <c r="D13" i="4"/>
  <c r="E13" i="4" s="1"/>
  <c r="B14" i="4"/>
  <c r="F14" i="4"/>
  <c r="H13" i="4"/>
  <c r="I13" i="4" s="1"/>
  <c r="N16" i="2"/>
  <c r="N17" i="2" s="1"/>
  <c r="N8" i="2"/>
  <c r="H14" i="4" l="1"/>
  <c r="F27" i="4" a="1"/>
  <c r="F27" i="4" s="1"/>
  <c r="F28" i="4" a="1"/>
  <c r="F28" i="4" s="1"/>
  <c r="B15" i="4"/>
  <c r="D14" i="4"/>
  <c r="E14" i="4" s="1"/>
  <c r="N9" i="2"/>
  <c r="AE6" i="2" a="1"/>
  <c r="AE6" i="2" s="1"/>
  <c r="D15" i="4" l="1"/>
  <c r="E15" i="4" s="1"/>
  <c r="B16" i="4"/>
  <c r="I14" i="4"/>
  <c r="F31" i="4" a="1"/>
  <c r="F31" i="4" s="1"/>
  <c r="AE10" i="2" a="1"/>
  <c r="AE10" i="2" s="1"/>
  <c r="B17" i="4" l="1"/>
  <c r="D16" i="4"/>
  <c r="E16" i="4" s="1"/>
  <c r="AB6" i="2" a="1"/>
  <c r="AB6" i="2" s="1"/>
  <c r="F3" i="3" s="1"/>
  <c r="M3" i="3" s="1"/>
  <c r="AA6" i="2" a="1"/>
  <c r="AA6" i="2" s="1"/>
  <c r="E3" i="3" s="1"/>
  <c r="L3" i="3" s="1"/>
  <c r="AB22" i="2" a="1"/>
  <c r="AB22" i="2" s="1"/>
  <c r="F7" i="3" s="1"/>
  <c r="M7" i="3" s="1"/>
  <c r="AA22" i="2" a="1"/>
  <c r="AA22" i="2" s="1"/>
  <c r="E7" i="3" s="1"/>
  <c r="L7" i="3" s="1"/>
  <c r="AA18" i="2" a="1"/>
  <c r="AA18" i="2" s="1"/>
  <c r="E6" i="3" s="1"/>
  <c r="L6" i="3" s="1"/>
  <c r="AB18" i="2" a="1"/>
  <c r="AB18" i="2" s="1"/>
  <c r="F6" i="3" s="1"/>
  <c r="M6" i="3" s="1"/>
  <c r="AB14" i="2" a="1"/>
  <c r="AB14" i="2" s="1"/>
  <c r="F5" i="3" s="1"/>
  <c r="M4" i="3" s="1"/>
  <c r="AA14" i="2" a="1"/>
  <c r="AA14" i="2" s="1"/>
  <c r="E5" i="3" s="1"/>
  <c r="L4" i="3" s="1"/>
  <c r="AA10" i="2" a="1"/>
  <c r="AA10" i="2" s="1"/>
  <c r="E4" i="3" s="1"/>
  <c r="L5" i="3" s="1"/>
  <c r="AB10" i="2" a="1"/>
  <c r="AB10" i="2" s="1"/>
  <c r="F4" i="3" s="1"/>
  <c r="M5" i="3" s="1"/>
  <c r="D17" i="4" l="1"/>
  <c r="E17" i="4" s="1"/>
  <c r="B18" i="4"/>
  <c r="L8" i="3"/>
  <c r="AD14" i="2" a="1"/>
  <c r="AD14" i="2" s="1"/>
  <c r="G5" i="3" s="1"/>
  <c r="AE14" i="2" a="1"/>
  <c r="AE14" i="2" s="1"/>
  <c r="AK14" i="2" s="1"/>
  <c r="AL14" i="2" s="1"/>
  <c r="AN14" i="2" s="1"/>
  <c r="P4" i="3" s="1"/>
  <c r="J14" i="3" s="1"/>
  <c r="AK6" i="2"/>
  <c r="AL6" i="2" s="1"/>
  <c r="AN6" i="2" s="1"/>
  <c r="P3" i="3" s="1"/>
  <c r="J13" i="3" s="1"/>
  <c r="E8" i="3"/>
  <c r="AK22" i="2"/>
  <c r="AL22" i="2" s="1"/>
  <c r="AN22" i="2" s="1"/>
  <c r="P7" i="3" s="1"/>
  <c r="J17" i="3" s="1"/>
  <c r="AK18" i="2"/>
  <c r="AL18" i="2" s="1"/>
  <c r="AN18" i="2" s="1"/>
  <c r="P6" i="3" s="1"/>
  <c r="J16" i="3" s="1"/>
  <c r="AK10" i="2"/>
  <c r="AL10" i="2" s="1"/>
  <c r="AN10" i="2" s="1"/>
  <c r="P5" i="3" s="1"/>
  <c r="J15" i="3" s="1"/>
  <c r="B19" i="4" l="1"/>
  <c r="D18" i="4"/>
  <c r="E18" i="4" s="1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D4" i="2"/>
  <c r="D19" i="4" l="1"/>
  <c r="E19" i="4" s="1"/>
  <c r="B20" i="4"/>
  <c r="X5" i="2"/>
  <c r="V5" i="2"/>
  <c r="W5" i="2"/>
  <c r="Y5" i="2"/>
  <c r="Z5" i="2"/>
  <c r="AE2" i="2" a="1"/>
  <c r="AE2" i="2" s="1"/>
  <c r="D5" i="2"/>
  <c r="T5" i="2"/>
  <c r="S5" i="2"/>
  <c r="J5" i="2"/>
  <c r="Q5" i="2"/>
  <c r="I5" i="2"/>
  <c r="P5" i="2"/>
  <c r="H5" i="2"/>
  <c r="U5" i="2"/>
  <c r="O5" i="2"/>
  <c r="G5" i="2"/>
  <c r="N5" i="2"/>
  <c r="F5" i="2"/>
  <c r="M5" i="2"/>
  <c r="R5" i="2"/>
  <c r="L5" i="2"/>
  <c r="E5" i="2"/>
  <c r="K5" i="2"/>
  <c r="B21" i="4" l="1"/>
  <c r="D20" i="4"/>
  <c r="E20" i="4" s="1"/>
  <c r="AI2" i="2"/>
  <c r="AM2" i="2"/>
  <c r="AK2" i="2"/>
  <c r="AL2" i="2" s="1"/>
  <c r="AD2" i="2" a="1"/>
  <c r="AD2" i="2" s="1"/>
  <c r="G2" i="3" s="1"/>
  <c r="D21" i="4" l="1"/>
  <c r="E21" i="4" s="1"/>
  <c r="B22" i="4"/>
  <c r="AN2" i="2"/>
  <c r="P2" i="3" s="1"/>
  <c r="J12" i="3" s="1"/>
  <c r="J18" i="3" s="1"/>
  <c r="AD10" i="2" a="1"/>
  <c r="AD10" i="2" s="1"/>
  <c r="G4" i="3" s="1"/>
  <c r="AD6" i="2" a="1"/>
  <c r="AD6" i="2" s="1"/>
  <c r="G3" i="3" s="1"/>
  <c r="B23" i="4" l="1"/>
  <c r="D22" i="4"/>
  <c r="E22" i="4" s="1"/>
  <c r="D23" i="4" l="1"/>
  <c r="E23" i="4" s="1"/>
  <c r="B24" i="4"/>
  <c r="B25" i="4" l="1"/>
  <c r="D24" i="4"/>
  <c r="E24" i="4" s="1"/>
  <c r="D25" i="4" l="1"/>
  <c r="E25" i="4" s="1"/>
  <c r="B26" i="4"/>
  <c r="D26" i="4" l="1"/>
  <c r="B27" i="4" a="1"/>
  <c r="B27" i="4" s="1"/>
  <c r="B28" i="4" a="1"/>
  <c r="B28" i="4" s="1"/>
  <c r="F34" i="4" l="1"/>
  <c r="V32" i="4"/>
  <c r="V34" i="4"/>
  <c r="F32" i="4"/>
  <c r="B32" i="4"/>
  <c r="B34" i="4"/>
  <c r="R32" i="4"/>
  <c r="N32" i="4"/>
  <c r="J32" i="4"/>
  <c r="N34" i="4"/>
  <c r="J34" i="4"/>
  <c r="R34" i="4"/>
  <c r="B31" i="4" a="1"/>
  <c r="B31" i="4" s="1"/>
  <c r="E26" i="4"/>
  <c r="J37" i="4" l="1"/>
  <c r="J38" i="4" s="1"/>
  <c r="J40" i="4" s="1"/>
  <c r="F37" i="4"/>
  <c r="F38" i="4" s="1"/>
  <c r="F40" i="4" s="1"/>
  <c r="R39" i="4"/>
  <c r="R35" i="4"/>
  <c r="R37" i="4" s="1"/>
  <c r="R38" i="4" s="1"/>
  <c r="R40" i="4" s="1"/>
  <c r="J39" i="4"/>
  <c r="J35" i="4"/>
  <c r="V39" i="4"/>
  <c r="V35" i="4"/>
  <c r="V37" i="4" s="1"/>
  <c r="V38" i="4" s="1"/>
  <c r="V40" i="4" s="1"/>
  <c r="N39" i="4"/>
  <c r="N35" i="4"/>
  <c r="N37" i="4" s="1"/>
  <c r="N38" i="4" s="1"/>
  <c r="N40" i="4" s="1"/>
  <c r="B39" i="4"/>
  <c r="B35" i="4"/>
  <c r="B37" i="4" s="1"/>
  <c r="B38" i="4" s="1"/>
  <c r="B40" i="4" s="1"/>
  <c r="F39" i="4"/>
  <c r="F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<sst xmlns="http://schemas.openxmlformats.org/spreadsheetml/2006/main" count="174" uniqueCount="55">
  <si>
    <t>Type of activity</t>
  </si>
  <si>
    <t>Production</t>
  </si>
  <si>
    <t>Recycling</t>
  </si>
  <si>
    <t>Sales</t>
  </si>
  <si>
    <t>Total capital investment for the project, bln. rub.</t>
  </si>
  <si>
    <t>Capital investment in 2023, bln. rub.</t>
  </si>
  <si>
    <t>NPV, bln. rub.</t>
  </si>
  <si>
    <t>Payback period, years</t>
  </si>
  <si>
    <t>Total</t>
  </si>
  <si>
    <t>IRR, %</t>
  </si>
  <si>
    <t>Project</t>
  </si>
  <si>
    <t>1.1</t>
  </si>
  <si>
    <t>1.2</t>
  </si>
  <si>
    <t>1.3</t>
  </si>
  <si>
    <t>2.1</t>
  </si>
  <si>
    <t>2.2</t>
  </si>
  <si>
    <t>3.1</t>
  </si>
  <si>
    <t>Equity</t>
  </si>
  <si>
    <t>Debt</t>
  </si>
  <si>
    <t>WACC, %</t>
  </si>
  <si>
    <t>Equity CapEx, bln. rub.</t>
  </si>
  <si>
    <t>Debt CapEx, bln. rub.</t>
  </si>
  <si>
    <t>Costs of raising capital, bln. rub.</t>
  </si>
  <si>
    <t>max c</t>
  </si>
  <si>
    <t>reg</t>
  </si>
  <si>
    <t>op</t>
  </si>
  <si>
    <t>budg</t>
  </si>
  <si>
    <t>risk-free rate</t>
  </si>
  <si>
    <t>year</t>
  </si>
  <si>
    <t>Debt/Value</t>
  </si>
  <si>
    <t>cost of debt</t>
  </si>
  <si>
    <t>levered beta</t>
  </si>
  <si>
    <t>cost of equity CAPM</t>
  </si>
  <si>
    <t>cost of debt* weight</t>
  </si>
  <si>
    <t>WACC</t>
  </si>
  <si>
    <t>market premium</t>
  </si>
  <si>
    <t>mean return</t>
  </si>
  <si>
    <t>Debt/Equity</t>
  </si>
  <si>
    <t>tax rate</t>
  </si>
  <si>
    <t>unlevered beta</t>
  </si>
  <si>
    <t>positive CF</t>
  </si>
  <si>
    <t>negative CF</t>
  </si>
  <si>
    <t>CF</t>
  </si>
  <si>
    <t>cumsum CF</t>
  </si>
  <si>
    <t>Debt, bln rub</t>
  </si>
  <si>
    <t>Equity,bln rub</t>
  </si>
  <si>
    <t>Total investments, bln rub</t>
  </si>
  <si>
    <t>Equity /Value</t>
  </si>
  <si>
    <t>1 (крупен)</t>
  </si>
  <si>
    <t>2 (средний)</t>
  </si>
  <si>
    <t>3 (маленький)</t>
  </si>
  <si>
    <t>1 (средний)</t>
  </si>
  <si>
    <t>2 (маленький)</t>
  </si>
  <si>
    <t>1 (Мелкий)</t>
  </si>
  <si>
    <t>Equity, bln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</si>
</sst>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0.000"/>
    <numFmt numFmtId="165" formatCode="0.0"/>
    <numFmt numFmtId="166" formatCode="0.0%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1" xfId="0" applyBorder="1"/>
    <xf numFmtId="49" fontId="0" fillId="0" borderId="1" xfId="1" applyNumberFormat="1" applyFon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vertical="center"/>
    </xf>
    <xf numFmtId="9" fontId="0" fillId="0" borderId="0" xfId="0" applyNumberFormat="1"/>
    <xf numFmtId="0" fontId="7" fillId="0" borderId="8" xfId="0" applyFont="1" applyBorder="1"/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4" xfId="0" applyFont="1" applyBorder="1"/>
    <xf numFmtId="0" fontId="7" fillId="0" borderId="15" xfId="0" applyFont="1" applyBorder="1"/>
    <xf numFmtId="0" fontId="7" fillId="0" borderId="3" xfId="0" applyFont="1" applyBorder="1"/>
    <xf numFmtId="0" fontId="7" fillId="0" borderId="16" xfId="0" applyFont="1" applyBorder="1"/>
    <xf numFmtId="0" fontId="0" fillId="0" borderId="9" xfId="0" applyBorder="1" applyAlignment="1">
      <alignment vertical="center" wrapText="1"/>
    </xf>
    <xf numFmtId="2" fontId="0" fillId="0" borderId="6" xfId="0" applyNumberFormat="1" applyBorder="1"/>
    <xf numFmtId="2" fontId="0" fillId="0" borderId="7" xfId="0" applyNumberFormat="1" applyBorder="1"/>
    <xf numFmtId="2" fontId="2" fillId="0" borderId="6" xfId="0" applyNumberFormat="1" applyFont="1" applyBorder="1"/>
    <xf numFmtId="2" fontId="2" fillId="0" borderId="1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2" xfId="0" applyNumberFormat="1" applyFont="1" applyBorder="1"/>
    <xf numFmtId="2" fontId="2" fillId="0" borderId="0" xfId="0" applyNumberFormat="1" applyFont="1"/>
    <xf numFmtId="2" fontId="2" fillId="0" borderId="3" xfId="0" applyNumberFormat="1" applyFont="1" applyBorder="1"/>
    <xf numFmtId="2" fontId="2" fillId="0" borderId="5" xfId="0" applyNumberFormat="1" applyFont="1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1" xfId="0" applyBorder="1" applyAlignment="1">
      <alignment wrapText="1"/>
    </xf>
    <xf numFmtId="9" fontId="0" fillId="0" borderId="22" xfId="0" applyNumberFormat="1" applyBorder="1"/>
    <xf numFmtId="2" fontId="5" fillId="0" borderId="8" xfId="0" applyNumberFormat="1" applyFont="1" applyBorder="1"/>
    <xf numFmtId="0" fontId="5" fillId="0" borderId="10" xfId="0" applyFont="1" applyBorder="1"/>
    <xf numFmtId="9" fontId="5" fillId="0" borderId="8" xfId="0" applyNumberFormat="1" applyFont="1" applyBorder="1"/>
    <xf numFmtId="0" fontId="5" fillId="0" borderId="8" xfId="0" applyFont="1" applyBorder="1"/>
    <xf numFmtId="9" fontId="0" fillId="0" borderId="8" xfId="2" applyFont="1" applyBorder="1" applyAlignment="1"/>
    <xf numFmtId="2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9" fontId="0" fillId="0" borderId="1" xfId="0" applyNumberFormat="1" applyBorder="1"/>
    <xf numFmtId="1" fontId="0" fillId="0" borderId="20" xfId="0" applyNumberFormat="1" applyBorder="1"/>
    <xf numFmtId="9" fontId="4" fillId="0" borderId="8" xfId="2" applyFont="1" applyBorder="1" applyAlignment="1">
      <alignment vertical="center"/>
    </xf>
    <xf numFmtId="166" fontId="6" fillId="0" borderId="18" xfId="2" applyNumberFormat="1" applyFont="1" applyBorder="1" applyAlignment="1">
      <alignment vertical="center"/>
    </xf>
    <xf numFmtId="2" fontId="0" fillId="0" borderId="24" xfId="0" applyNumberFormat="1" applyBorder="1"/>
    <xf numFmtId="2" fontId="0" fillId="0" borderId="2" xfId="0" applyNumberFormat="1" applyBorder="1"/>
    <xf numFmtId="2" fontId="0" fillId="0" borderId="25" xfId="0" applyNumberFormat="1" applyBorder="1"/>
    <xf numFmtId="2" fontId="2" fillId="0" borderId="24" xfId="0" applyNumberFormat="1" applyFont="1" applyBorder="1"/>
    <xf numFmtId="2" fontId="2" fillId="0" borderId="25" xfId="0" applyNumberFormat="1" applyFont="1" applyBorder="1"/>
    <xf numFmtId="2" fontId="0" fillId="0" borderId="8" xfId="2" applyNumberFormat="1" applyFont="1" applyBorder="1" applyAlignment="1"/>
    <xf numFmtId="2" fontId="0" fillId="0" borderId="0" xfId="0" applyNumberForma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2" fontId="8" fillId="0" borderId="1" xfId="0" applyNumberFormat="1" applyFont="1" applyBorder="1"/>
    <xf numFmtId="9" fontId="8" fillId="0" borderId="1" xfId="0" applyNumberFormat="1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8" fillId="0" borderId="1" xfId="1" applyNumberFormat="1" applyFont="1" applyBorder="1"/>
    <xf numFmtId="9" fontId="8" fillId="0" borderId="1" xfId="2" applyFont="1" applyBorder="1"/>
    <xf numFmtId="10" fontId="8" fillId="0" borderId="1" xfId="2" applyNumberFormat="1" applyFont="1" applyBorder="1"/>
    <xf numFmtId="10" fontId="8" fillId="0" borderId="1" xfId="0" applyNumberFormat="1" applyFont="1" applyBorder="1"/>
    <xf numFmtId="49" fontId="8" fillId="0" borderId="1" xfId="1" applyNumberFormat="1" applyFont="1" applyFill="1" applyBorder="1" applyAlignment="1">
      <alignment horizontal="center" vertical="center" wrapText="1"/>
    </xf>
    <xf numFmtId="165" fontId="8" fillId="0" borderId="1" xfId="0" applyNumberFormat="1" applyFont="1" applyBorder="1"/>
    <xf numFmtId="2" fontId="5" fillId="0" borderId="4" xfId="2" applyNumberFormat="1" applyFont="1" applyBorder="1" applyAlignment="1">
      <alignment horizontal="center"/>
    </xf>
    <xf numFmtId="2" fontId="5" fillId="0" borderId="23" xfId="2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66" fontId="5" fillId="0" borderId="20" xfId="2" applyNumberFormat="1" applyFont="1" applyBorder="1" applyAlignment="1">
      <alignment horizontal="center"/>
    </xf>
    <xf numFmtId="166" fontId="5" fillId="0" borderId="22" xfId="2" applyNumberFormat="1" applyFont="1" applyBorder="1" applyAlignment="1">
      <alignment horizontal="center"/>
    </xf>
    <xf numFmtId="9" fontId="5" fillId="0" borderId="4" xfId="2" applyFont="1" applyBorder="1" applyAlignment="1">
      <alignment horizontal="center"/>
    </xf>
    <xf numFmtId="9" fontId="5" fillId="0" borderId="23" xfId="2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A442-E087-FD40-AC93-6F4F76018056}">
  <dimension ref="A1:AN33"/>
  <sheetViews>
    <sheetView tabSelected="1" zoomScale="37" workbookViewId="0">
      <selection sqref="A1:AN34"/>
    </sheetView>
  </sheetViews>
  <sheetFormatPr baseColWidth="10" defaultRowHeight="16" x14ac:dyDescent="0.2"/>
  <cols>
    <col min="1" max="1" width="11.1640625" customWidth="1"/>
    <col min="3" max="3" width="10.83203125" customWidth="1"/>
    <col min="34" max="35" width="12.6640625" bestFit="1" customWidth="1"/>
  </cols>
  <sheetData>
    <row r="1" spans="1:40" ht="52" thickBot="1" x14ac:dyDescent="0.25">
      <c r="A1" s="10" t="s">
        <v>0</v>
      </c>
      <c r="B1" s="15" t="s">
        <v>10</v>
      </c>
      <c r="C1" s="11" t="s">
        <v>28</v>
      </c>
      <c r="D1" s="7">
        <v>0</v>
      </c>
      <c r="E1" s="7">
        <v>1</v>
      </c>
      <c r="F1" s="7">
        <v>2</v>
      </c>
      <c r="G1" s="7">
        <v>3</v>
      </c>
      <c r="H1" s="7">
        <v>4</v>
      </c>
      <c r="I1" s="7">
        <v>5</v>
      </c>
      <c r="J1" s="7">
        <v>6</v>
      </c>
      <c r="K1" s="7">
        <v>7</v>
      </c>
      <c r="L1" s="7">
        <v>8</v>
      </c>
      <c r="M1" s="7">
        <v>9</v>
      </c>
      <c r="N1" s="7">
        <v>10</v>
      </c>
      <c r="O1" s="7">
        <v>11</v>
      </c>
      <c r="P1" s="7">
        <v>12</v>
      </c>
      <c r="Q1" s="7">
        <v>13</v>
      </c>
      <c r="R1" s="7">
        <v>14</v>
      </c>
      <c r="S1" s="7">
        <v>15</v>
      </c>
      <c r="T1" s="7">
        <v>16</v>
      </c>
      <c r="U1" s="7">
        <v>17</v>
      </c>
      <c r="V1" s="7">
        <v>18</v>
      </c>
      <c r="W1" s="7">
        <v>19</v>
      </c>
      <c r="X1" s="7">
        <v>20</v>
      </c>
      <c r="Y1" s="7">
        <v>21</v>
      </c>
      <c r="Z1" s="7">
        <v>22</v>
      </c>
      <c r="AA1" s="8" t="s">
        <v>6</v>
      </c>
      <c r="AB1" s="8" t="s">
        <v>9</v>
      </c>
      <c r="AC1" s="8" t="s">
        <v>46</v>
      </c>
      <c r="AD1" s="8" t="s">
        <v>7</v>
      </c>
      <c r="AE1" s="9" t="s">
        <v>36</v>
      </c>
      <c r="AF1" s="9" t="s">
        <v>44</v>
      </c>
      <c r="AG1" s="9" t="s">
        <v>54</v>
      </c>
      <c r="AH1" s="40" t="s">
        <v>29</v>
      </c>
      <c r="AI1" s="40" t="s">
        <v>47</v>
      </c>
      <c r="AJ1" s="40" t="s">
        <v>30</v>
      </c>
      <c r="AK1" s="40" t="s">
        <v>31</v>
      </c>
      <c r="AL1" s="40" t="s">
        <v>32</v>
      </c>
      <c r="AM1" s="40" t="s">
        <v>33</v>
      </c>
      <c r="AN1" s="41" t="s">
        <v>34</v>
      </c>
    </row>
    <row r="2" spans="1:40" x14ac:dyDescent="0.2">
      <c r="A2" s="82" t="s">
        <v>1</v>
      </c>
      <c r="B2" s="76" t="s">
        <v>48</v>
      </c>
      <c r="C2" s="12" t="s">
        <v>40</v>
      </c>
      <c r="D2" s="16"/>
      <c r="E2" s="16">
        <f>D3*30%</f>
        <v>7.5</v>
      </c>
      <c r="F2" s="16">
        <f>E2*(1+$F$26)</f>
        <v>8.625</v>
      </c>
      <c r="G2" s="16">
        <f t="shared" ref="G2:Z2" si="0">F2*(1+$F$26)</f>
        <v>9.9187499999999993</v>
      </c>
      <c r="H2" s="16">
        <f t="shared" si="0"/>
        <v>11.406562499999998</v>
      </c>
      <c r="I2" s="16">
        <f t="shared" si="0"/>
        <v>13.117546874999997</v>
      </c>
      <c r="J2" s="16">
        <f t="shared" si="0"/>
        <v>15.085178906249995</v>
      </c>
      <c r="K2" s="16">
        <f t="shared" si="0"/>
        <v>17.347955742187494</v>
      </c>
      <c r="L2" s="16">
        <f t="shared" si="0"/>
        <v>19.950149103515617</v>
      </c>
      <c r="M2" s="16">
        <f t="shared" si="0"/>
        <v>22.942671469042956</v>
      </c>
      <c r="N2" s="16">
        <f t="shared" si="0"/>
        <v>26.384072189399397</v>
      </c>
      <c r="O2" s="16">
        <f t="shared" si="0"/>
        <v>30.341683017809306</v>
      </c>
      <c r="P2" s="16">
        <f t="shared" si="0"/>
        <v>34.892935470480701</v>
      </c>
      <c r="Q2" s="16">
        <f t="shared" si="0"/>
        <v>40.126875791052804</v>
      </c>
      <c r="R2" s="16">
        <f t="shared" si="0"/>
        <v>46.145907159710724</v>
      </c>
      <c r="S2" s="16">
        <f t="shared" si="0"/>
        <v>53.067793233667331</v>
      </c>
      <c r="T2" s="16">
        <f t="shared" si="0"/>
        <v>61.027962218717427</v>
      </c>
      <c r="U2" s="16">
        <f t="shared" si="0"/>
        <v>70.18215655152504</v>
      </c>
      <c r="V2" s="16">
        <f t="shared" si="0"/>
        <v>80.709480034253787</v>
      </c>
      <c r="W2" s="16">
        <f t="shared" si="0"/>
        <v>92.815902039391844</v>
      </c>
      <c r="X2" s="16">
        <f t="shared" si="0"/>
        <v>106.73828734530061</v>
      </c>
      <c r="Y2" s="16">
        <f t="shared" si="0"/>
        <v>122.74903044709569</v>
      </c>
      <c r="Z2" s="46">
        <f t="shared" si="0"/>
        <v>141.16138501416003</v>
      </c>
      <c r="AA2" s="33" cm="1">
        <f t="array" ref="AA2">SUM((D2:Z2-D3:Z3)/(1+$D$26:$Z$26)^$D$1:$Z$1)</f>
        <v>116.5652173913044</v>
      </c>
      <c r="AB2" s="34" cm="1">
        <f t="array" ref="AB2">IRR(D2:Z2-D3:Z3)</f>
        <v>0.44402296669363395</v>
      </c>
      <c r="AC2" s="32">
        <f>SUM(D3:Z3)</f>
        <v>38.763163801447476</v>
      </c>
      <c r="AD2" s="35" cm="1">
        <f t="array" ref="AD2">INDEX(D$1:Z$1,MATCH(TRUE,(D5:Z5&gt;=0),0))</f>
        <v>3</v>
      </c>
      <c r="AE2" s="36" cm="1">
        <f t="array" ref="AE2">AVERAGE((E4:Z4)/(1+$E$26:$Z$26)^$E$1:$Z$1)/D3</f>
        <v>0.25739130434782626</v>
      </c>
      <c r="AF2" s="51">
        <f>$B$28</f>
        <v>180</v>
      </c>
      <c r="AG2" s="51">
        <f>$B$29-D3</f>
        <v>138.63636363636363</v>
      </c>
      <c r="AH2" s="44">
        <f>$B$28/($B$29-D3+$B$28)</f>
        <v>0.56490727532097007</v>
      </c>
      <c r="AI2" s="44">
        <f>1-AH2</f>
        <v>0.43509272467902993</v>
      </c>
      <c r="AJ2" s="38">
        <f>0.1</f>
        <v>0.1</v>
      </c>
      <c r="AK2" s="39">
        <f>($B$32+AE2/$D$26*D3/$B$29)*(AI2+AH2*(1-$B$5))/AI2</f>
        <v>1.1624486417993192</v>
      </c>
      <c r="AL2" s="37">
        <f>$D$26+($B$33*AK2)</f>
        <v>0.22974691850795914</v>
      </c>
      <c r="AM2" s="37">
        <f>AH2*AJ2*(1-$B$5)</f>
        <v>5.649072753209701E-2</v>
      </c>
      <c r="AN2" s="45">
        <f>AL2*AI2+AM2</f>
        <v>0.156451940292336</v>
      </c>
    </row>
    <row r="3" spans="1:40" x14ac:dyDescent="0.2">
      <c r="A3" s="83"/>
      <c r="B3" s="77"/>
      <c r="C3" s="13" t="s">
        <v>41</v>
      </c>
      <c r="D3" s="3">
        <v>25</v>
      </c>
      <c r="E3" s="3">
        <v>0.1</v>
      </c>
      <c r="F3" s="3">
        <f>E3*(1+$F$26)</f>
        <v>0.11499999999999999</v>
      </c>
      <c r="G3" s="3">
        <f t="shared" ref="G3:Z3" si="1">F3*(1+$F$26)</f>
        <v>0.13224999999999998</v>
      </c>
      <c r="H3" s="3">
        <f t="shared" si="1"/>
        <v>0.15208749999999996</v>
      </c>
      <c r="I3" s="3">
        <f t="shared" si="1"/>
        <v>0.17490062499999995</v>
      </c>
      <c r="J3" s="3">
        <f t="shared" si="1"/>
        <v>0.20113571874999991</v>
      </c>
      <c r="K3" s="3">
        <f t="shared" si="1"/>
        <v>0.23130607656249988</v>
      </c>
      <c r="L3" s="3">
        <f t="shared" si="1"/>
        <v>0.26600198804687486</v>
      </c>
      <c r="M3" s="3">
        <f t="shared" si="1"/>
        <v>0.30590228625390609</v>
      </c>
      <c r="N3" s="3">
        <f t="shared" si="1"/>
        <v>0.35178762919199197</v>
      </c>
      <c r="O3" s="3">
        <f t="shared" si="1"/>
        <v>0.40455577357079076</v>
      </c>
      <c r="P3" s="3">
        <f t="shared" si="1"/>
        <v>0.46523913960640934</v>
      </c>
      <c r="Q3" s="3">
        <f t="shared" si="1"/>
        <v>0.53502501054737073</v>
      </c>
      <c r="R3" s="3">
        <f t="shared" si="1"/>
        <v>0.6152787621294763</v>
      </c>
      <c r="S3" s="3">
        <f t="shared" si="1"/>
        <v>0.70757057644889765</v>
      </c>
      <c r="T3" s="3">
        <f t="shared" si="1"/>
        <v>0.81370616291623221</v>
      </c>
      <c r="U3" s="3">
        <f t="shared" si="1"/>
        <v>0.93576208735366695</v>
      </c>
      <c r="V3" s="3">
        <f t="shared" si="1"/>
        <v>1.0761264004567168</v>
      </c>
      <c r="W3" s="3">
        <f t="shared" si="1"/>
        <v>1.2375453605252242</v>
      </c>
      <c r="X3" s="3">
        <f t="shared" si="1"/>
        <v>1.4231771646040077</v>
      </c>
      <c r="Y3" s="3">
        <f t="shared" si="1"/>
        <v>1.6366537392946088</v>
      </c>
      <c r="Z3" s="47">
        <f t="shared" si="1"/>
        <v>1.8821518001888</v>
      </c>
      <c r="AA3" s="74"/>
      <c r="AB3" s="68"/>
      <c r="AC3" s="68"/>
      <c r="AD3" s="68"/>
      <c r="AE3" s="68"/>
      <c r="AF3" s="66"/>
      <c r="AG3" s="66"/>
      <c r="AH3" s="72"/>
      <c r="AI3" s="72"/>
      <c r="AJ3" s="68"/>
      <c r="AK3" s="68"/>
      <c r="AL3" s="68"/>
      <c r="AM3" s="68"/>
      <c r="AN3" s="70"/>
    </row>
    <row r="4" spans="1:40" ht="16" customHeight="1" x14ac:dyDescent="0.2">
      <c r="A4" s="83"/>
      <c r="B4" s="77"/>
      <c r="C4" s="13" t="s">
        <v>42</v>
      </c>
      <c r="D4" s="3">
        <f>D2-D3</f>
        <v>-25</v>
      </c>
      <c r="E4" s="3">
        <f t="shared" ref="E4:Z4" si="2">E2-E3</f>
        <v>7.4</v>
      </c>
      <c r="F4" s="3">
        <f t="shared" si="2"/>
        <v>8.51</v>
      </c>
      <c r="G4" s="3">
        <f t="shared" si="2"/>
        <v>9.7865000000000002</v>
      </c>
      <c r="H4" s="3">
        <f t="shared" si="2"/>
        <v>11.254474999999998</v>
      </c>
      <c r="I4" s="3">
        <f t="shared" si="2"/>
        <v>12.942646249999997</v>
      </c>
      <c r="J4" s="3">
        <f t="shared" si="2"/>
        <v>14.884043187499994</v>
      </c>
      <c r="K4" s="3">
        <f t="shared" si="2"/>
        <v>17.116649665624994</v>
      </c>
      <c r="L4" s="3">
        <f t="shared" si="2"/>
        <v>19.684147115468743</v>
      </c>
      <c r="M4" s="3">
        <f t="shared" si="2"/>
        <v>22.636769182789049</v>
      </c>
      <c r="N4" s="3">
        <f t="shared" si="2"/>
        <v>26.032284560207405</v>
      </c>
      <c r="O4" s="3">
        <f t="shared" si="2"/>
        <v>29.937127244238514</v>
      </c>
      <c r="P4" s="3">
        <f t="shared" si="2"/>
        <v>34.427696330874291</v>
      </c>
      <c r="Q4" s="3">
        <f t="shared" si="2"/>
        <v>39.591850780505432</v>
      </c>
      <c r="R4" s="3">
        <f t="shared" si="2"/>
        <v>45.530628397581246</v>
      </c>
      <c r="S4" s="3">
        <f t="shared" si="2"/>
        <v>52.360222657218436</v>
      </c>
      <c r="T4" s="3">
        <f t="shared" si="2"/>
        <v>60.214256055801194</v>
      </c>
      <c r="U4" s="3">
        <f t="shared" si="2"/>
        <v>69.246394464171374</v>
      </c>
      <c r="V4" s="3">
        <f t="shared" si="2"/>
        <v>79.633353633797071</v>
      </c>
      <c r="W4" s="3">
        <f t="shared" si="2"/>
        <v>91.578356678866626</v>
      </c>
      <c r="X4" s="3">
        <f t="shared" si="2"/>
        <v>105.31511018069659</v>
      </c>
      <c r="Y4" s="3">
        <f t="shared" si="2"/>
        <v>121.11237670780108</v>
      </c>
      <c r="Z4" s="47">
        <f t="shared" si="2"/>
        <v>139.27923321397122</v>
      </c>
      <c r="AA4" s="74"/>
      <c r="AB4" s="68"/>
      <c r="AC4" s="68"/>
      <c r="AD4" s="68"/>
      <c r="AE4" s="68"/>
      <c r="AF4" s="66"/>
      <c r="AG4" s="66"/>
      <c r="AH4" s="72"/>
      <c r="AI4" s="72"/>
      <c r="AJ4" s="68"/>
      <c r="AK4" s="68"/>
      <c r="AL4" s="68"/>
      <c r="AM4" s="68"/>
      <c r="AN4" s="70"/>
    </row>
    <row r="5" spans="1:40" ht="17" thickBot="1" x14ac:dyDescent="0.25">
      <c r="A5" s="83"/>
      <c r="B5" s="78"/>
      <c r="C5" s="14" t="s">
        <v>43</v>
      </c>
      <c r="D5" s="17">
        <f>SUM($D$4:D4)</f>
        <v>-25</v>
      </c>
      <c r="E5" s="17">
        <f>SUM($D$4:E4)</f>
        <v>-17.600000000000001</v>
      </c>
      <c r="F5" s="17">
        <f>SUM($D$4:F4)</f>
        <v>-9.0900000000000016</v>
      </c>
      <c r="G5" s="17">
        <f>SUM($D$4:G4)</f>
        <v>0.69649999999999856</v>
      </c>
      <c r="H5" s="17">
        <f>SUM($D$4:H4)</f>
        <v>11.950974999999996</v>
      </c>
      <c r="I5" s="17">
        <f>SUM($D$4:I4)</f>
        <v>24.893621249999995</v>
      </c>
      <c r="J5" s="17">
        <f>SUM($D$4:J4)</f>
        <v>39.777664437499993</v>
      </c>
      <c r="K5" s="17">
        <f>SUM($D$4:K4)</f>
        <v>56.894314103124984</v>
      </c>
      <c r="L5" s="17">
        <f>SUM($D$4:L4)</f>
        <v>76.578461218593731</v>
      </c>
      <c r="M5" s="17">
        <f>SUM($D$4:M4)</f>
        <v>99.215230401382783</v>
      </c>
      <c r="N5" s="17">
        <f>SUM($D$4:N4)</f>
        <v>125.24751496159018</v>
      </c>
      <c r="O5" s="17">
        <f>SUM($D$4:O4)</f>
        <v>155.18464220582871</v>
      </c>
      <c r="P5" s="17">
        <f>SUM($D$4:P4)</f>
        <v>189.61233853670299</v>
      </c>
      <c r="Q5" s="17">
        <f>SUM($D$4:Q4)</f>
        <v>229.20418931720843</v>
      </c>
      <c r="R5" s="17">
        <f>SUM($D$4:R4)</f>
        <v>274.7348177147897</v>
      </c>
      <c r="S5" s="17">
        <f>SUM($D$4:S4)</f>
        <v>327.09504037200816</v>
      </c>
      <c r="T5" s="17">
        <f>SUM($D$4:T4)</f>
        <v>387.30929642780933</v>
      </c>
      <c r="U5" s="17">
        <f>SUM($D$4:U4)</f>
        <v>456.5556908919807</v>
      </c>
      <c r="V5" s="17">
        <f>SUM($D$4:V4)</f>
        <v>536.18904452577772</v>
      </c>
      <c r="W5" s="17">
        <f>SUM($D$4:W4)</f>
        <v>627.76740120464433</v>
      </c>
      <c r="X5" s="17">
        <f>SUM($D$4:X4)</f>
        <v>733.08251138534092</v>
      </c>
      <c r="Y5" s="17">
        <f>SUM($D$4:Y4)</f>
        <v>854.19488809314203</v>
      </c>
      <c r="Z5" s="48">
        <f>SUM($D$4:Z4)</f>
        <v>993.47412130711325</v>
      </c>
      <c r="AA5" s="75"/>
      <c r="AB5" s="69"/>
      <c r="AC5" s="69"/>
      <c r="AD5" s="69"/>
      <c r="AE5" s="69"/>
      <c r="AF5" s="67"/>
      <c r="AG5" s="67"/>
      <c r="AH5" s="73"/>
      <c r="AI5" s="73"/>
      <c r="AJ5" s="69"/>
      <c r="AK5" s="69"/>
      <c r="AL5" s="69"/>
      <c r="AM5" s="69"/>
      <c r="AN5" s="71"/>
    </row>
    <row r="6" spans="1:40" x14ac:dyDescent="0.2">
      <c r="A6" s="83"/>
      <c r="B6" s="76" t="s">
        <v>49</v>
      </c>
      <c r="C6" s="12" t="s">
        <v>40</v>
      </c>
      <c r="D6" s="18"/>
      <c r="E6" s="18">
        <f>D7*40%</f>
        <v>4</v>
      </c>
      <c r="F6" s="18">
        <f>E6*(1+$F$26)</f>
        <v>4.5999999999999996</v>
      </c>
      <c r="G6" s="18">
        <f t="shared" ref="G6:N6" si="3">F6*(1+$F$26)</f>
        <v>5.2899999999999991</v>
      </c>
      <c r="H6" s="18">
        <f t="shared" si="3"/>
        <v>6.0834999999999981</v>
      </c>
      <c r="I6" s="18">
        <f t="shared" si="3"/>
        <v>6.9960249999999977</v>
      </c>
      <c r="J6" s="18">
        <f t="shared" si="3"/>
        <v>8.0454287499999975</v>
      </c>
      <c r="K6" s="18">
        <f t="shared" si="3"/>
        <v>9.2522430624999963</v>
      </c>
      <c r="L6" s="18">
        <f t="shared" si="3"/>
        <v>10.640079521874995</v>
      </c>
      <c r="M6" s="18">
        <f t="shared" si="3"/>
        <v>12.236091450156243</v>
      </c>
      <c r="N6" s="18">
        <f t="shared" si="3"/>
        <v>14.071505167679678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49"/>
      <c r="AA6" s="33" cm="1">
        <f t="array" ref="AA6">SUM((D6:Z6-D7:Z7)/(1+$D$26:$Z$26)^$D$1:$Z$1)</f>
        <v>23.04347826086957</v>
      </c>
      <c r="AB6" s="34" cm="1">
        <f t="array" ref="AB6">IRR(D6:Z6-D7:Z7)</f>
        <v>0.50404986294307186</v>
      </c>
      <c r="AC6" s="32">
        <f t="shared" ref="AC6" si="4">SUM(D7:Z7)</f>
        <v>14.060743647610545</v>
      </c>
      <c r="AD6" s="35" cm="1">
        <f t="array" ref="AD6">INDEX(D$1:Z$1,MATCH(TRUE,(D9:Z9&gt;=0),0))</f>
        <v>3</v>
      </c>
      <c r="AE6" s="36" cm="1">
        <f t="array" ref="AE6">AVERAGE((E8:Z8)/(1+$E$26:$Z$26)^$E$1:$Z$1)/D7</f>
        <v>0.15019762845849804</v>
      </c>
      <c r="AF6" s="51">
        <f>$B$28</f>
        <v>180</v>
      </c>
      <c r="AG6" s="51">
        <f>$B$29-D7</f>
        <v>153.63636363636363</v>
      </c>
      <c r="AH6" s="44">
        <f>$B$28/($B$29-D7+$B$28)</f>
        <v>0.53950953678474112</v>
      </c>
      <c r="AI6" s="44">
        <f t="shared" ref="AI6" si="5">1-AH6</f>
        <v>0.46049046321525888</v>
      </c>
      <c r="AJ6" s="38">
        <f>0.1</f>
        <v>0.1</v>
      </c>
      <c r="AK6" s="39">
        <f>($B$32+AE6/$D$26*D7/$B$29)*(AI6+AH6*(1-$B$5))/AI6</f>
        <v>0.68919375125060744</v>
      </c>
      <c r="AL6" s="37">
        <f>$D$26+($B$33*AK6)</f>
        <v>0.20135162507503646</v>
      </c>
      <c r="AM6" s="37">
        <f t="shared" ref="AM6" si="6">AH6*AJ6*(1-$B$5)</f>
        <v>5.3950953678474113E-2</v>
      </c>
      <c r="AN6" s="45">
        <f>AL6*AI6+AM6</f>
        <v>0.14667145677842278</v>
      </c>
    </row>
    <row r="7" spans="1:40" x14ac:dyDescent="0.2">
      <c r="A7" s="83"/>
      <c r="B7" s="77"/>
      <c r="C7" s="13" t="s">
        <v>41</v>
      </c>
      <c r="D7" s="19">
        <v>10</v>
      </c>
      <c r="E7" s="19">
        <v>0.2</v>
      </c>
      <c r="F7" s="19">
        <f>E7*(1+$F$26)</f>
        <v>0.22999999999999998</v>
      </c>
      <c r="G7" s="19">
        <f t="shared" ref="G7:N7" si="7">F7*(1+$F$26)</f>
        <v>0.26449999999999996</v>
      </c>
      <c r="H7" s="19">
        <f t="shared" si="7"/>
        <v>0.30417499999999992</v>
      </c>
      <c r="I7" s="19">
        <f t="shared" si="7"/>
        <v>0.3498012499999999</v>
      </c>
      <c r="J7" s="19">
        <f t="shared" si="7"/>
        <v>0.40227143749999983</v>
      </c>
      <c r="K7" s="19">
        <f t="shared" si="7"/>
        <v>0.46261215312499976</v>
      </c>
      <c r="L7" s="19">
        <f t="shared" si="7"/>
        <v>0.53200397609374972</v>
      </c>
      <c r="M7" s="19">
        <f t="shared" si="7"/>
        <v>0.61180457250781217</v>
      </c>
      <c r="N7" s="19">
        <f t="shared" si="7"/>
        <v>0.70357525838398394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2"/>
      <c r="AA7" s="74"/>
      <c r="AB7" s="68"/>
      <c r="AC7" s="68"/>
      <c r="AD7" s="68"/>
      <c r="AE7" s="68"/>
      <c r="AF7" s="66"/>
      <c r="AG7" s="66"/>
      <c r="AH7" s="72"/>
      <c r="AI7" s="72"/>
      <c r="AJ7" s="68"/>
      <c r="AK7" s="68"/>
      <c r="AL7" s="68"/>
      <c r="AM7" s="68"/>
      <c r="AN7" s="70"/>
    </row>
    <row r="8" spans="1:40" x14ac:dyDescent="0.2">
      <c r="A8" s="83"/>
      <c r="B8" s="77"/>
      <c r="C8" s="13" t="s">
        <v>42</v>
      </c>
      <c r="D8" s="19">
        <f>D6-D7</f>
        <v>-10</v>
      </c>
      <c r="E8" s="19">
        <f t="shared" ref="E8" si="8">E6-E7</f>
        <v>3.8</v>
      </c>
      <c r="F8" s="19">
        <f t="shared" ref="F8" si="9">F6-F7</f>
        <v>4.3699999999999992</v>
      </c>
      <c r="G8" s="19">
        <f t="shared" ref="G8" si="10">G6-G7</f>
        <v>5.0254999999999992</v>
      </c>
      <c r="H8" s="19">
        <f t="shared" ref="H8" si="11">H6-H7</f>
        <v>5.7793249999999983</v>
      </c>
      <c r="I8" s="19">
        <f t="shared" ref="I8" si="12">I6-I7</f>
        <v>6.6462237499999981</v>
      </c>
      <c r="J8" s="19">
        <f t="shared" ref="J8" si="13">J6-J7</f>
        <v>7.6431573124999979</v>
      </c>
      <c r="K8" s="19">
        <f t="shared" ref="K8" si="14">K6-K7</f>
        <v>8.7896309093749974</v>
      </c>
      <c r="L8" s="19">
        <f t="shared" ref="L8" si="15">L6-L7</f>
        <v>10.108075545781245</v>
      </c>
      <c r="M8" s="19">
        <f t="shared" ref="M8" si="16">M6-M7</f>
        <v>11.62428687764843</v>
      </c>
      <c r="N8" s="19">
        <f t="shared" ref="N8" si="17">N6-N7</f>
        <v>13.367929909295695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2"/>
      <c r="AA8" s="74"/>
      <c r="AB8" s="68"/>
      <c r="AC8" s="68"/>
      <c r="AD8" s="68"/>
      <c r="AE8" s="68"/>
      <c r="AF8" s="66"/>
      <c r="AG8" s="66"/>
      <c r="AH8" s="72"/>
      <c r="AI8" s="72"/>
      <c r="AJ8" s="68"/>
      <c r="AK8" s="68"/>
      <c r="AL8" s="68"/>
      <c r="AM8" s="68"/>
      <c r="AN8" s="70"/>
    </row>
    <row r="9" spans="1:40" ht="17" thickBot="1" x14ac:dyDescent="0.25">
      <c r="A9" s="83"/>
      <c r="B9" s="78"/>
      <c r="C9" s="14" t="s">
        <v>43</v>
      </c>
      <c r="D9" s="20">
        <f>SUM($D$8:D8)</f>
        <v>-10</v>
      </c>
      <c r="E9" s="20">
        <f>SUM($D$8:E8)</f>
        <v>-6.2</v>
      </c>
      <c r="F9" s="20">
        <f>SUM($D$8:F8)</f>
        <v>-1.830000000000001</v>
      </c>
      <c r="G9" s="20">
        <f>SUM($D$8:G8)</f>
        <v>3.1954999999999982</v>
      </c>
      <c r="H9" s="20">
        <f>SUM($D$8:H8)</f>
        <v>8.9748249999999956</v>
      </c>
      <c r="I9" s="20">
        <f>SUM($D$8:I8)</f>
        <v>15.621048749999993</v>
      </c>
      <c r="J9" s="20">
        <f>SUM($D$8:J8)</f>
        <v>23.264206062499991</v>
      </c>
      <c r="K9" s="20">
        <f>SUM($D$8:K8)</f>
        <v>32.053836971874986</v>
      </c>
      <c r="L9" s="20">
        <f>SUM($D$8:L8)</f>
        <v>42.161912517656233</v>
      </c>
      <c r="M9" s="20">
        <f>SUM($D$8:M8)</f>
        <v>53.786199395304664</v>
      </c>
      <c r="N9" s="20">
        <f>SUM($D$8:N8)</f>
        <v>67.15412930460036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0"/>
      <c r="AA9" s="75"/>
      <c r="AB9" s="69"/>
      <c r="AC9" s="69"/>
      <c r="AD9" s="69"/>
      <c r="AE9" s="69"/>
      <c r="AF9" s="67"/>
      <c r="AG9" s="67"/>
      <c r="AH9" s="73"/>
      <c r="AI9" s="73"/>
      <c r="AJ9" s="69"/>
      <c r="AK9" s="69"/>
      <c r="AL9" s="69"/>
      <c r="AM9" s="69"/>
      <c r="AN9" s="71"/>
    </row>
    <row r="10" spans="1:40" x14ac:dyDescent="0.2">
      <c r="A10" s="83"/>
      <c r="B10" s="76" t="s">
        <v>50</v>
      </c>
      <c r="C10" s="12" t="s">
        <v>40</v>
      </c>
      <c r="D10" s="18"/>
      <c r="E10" s="18">
        <f>D11*40%</f>
        <v>2</v>
      </c>
      <c r="F10" s="18">
        <f>E10*(1+$F$26)</f>
        <v>2.2999999999999998</v>
      </c>
      <c r="G10" s="18">
        <f t="shared" ref="G10:I10" si="18">F10*(1+$F$26)</f>
        <v>2.6449999999999996</v>
      </c>
      <c r="H10" s="18">
        <f t="shared" si="18"/>
        <v>3.0417499999999991</v>
      </c>
      <c r="I10" s="18">
        <f t="shared" si="18"/>
        <v>3.4980124999999989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9"/>
      <c r="AA10" s="33" cm="1">
        <f t="array" ref="AA10">SUM((D10:Z10-D11:Z11)/(1+$D$26:$Z$26)^$D$1:$Z$1)</f>
        <v>3.4782608695652177</v>
      </c>
      <c r="AB10" s="34" cm="1">
        <f t="array" ref="AB10">IRR(D10:Z10-D11:Z11)</f>
        <v>0.38740716343579717</v>
      </c>
      <c r="AC10" s="32">
        <f t="shared" ref="AC10" si="19">SUM(D11:Z11)</f>
        <v>5.3371190624999993</v>
      </c>
      <c r="AD10" s="35" cm="1">
        <f t="array" ref="AD10">INDEX(D$1:Z$1,MATCH(TRUE,(D13:Z13&gt;=0),0))</f>
        <v>3</v>
      </c>
      <c r="AE10" s="36" cm="1">
        <f t="array" ref="AE10">AVERAGE((E12:Z12)/(1+$E$26:$Z$26)^$E$1:$Z$1)/D11</f>
        <v>7.7075098814229248E-2</v>
      </c>
      <c r="AF10" s="51">
        <f>$B$28+D11</f>
        <v>185</v>
      </c>
      <c r="AG10" s="51">
        <f>$B$29</f>
        <v>163.63636363636363</v>
      </c>
      <c r="AH10" s="44">
        <f>($B$28+D11)/($B$29+$B$28+D11)</f>
        <v>0.53063885267275102</v>
      </c>
      <c r="AI10" s="44">
        <f t="shared" ref="AI10" si="20">1-AH10</f>
        <v>0.46936114732724898</v>
      </c>
      <c r="AJ10" s="38">
        <f>0.1</f>
        <v>0.1</v>
      </c>
      <c r="AK10" s="39">
        <f>($B$32+AE10/$D$26*D11/$B$29)*(AI10+AH10*(1-$B$5))/AI10</f>
        <v>0.58530452395330124</v>
      </c>
      <c r="AL10" s="37">
        <f>$D$26+($B$33*AK10)</f>
        <v>0.19511827143719807</v>
      </c>
      <c r="AM10" s="37">
        <f t="shared" ref="AM10" si="21">AH10*AJ10*(1-$B$5)</f>
        <v>5.3063885267275103E-2</v>
      </c>
      <c r="AN10" s="45">
        <f t="shared" ref="AN10" si="22">AL10*AI10+AM10</f>
        <v>0.14464482101354798</v>
      </c>
    </row>
    <row r="11" spans="1:40" x14ac:dyDescent="0.2">
      <c r="A11" s="83"/>
      <c r="B11" s="77"/>
      <c r="C11" s="13" t="s">
        <v>41</v>
      </c>
      <c r="D11" s="19">
        <v>5</v>
      </c>
      <c r="E11" s="19">
        <v>0.05</v>
      </c>
      <c r="F11" s="19">
        <f>E11*(1+$F$26)</f>
        <v>5.7499999999999996E-2</v>
      </c>
      <c r="G11" s="19">
        <f t="shared" ref="G11:I11" si="23">F11*(1+$F$26)</f>
        <v>6.6124999999999989E-2</v>
      </c>
      <c r="H11" s="19">
        <f t="shared" si="23"/>
        <v>7.6043749999999979E-2</v>
      </c>
      <c r="I11" s="19">
        <f t="shared" si="23"/>
        <v>8.7450312499999974E-2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2"/>
      <c r="AA11" s="74"/>
      <c r="AB11" s="68"/>
      <c r="AC11" s="68"/>
      <c r="AD11" s="68"/>
      <c r="AE11" s="68"/>
      <c r="AF11" s="66"/>
      <c r="AG11" s="66"/>
      <c r="AH11" s="72"/>
      <c r="AI11" s="72"/>
      <c r="AJ11" s="68"/>
      <c r="AK11" s="68"/>
      <c r="AL11" s="68"/>
      <c r="AM11" s="68"/>
      <c r="AN11" s="70"/>
    </row>
    <row r="12" spans="1:40" x14ac:dyDescent="0.2">
      <c r="A12" s="83"/>
      <c r="B12" s="77"/>
      <c r="C12" s="13" t="s">
        <v>42</v>
      </c>
      <c r="D12" s="19">
        <f>D10-D11</f>
        <v>-5</v>
      </c>
      <c r="E12" s="19">
        <f t="shared" ref="E12" si="24">E10-E11</f>
        <v>1.95</v>
      </c>
      <c r="F12" s="19">
        <f t="shared" ref="F12" si="25">F10-F11</f>
        <v>2.2424999999999997</v>
      </c>
      <c r="G12" s="19">
        <f t="shared" ref="G12" si="26">G10-G11</f>
        <v>2.5788749999999996</v>
      </c>
      <c r="H12" s="19">
        <f t="shared" ref="H12" si="27">H10-H11</f>
        <v>2.9657062499999989</v>
      </c>
      <c r="I12" s="19">
        <f t="shared" ref="I12" si="28">I10-I11</f>
        <v>3.4105621874999987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2"/>
      <c r="AA12" s="74"/>
      <c r="AB12" s="68"/>
      <c r="AC12" s="68"/>
      <c r="AD12" s="68"/>
      <c r="AE12" s="68"/>
      <c r="AF12" s="66"/>
      <c r="AG12" s="66"/>
      <c r="AH12" s="72"/>
      <c r="AI12" s="72"/>
      <c r="AJ12" s="68"/>
      <c r="AK12" s="68"/>
      <c r="AL12" s="68"/>
      <c r="AM12" s="68"/>
      <c r="AN12" s="70"/>
    </row>
    <row r="13" spans="1:40" ht="17" thickBot="1" x14ac:dyDescent="0.25">
      <c r="A13" s="84"/>
      <c r="B13" s="78"/>
      <c r="C13" s="14" t="s">
        <v>43</v>
      </c>
      <c r="D13" s="20">
        <f>SUM($D$12:D12)</f>
        <v>-5</v>
      </c>
      <c r="E13" s="20">
        <f>SUM($D$12:E12)</f>
        <v>-3.05</v>
      </c>
      <c r="F13" s="20">
        <f>SUM($D$12:F12)</f>
        <v>-0.80750000000000011</v>
      </c>
      <c r="G13" s="20">
        <f>SUM($D$12:G12)</f>
        <v>1.7713749999999995</v>
      </c>
      <c r="H13" s="20">
        <f>SUM($D$12:H12)</f>
        <v>4.7370812499999984</v>
      </c>
      <c r="I13" s="20">
        <f>SUM($D$12:I12)</f>
        <v>8.1476434374999975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0"/>
      <c r="AA13" s="75"/>
      <c r="AB13" s="69"/>
      <c r="AC13" s="69"/>
      <c r="AD13" s="69"/>
      <c r="AE13" s="69"/>
      <c r="AF13" s="67"/>
      <c r="AG13" s="67"/>
      <c r="AH13" s="73"/>
      <c r="AI13" s="73"/>
      <c r="AJ13" s="69"/>
      <c r="AK13" s="69"/>
      <c r="AL13" s="69"/>
      <c r="AM13" s="69"/>
      <c r="AN13" s="71"/>
    </row>
    <row r="14" spans="1:40" ht="17" customHeight="1" x14ac:dyDescent="0.2">
      <c r="A14" s="79" t="s">
        <v>2</v>
      </c>
      <c r="B14" s="76" t="s">
        <v>51</v>
      </c>
      <c r="C14" s="12" t="s">
        <v>40</v>
      </c>
      <c r="D14" s="18"/>
      <c r="E14" s="18">
        <v>3.5</v>
      </c>
      <c r="F14" s="18">
        <f>E14*(1+$F$26)</f>
        <v>4.0249999999999995</v>
      </c>
      <c r="G14" s="18">
        <f t="shared" ref="G14:N14" si="29">F14*(1+$F$26)</f>
        <v>4.6287499999999993</v>
      </c>
      <c r="H14" s="18">
        <f t="shared" si="29"/>
        <v>5.3230624999999989</v>
      </c>
      <c r="I14" s="18">
        <f t="shared" si="29"/>
        <v>6.1215218749999982</v>
      </c>
      <c r="J14" s="18">
        <f t="shared" si="29"/>
        <v>7.0397501562499976</v>
      </c>
      <c r="K14" s="18">
        <f t="shared" si="29"/>
        <v>8.0957126796874963</v>
      </c>
      <c r="L14" s="21">
        <f t="shared" si="29"/>
        <v>9.3100695816406205</v>
      </c>
      <c r="M14" s="18">
        <f t="shared" si="29"/>
        <v>10.706580018886713</v>
      </c>
      <c r="N14" s="18">
        <f t="shared" si="29"/>
        <v>12.312567021719719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49"/>
      <c r="AA14" s="33" cm="1">
        <f t="array" ref="AA14">SUM((D14:Z14-D15:Z15)/(1+$D$26:$Z$26)^$D$1:$Z$1)</f>
        <v>20.065217391304351</v>
      </c>
      <c r="AB14" s="34" cm="1">
        <f t="array" ref="AB14">IRR(D14:Z14-D15:Z15)</f>
        <v>0.47898070676358007</v>
      </c>
      <c r="AC14" s="32">
        <f t="shared" ref="AC14" si="30">SUM(D15:Z15)</f>
        <v>11.530371823805273</v>
      </c>
      <c r="AD14" s="35" cm="1">
        <f t="array" ref="AD14">INDEX(D$1:Z$1,MATCH(TRUE,(D17:Z17&gt;=0),0))</f>
        <v>3</v>
      </c>
      <c r="AE14" s="36" cm="1">
        <f t="array" ref="AE14">AVERAGE((E16:Z16)/(1+$E$26:$Z$26)^$E$1:$Z$1)/D15</f>
        <v>0.14146037029332226</v>
      </c>
      <c r="AF14" s="51">
        <f>$B$28</f>
        <v>180</v>
      </c>
      <c r="AG14" s="51">
        <f>$B$29-D15</f>
        <v>154.13636363636363</v>
      </c>
      <c r="AH14" s="44">
        <f>$B$28/($B$29-D15+$B$28)</f>
        <v>0.53870221738538981</v>
      </c>
      <c r="AI14" s="44">
        <f t="shared" ref="AI14" si="31">1-AH14</f>
        <v>0.46129778261461019</v>
      </c>
      <c r="AJ14" s="38">
        <f>0.1</f>
        <v>0.1</v>
      </c>
      <c r="AK14" s="39">
        <f>($B$32+AE14/$D$26*D15/$B$29)*(AI14+AH14*(1-$B$5))/AI14</f>
        <v>0.67489702779594196</v>
      </c>
      <c r="AL14" s="37">
        <f>$D$26+($B$33*AK14)</f>
        <v>0.20049382166775653</v>
      </c>
      <c r="AM14" s="37">
        <f t="shared" ref="AM14" si="32">AH14*AJ14*(1-$B$5)</f>
        <v>5.3870221738538983E-2</v>
      </c>
      <c r="AN14" s="45">
        <f t="shared" ref="AN14" si="33">AL14*AI14+AM14</f>
        <v>0.14635757710180416</v>
      </c>
    </row>
    <row r="15" spans="1:40" x14ac:dyDescent="0.2">
      <c r="A15" s="80"/>
      <c r="B15" s="77"/>
      <c r="C15" s="13" t="s">
        <v>41</v>
      </c>
      <c r="D15" s="19">
        <v>9.5</v>
      </c>
      <c r="E15" s="19">
        <v>0.1</v>
      </c>
      <c r="F15" s="19">
        <f>E15*(1+$F$26)</f>
        <v>0.11499999999999999</v>
      </c>
      <c r="G15" s="19">
        <f t="shared" ref="G15:N15" si="34">F15*(1+$F$26)</f>
        <v>0.13224999999999998</v>
      </c>
      <c r="H15" s="19">
        <f t="shared" si="34"/>
        <v>0.15208749999999996</v>
      </c>
      <c r="I15" s="19">
        <f t="shared" si="34"/>
        <v>0.17490062499999995</v>
      </c>
      <c r="J15" s="19">
        <f t="shared" si="34"/>
        <v>0.20113571874999991</v>
      </c>
      <c r="K15" s="22">
        <f t="shared" si="34"/>
        <v>0.23130607656249988</v>
      </c>
      <c r="L15" s="23">
        <f t="shared" si="34"/>
        <v>0.26600198804687486</v>
      </c>
      <c r="M15" s="24">
        <f t="shared" si="34"/>
        <v>0.30590228625390609</v>
      </c>
      <c r="N15" s="19">
        <f t="shared" si="34"/>
        <v>0.35178762919199197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2"/>
      <c r="AA15" s="74"/>
      <c r="AB15" s="68"/>
      <c r="AC15" s="68"/>
      <c r="AD15" s="68"/>
      <c r="AE15" s="68"/>
      <c r="AF15" s="66"/>
      <c r="AG15" s="66"/>
      <c r="AH15" s="72"/>
      <c r="AI15" s="72"/>
      <c r="AJ15" s="68"/>
      <c r="AK15" s="68"/>
      <c r="AL15" s="68"/>
      <c r="AM15" s="68"/>
      <c r="AN15" s="70"/>
    </row>
    <row r="16" spans="1:40" x14ac:dyDescent="0.2">
      <c r="A16" s="80"/>
      <c r="B16" s="77"/>
      <c r="C16" s="13" t="s">
        <v>42</v>
      </c>
      <c r="D16" s="19">
        <f>D14-D15</f>
        <v>-9.5</v>
      </c>
      <c r="E16" s="19">
        <f t="shared" ref="E16" si="35">E14-E15</f>
        <v>3.4</v>
      </c>
      <c r="F16" s="19">
        <f t="shared" ref="F16" si="36">F14-F15</f>
        <v>3.9099999999999993</v>
      </c>
      <c r="G16" s="19">
        <f t="shared" ref="G16" si="37">G14-G15</f>
        <v>4.4964999999999993</v>
      </c>
      <c r="H16" s="19">
        <f t="shared" ref="H16" si="38">H14-H15</f>
        <v>5.1709749999999985</v>
      </c>
      <c r="I16" s="19">
        <f t="shared" ref="I16" si="39">I14-I15</f>
        <v>5.946621249999998</v>
      </c>
      <c r="J16" s="19">
        <f t="shared" ref="J16" si="40">J14-J15</f>
        <v>6.8386144374999978</v>
      </c>
      <c r="K16" s="19">
        <f t="shared" ref="K16" si="41">K14-K15</f>
        <v>7.8644066031249968</v>
      </c>
      <c r="L16" s="25">
        <f t="shared" ref="L16" si="42">L14-L15</f>
        <v>9.0440675935937449</v>
      </c>
      <c r="M16" s="19">
        <f t="shared" ref="M16" si="43">M14-M15</f>
        <v>10.400677732632808</v>
      </c>
      <c r="N16" s="19">
        <f t="shared" ref="N16" si="44">N14-N15</f>
        <v>11.960779392527726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2"/>
      <c r="AA16" s="74"/>
      <c r="AB16" s="68"/>
      <c r="AC16" s="68"/>
      <c r="AD16" s="68"/>
      <c r="AE16" s="68"/>
      <c r="AF16" s="66"/>
      <c r="AG16" s="66"/>
      <c r="AH16" s="72"/>
      <c r="AI16" s="72"/>
      <c r="AJ16" s="68"/>
      <c r="AK16" s="68"/>
      <c r="AL16" s="68"/>
      <c r="AM16" s="68"/>
      <c r="AN16" s="70"/>
    </row>
    <row r="17" spans="1:40" ht="17" thickBot="1" x14ac:dyDescent="0.25">
      <c r="A17" s="80"/>
      <c r="B17" s="78"/>
      <c r="C17" s="14" t="s">
        <v>43</v>
      </c>
      <c r="D17" s="20">
        <f>SUM($D$16:D16)</f>
        <v>-9.5</v>
      </c>
      <c r="E17" s="20">
        <f>SUM($D$16:E16)</f>
        <v>-6.1</v>
      </c>
      <c r="F17" s="20">
        <f>SUM($D$16:F16)</f>
        <v>-2.1900000000000004</v>
      </c>
      <c r="G17" s="20">
        <f>SUM($D$16:G16)</f>
        <v>2.3064999999999989</v>
      </c>
      <c r="H17" s="20">
        <f>SUM($D$16:H16)</f>
        <v>7.4774749999999974</v>
      </c>
      <c r="I17" s="20">
        <f>SUM($D$16:I16)</f>
        <v>13.424096249999995</v>
      </c>
      <c r="J17" s="20">
        <f>SUM($D$16:J16)</f>
        <v>20.262710687499993</v>
      </c>
      <c r="K17" s="20">
        <f>SUM($D$16:K16)</f>
        <v>28.127117290624991</v>
      </c>
      <c r="L17" s="20">
        <f>SUM($D$16:L16)</f>
        <v>37.171184884218732</v>
      </c>
      <c r="M17" s="20">
        <f>SUM($D$16:M16)</f>
        <v>47.57186261685154</v>
      </c>
      <c r="N17" s="20">
        <f>SUM($D$16:N16)</f>
        <v>59.532642009379266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0"/>
      <c r="AA17" s="75"/>
      <c r="AB17" s="69"/>
      <c r="AC17" s="69"/>
      <c r="AD17" s="69"/>
      <c r="AE17" s="69"/>
      <c r="AF17" s="67"/>
      <c r="AG17" s="67"/>
      <c r="AH17" s="73"/>
      <c r="AI17" s="73"/>
      <c r="AJ17" s="69"/>
      <c r="AK17" s="69"/>
      <c r="AL17" s="69"/>
      <c r="AM17" s="69"/>
      <c r="AN17" s="71"/>
    </row>
    <row r="18" spans="1:40" x14ac:dyDescent="0.2">
      <c r="A18" s="80"/>
      <c r="B18" s="76" t="s">
        <v>52</v>
      </c>
      <c r="C18" s="12" t="s">
        <v>40</v>
      </c>
      <c r="D18" s="18"/>
      <c r="E18" s="18">
        <v>1.32</v>
      </c>
      <c r="F18" s="18">
        <f>E18*(1+$F$26)</f>
        <v>1.518</v>
      </c>
      <c r="G18" s="18">
        <f t="shared" ref="G18:I18" si="45">F18*(1+$F$26)</f>
        <v>1.7456999999999998</v>
      </c>
      <c r="H18" s="18">
        <f t="shared" si="45"/>
        <v>2.0075549999999995</v>
      </c>
      <c r="I18" s="18">
        <f t="shared" si="45"/>
        <v>2.3086882499999994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49"/>
      <c r="AA18" s="33" cm="1">
        <f t="array" ref="AA18">SUM((D18:Z18-D19:Z19)/(1+$D$26:$Z$26)^$D$1:$Z$1)</f>
        <v>1.6326086956521748</v>
      </c>
      <c r="AB18" s="34" cm="1">
        <f t="array" ref="AB18">IRR(D18:Z18-D19:Z19)</f>
        <v>0.31214019071283294</v>
      </c>
      <c r="AC18" s="32">
        <f t="shared" ref="AC18" si="46">SUM(D19:Z19)</f>
        <v>4.4130247999999996</v>
      </c>
      <c r="AD18" s="35" cm="1">
        <f t="array" ref="AD18">INDEX(D$1:Z$1,MATCH(TRUE,(D21:Z21&gt;=0),0))</f>
        <v>3</v>
      </c>
      <c r="AE18" s="36" cm="1">
        <f t="array" ref="AE18">AVERAGE((E20:Z20)/(1+$E$26:$Z$26)^$E$1:$Z$1)/D19</f>
        <v>6.6358626064688536E-2</v>
      </c>
      <c r="AF18" s="51">
        <f>$B$28+D19</f>
        <v>183.55</v>
      </c>
      <c r="AG18" s="51">
        <f>$B$29</f>
        <v>163.63636363636363</v>
      </c>
      <c r="AH18" s="44">
        <f>($B$28+D19)/($B$29+$B$28+D19)</f>
        <v>0.52867859808067452</v>
      </c>
      <c r="AI18" s="44">
        <f t="shared" ref="AI18" si="47">1-AH18</f>
        <v>0.47132140191932548</v>
      </c>
      <c r="AJ18" s="38">
        <f>0.1</f>
        <v>0.1</v>
      </c>
      <c r="AK18" s="39">
        <f>($B$32+AE18/$D$26*D19/$B$29)*(AI18+AH18*(1-$B$5))/AI18</f>
        <v>0.57073068068974775</v>
      </c>
      <c r="AL18" s="37">
        <f>$D$26+($B$33*AK18)</f>
        <v>0.19424384084138485</v>
      </c>
      <c r="AM18" s="37">
        <f t="shared" ref="AM18" si="48">AH18*AJ18*(1-$B$5)</f>
        <v>5.2867859808067456E-2</v>
      </c>
      <c r="AN18" s="45">
        <f t="shared" ref="AN18" si="49">AL18*AI18+AM18</f>
        <v>0.14441913918762331</v>
      </c>
    </row>
    <row r="19" spans="1:40" x14ac:dyDescent="0.2">
      <c r="A19" s="80"/>
      <c r="B19" s="77"/>
      <c r="C19" s="13" t="s">
        <v>41</v>
      </c>
      <c r="D19" s="19">
        <v>3.55</v>
      </c>
      <c r="E19" s="19">
        <v>0.128</v>
      </c>
      <c r="F19" s="19">
        <f>E19*(1+$F$26)</f>
        <v>0.1472</v>
      </c>
      <c r="G19" s="19">
        <f t="shared" ref="G19:I19" si="50">F19*(1+$F$26)</f>
        <v>0.16927999999999999</v>
      </c>
      <c r="H19" s="19">
        <f t="shared" si="50"/>
        <v>0.19467199999999996</v>
      </c>
      <c r="I19" s="19">
        <f t="shared" si="50"/>
        <v>0.22387279999999993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2"/>
      <c r="AA19" s="74"/>
      <c r="AB19" s="68"/>
      <c r="AC19" s="68"/>
      <c r="AD19" s="68"/>
      <c r="AE19" s="68"/>
      <c r="AF19" s="66"/>
      <c r="AG19" s="66"/>
      <c r="AH19" s="72"/>
      <c r="AI19" s="72"/>
      <c r="AJ19" s="68"/>
      <c r="AK19" s="68"/>
      <c r="AL19" s="68"/>
      <c r="AM19" s="68"/>
      <c r="AN19" s="70"/>
    </row>
    <row r="20" spans="1:40" x14ac:dyDescent="0.2">
      <c r="A20" s="80"/>
      <c r="B20" s="77"/>
      <c r="C20" s="13" t="s">
        <v>42</v>
      </c>
      <c r="D20" s="19">
        <f>D18-D19</f>
        <v>-3.55</v>
      </c>
      <c r="E20" s="19">
        <f t="shared" ref="E20" si="51">E18-E19</f>
        <v>1.1920000000000002</v>
      </c>
      <c r="F20" s="19">
        <f t="shared" ref="F20" si="52">F18-F19</f>
        <v>1.3708</v>
      </c>
      <c r="G20" s="19">
        <f t="shared" ref="G20" si="53">G18-G19</f>
        <v>1.5764199999999997</v>
      </c>
      <c r="H20" s="19">
        <f t="shared" ref="H20" si="54">H18-H19</f>
        <v>1.8128829999999996</v>
      </c>
      <c r="I20" s="19">
        <f t="shared" ref="I20" si="55">I18-I19</f>
        <v>2.0848154499999993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2"/>
      <c r="AA20" s="74"/>
      <c r="AB20" s="68"/>
      <c r="AC20" s="68"/>
      <c r="AD20" s="68"/>
      <c r="AE20" s="68"/>
      <c r="AF20" s="66"/>
      <c r="AG20" s="66"/>
      <c r="AH20" s="72"/>
      <c r="AI20" s="72"/>
      <c r="AJ20" s="68"/>
      <c r="AK20" s="68"/>
      <c r="AL20" s="68"/>
      <c r="AM20" s="68"/>
      <c r="AN20" s="70"/>
    </row>
    <row r="21" spans="1:40" ht="17" thickBot="1" x14ac:dyDescent="0.25">
      <c r="A21" s="81"/>
      <c r="B21" s="78"/>
      <c r="C21" s="14" t="s">
        <v>43</v>
      </c>
      <c r="D21" s="20">
        <f>SUM($D$20:D20)</f>
        <v>-3.55</v>
      </c>
      <c r="E21" s="20">
        <f>SUM($D$20:E20)</f>
        <v>-2.3579999999999997</v>
      </c>
      <c r="F21" s="20">
        <f>SUM($D$20:F20)</f>
        <v>-0.98719999999999963</v>
      </c>
      <c r="G21" s="20">
        <f>SUM($D$20:G20)</f>
        <v>0.58922000000000008</v>
      </c>
      <c r="H21" s="20">
        <f>SUM($D$20:H20)</f>
        <v>2.4021029999999994</v>
      </c>
      <c r="I21" s="20">
        <f>SUM($D$20:I20)</f>
        <v>4.4869184499999992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0"/>
      <c r="AA21" s="75"/>
      <c r="AB21" s="69"/>
      <c r="AC21" s="69"/>
      <c r="AD21" s="69"/>
      <c r="AE21" s="69"/>
      <c r="AF21" s="67"/>
      <c r="AG21" s="67"/>
      <c r="AH21" s="73"/>
      <c r="AI21" s="73"/>
      <c r="AJ21" s="69"/>
      <c r="AK21" s="69"/>
      <c r="AL21" s="69"/>
      <c r="AM21" s="69"/>
      <c r="AN21" s="71"/>
    </row>
    <row r="22" spans="1:40" x14ac:dyDescent="0.2">
      <c r="A22" s="79" t="s">
        <v>3</v>
      </c>
      <c r="B22" s="76" t="s">
        <v>53</v>
      </c>
      <c r="C22" s="12" t="s">
        <v>40</v>
      </c>
      <c r="D22" s="18"/>
      <c r="E22" s="18">
        <v>2.25</v>
      </c>
      <c r="F22" s="18">
        <f>E22*(1+$F$26)</f>
        <v>2.5874999999999999</v>
      </c>
      <c r="G22" s="18">
        <f t="shared" ref="G22:I22" si="56">F22*(1+$F$26)</f>
        <v>2.9756249999999995</v>
      </c>
      <c r="H22" s="18">
        <f t="shared" si="56"/>
        <v>3.4219687499999991</v>
      </c>
      <c r="I22" s="18">
        <f t="shared" si="56"/>
        <v>3.9352640624999986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9"/>
      <c r="AA22" s="33" cm="1">
        <f t="array" ref="AA22">SUM((D22:Z22-D23:Z23)/(1+$D$26:$Z$26)^$D$1:$Z$1)</f>
        <v>5.8791304347826099</v>
      </c>
      <c r="AB22" s="34" cm="1">
        <f t="array" ref="AB22">IRR(D22:Z22-D23:Z23)</f>
        <v>0.77185419938104216</v>
      </c>
      <c r="AC22" s="32">
        <f>SUM(D23:Z23)</f>
        <v>4.4781714999999993</v>
      </c>
      <c r="AD22" s="35" cm="1">
        <f t="array" ref="AD22">INDEX(D$1:Z$1,MATCH(TRUE,(D25:Z25&gt;=0),0))</f>
        <v>2</v>
      </c>
      <c r="AE22" s="36" cm="1">
        <f t="array" ref="AE22">AVERAGE((E24:Z24)/(1+$E$26:$Z$26)^$E$1:$Z$1)/D23</f>
        <v>0.13889272782553416</v>
      </c>
      <c r="AF22" s="51">
        <f>$B$28+D23</f>
        <v>182.86</v>
      </c>
      <c r="AG22" s="51">
        <f>$B$29</f>
        <v>163.63636363636363</v>
      </c>
      <c r="AH22" s="44">
        <f>(D23+$B$28)/($B$29+$B$28+D23)</f>
        <v>0.52774002613171855</v>
      </c>
      <c r="AI22" s="44">
        <f t="shared" ref="AI22" si="57">1-AH22</f>
        <v>0.47225997386828145</v>
      </c>
      <c r="AJ22" s="38">
        <f>0.1</f>
        <v>0.1</v>
      </c>
      <c r="AK22" s="39">
        <f>($B$32+AE22/$D$26*D23/$B$29)*(AI22+AH22*(1-$B$5))/AI22</f>
        <v>0.58267080988325293</v>
      </c>
      <c r="AL22" s="37">
        <f>$D$26+($B$33*AK22)</f>
        <v>0.19496024859299518</v>
      </c>
      <c r="AM22" s="37">
        <f t="shared" ref="AM22" si="58">AH22*AJ22*(1-$B$5)</f>
        <v>5.2774002613171861E-2</v>
      </c>
      <c r="AN22" s="45">
        <f t="shared" ref="AN22" si="59">AL22*AI22+AM22</f>
        <v>0.14484592451905343</v>
      </c>
    </row>
    <row r="23" spans="1:40" x14ac:dyDescent="0.2">
      <c r="A23" s="80"/>
      <c r="B23" s="77"/>
      <c r="C23" s="13" t="s">
        <v>41</v>
      </c>
      <c r="D23" s="19">
        <v>2.86</v>
      </c>
      <c r="E23" s="19">
        <v>0.24</v>
      </c>
      <c r="F23" s="19">
        <f>E23*(1+$F$26)</f>
        <v>0.27599999999999997</v>
      </c>
      <c r="G23" s="19">
        <f t="shared" ref="G23:I23" si="60">F23*(1+$F$26)</f>
        <v>0.31739999999999996</v>
      </c>
      <c r="H23" s="19">
        <f t="shared" si="60"/>
        <v>0.36500999999999995</v>
      </c>
      <c r="I23" s="19">
        <f t="shared" si="60"/>
        <v>0.4197614999999999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2"/>
      <c r="AA23" s="74"/>
      <c r="AB23" s="68"/>
      <c r="AC23" s="68"/>
      <c r="AD23" s="68"/>
      <c r="AE23" s="68"/>
      <c r="AF23" s="66"/>
      <c r="AG23" s="66"/>
      <c r="AH23" s="72"/>
      <c r="AI23" s="72"/>
      <c r="AJ23" s="68"/>
      <c r="AK23" s="68"/>
      <c r="AL23" s="68"/>
      <c r="AM23" s="68"/>
      <c r="AN23" s="70"/>
    </row>
    <row r="24" spans="1:40" x14ac:dyDescent="0.2">
      <c r="A24" s="80"/>
      <c r="B24" s="77"/>
      <c r="C24" s="13" t="s">
        <v>42</v>
      </c>
      <c r="D24" s="19">
        <f>D22-D23</f>
        <v>-2.86</v>
      </c>
      <c r="E24" s="19">
        <f t="shared" ref="E24" si="61">E22-E23</f>
        <v>2.0099999999999998</v>
      </c>
      <c r="F24" s="19">
        <f t="shared" ref="F24" si="62">F22-F23</f>
        <v>2.3115000000000001</v>
      </c>
      <c r="G24" s="19">
        <f t="shared" ref="G24" si="63">G22-G23</f>
        <v>2.6582249999999994</v>
      </c>
      <c r="H24" s="19">
        <f t="shared" ref="H24" si="64">H22-H23</f>
        <v>3.0569587499999993</v>
      </c>
      <c r="I24" s="19">
        <f t="shared" ref="I24" si="65">I22-I23</f>
        <v>3.5155025624999987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2"/>
      <c r="AA24" s="74"/>
      <c r="AB24" s="68"/>
      <c r="AC24" s="68"/>
      <c r="AD24" s="68"/>
      <c r="AE24" s="68"/>
      <c r="AF24" s="66"/>
      <c r="AG24" s="66"/>
      <c r="AH24" s="72"/>
      <c r="AI24" s="72"/>
      <c r="AJ24" s="68"/>
      <c r="AK24" s="68"/>
      <c r="AL24" s="68"/>
      <c r="AM24" s="68"/>
      <c r="AN24" s="70"/>
    </row>
    <row r="25" spans="1:40" ht="17" thickBot="1" x14ac:dyDescent="0.25">
      <c r="A25" s="81"/>
      <c r="B25" s="78"/>
      <c r="C25" s="14" t="s">
        <v>43</v>
      </c>
      <c r="D25" s="20">
        <f>SUM($D$24:D24)</f>
        <v>-2.86</v>
      </c>
      <c r="E25" s="20">
        <f>SUM($D$24:E24)</f>
        <v>-0.85000000000000009</v>
      </c>
      <c r="F25" s="20">
        <f>SUM($D$24:F24)</f>
        <v>1.4615</v>
      </c>
      <c r="G25" s="20">
        <f>SUM($D$24:G24)</f>
        <v>4.119724999999999</v>
      </c>
      <c r="H25" s="20">
        <f>SUM($D$24:H24)</f>
        <v>7.1766837499999987</v>
      </c>
      <c r="I25" s="20">
        <f>SUM($D$24:I24)</f>
        <v>10.692186312499997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0"/>
      <c r="AA25" s="75"/>
      <c r="AB25" s="69"/>
      <c r="AC25" s="69"/>
      <c r="AD25" s="69"/>
      <c r="AE25" s="69"/>
      <c r="AF25" s="67"/>
      <c r="AG25" s="67"/>
      <c r="AH25" s="73"/>
      <c r="AI25" s="73"/>
      <c r="AJ25" s="69"/>
      <c r="AK25" s="69"/>
      <c r="AL25" s="69"/>
      <c r="AM25" s="69"/>
      <c r="AN25" s="71"/>
    </row>
    <row r="26" spans="1:40" x14ac:dyDescent="0.2">
      <c r="A26" t="s">
        <v>27</v>
      </c>
      <c r="D26" s="6">
        <v>0.16</v>
      </c>
      <c r="E26" s="6">
        <v>0.15</v>
      </c>
      <c r="F26" s="6">
        <v>0.15</v>
      </c>
      <c r="G26" s="6">
        <v>0.15</v>
      </c>
      <c r="H26" s="6">
        <v>0.15</v>
      </c>
      <c r="I26" s="6">
        <v>0.15</v>
      </c>
      <c r="J26" s="6">
        <v>0.15</v>
      </c>
      <c r="K26" s="6">
        <v>0.15</v>
      </c>
      <c r="L26" s="6">
        <v>0.15</v>
      </c>
      <c r="M26" s="6">
        <v>0.15</v>
      </c>
      <c r="N26" s="6">
        <v>0.15</v>
      </c>
      <c r="O26" s="6">
        <v>0.15</v>
      </c>
      <c r="P26" s="6">
        <v>0.15</v>
      </c>
      <c r="Q26" s="6">
        <v>0.15</v>
      </c>
      <c r="R26" s="6">
        <v>0.15</v>
      </c>
      <c r="S26" s="6">
        <v>0.15</v>
      </c>
      <c r="T26" s="6">
        <v>0.15</v>
      </c>
      <c r="U26" s="6">
        <v>0.15</v>
      </c>
      <c r="V26" s="6">
        <v>0.15</v>
      </c>
      <c r="W26" s="6">
        <v>0.15</v>
      </c>
      <c r="X26" s="6">
        <v>0.15</v>
      </c>
      <c r="Y26" s="6">
        <v>0.15</v>
      </c>
      <c r="Z26" s="6">
        <v>0.15</v>
      </c>
    </row>
    <row r="27" spans="1:40" ht="17" thickBot="1" x14ac:dyDescent="0.25"/>
    <row r="28" spans="1:40" ht="34" x14ac:dyDescent="0.2">
      <c r="A28" s="26" t="s">
        <v>44</v>
      </c>
      <c r="B28" s="27">
        <v>180</v>
      </c>
    </row>
    <row r="29" spans="1:40" ht="34" x14ac:dyDescent="0.2">
      <c r="A29" s="28" t="s">
        <v>45</v>
      </c>
      <c r="B29" s="43">
        <f>B28/1.1</f>
        <v>163.63636363636363</v>
      </c>
    </row>
    <row r="30" spans="1:40" ht="17" x14ac:dyDescent="0.2">
      <c r="A30" s="28" t="s">
        <v>37</v>
      </c>
      <c r="B30" s="29">
        <f>B28/B29</f>
        <v>1.1000000000000001</v>
      </c>
    </row>
    <row r="31" spans="1:40" ht="17" x14ac:dyDescent="0.2">
      <c r="A31" s="28" t="s">
        <v>38</v>
      </c>
      <c r="B31" s="29">
        <v>0.2</v>
      </c>
    </row>
    <row r="32" spans="1:40" ht="34" x14ac:dyDescent="0.2">
      <c r="A32" s="28" t="s">
        <v>39</v>
      </c>
      <c r="B32" s="29">
        <v>0.26</v>
      </c>
    </row>
    <row r="33" spans="1:2" ht="35" thickBot="1" x14ac:dyDescent="0.25">
      <c r="A33" s="30" t="s">
        <v>35</v>
      </c>
      <c r="B33" s="31">
        <v>0.06</v>
      </c>
    </row>
  </sheetData>
  <mergeCells count="93">
    <mergeCell ref="AD3:AD5"/>
    <mergeCell ref="AE3:AE5"/>
    <mergeCell ref="AH3:AH5"/>
    <mergeCell ref="AI3:AI5"/>
    <mergeCell ref="B2:B5"/>
    <mergeCell ref="AA3:AA5"/>
    <mergeCell ref="AB3:AB5"/>
    <mergeCell ref="AC3:AC5"/>
    <mergeCell ref="A14:A21"/>
    <mergeCell ref="A22:A25"/>
    <mergeCell ref="B22:B25"/>
    <mergeCell ref="AA11:AA13"/>
    <mergeCell ref="AA15:AA17"/>
    <mergeCell ref="B10:B13"/>
    <mergeCell ref="A2:A13"/>
    <mergeCell ref="AL7:AL9"/>
    <mergeCell ref="AM7:AM9"/>
    <mergeCell ref="AN7:AN9"/>
    <mergeCell ref="B14:B17"/>
    <mergeCell ref="B18:B21"/>
    <mergeCell ref="B6:B9"/>
    <mergeCell ref="AH7:AH9"/>
    <mergeCell ref="AI7:AI9"/>
    <mergeCell ref="AJ7:AJ9"/>
    <mergeCell ref="AK7:AK9"/>
    <mergeCell ref="AI19:AI21"/>
    <mergeCell ref="AJ19:AJ21"/>
    <mergeCell ref="AK19:AK21"/>
    <mergeCell ref="AH11:AH13"/>
    <mergeCell ref="AI11:AI13"/>
    <mergeCell ref="AJ11:AJ13"/>
    <mergeCell ref="AJ3:AJ5"/>
    <mergeCell ref="AK3:AK5"/>
    <mergeCell ref="AL3:AL5"/>
    <mergeCell ref="AM3:AM5"/>
    <mergeCell ref="AN3:AN5"/>
    <mergeCell ref="AE7:AE9"/>
    <mergeCell ref="AB11:AB13"/>
    <mergeCell ref="AC11:AC13"/>
    <mergeCell ref="AD11:AD13"/>
    <mergeCell ref="AE11:AE13"/>
    <mergeCell ref="AA19:AA21"/>
    <mergeCell ref="AA23:AA25"/>
    <mergeCell ref="AB7:AB9"/>
    <mergeCell ref="AC7:AC9"/>
    <mergeCell ref="AD7:AD9"/>
    <mergeCell ref="AA7:AA9"/>
    <mergeCell ref="AK11:AK13"/>
    <mergeCell ref="AL11:AL13"/>
    <mergeCell ref="AM11:AM13"/>
    <mergeCell ref="AN11:AN13"/>
    <mergeCell ref="AB15:AB17"/>
    <mergeCell ref="AC15:AC17"/>
    <mergeCell ref="AD15:AD17"/>
    <mergeCell ref="AE15:AE17"/>
    <mergeCell ref="AH15:AH17"/>
    <mergeCell ref="AI15:AI17"/>
    <mergeCell ref="AK15:AK17"/>
    <mergeCell ref="AL15:AL17"/>
    <mergeCell ref="AM15:AM17"/>
    <mergeCell ref="AN15:AN17"/>
    <mergeCell ref="AB19:AB21"/>
    <mergeCell ref="AC19:AC21"/>
    <mergeCell ref="AD19:AD21"/>
    <mergeCell ref="AE19:AE21"/>
    <mergeCell ref="AH19:AH21"/>
    <mergeCell ref="AL19:AL21"/>
    <mergeCell ref="AB23:AB25"/>
    <mergeCell ref="AC23:AC25"/>
    <mergeCell ref="AD23:AD25"/>
    <mergeCell ref="AE23:AE25"/>
    <mergeCell ref="AH23:AH25"/>
    <mergeCell ref="AL23:AL25"/>
    <mergeCell ref="AM23:AM25"/>
    <mergeCell ref="AN23:AN25"/>
    <mergeCell ref="AF3:AF5"/>
    <mergeCell ref="AG3:AG5"/>
    <mergeCell ref="AF7:AF9"/>
    <mergeCell ref="AG7:AG9"/>
    <mergeCell ref="AF11:AF13"/>
    <mergeCell ref="AG11:AG13"/>
    <mergeCell ref="AF15:AF17"/>
    <mergeCell ref="AM19:AM21"/>
    <mergeCell ref="AN19:AN21"/>
    <mergeCell ref="AI23:AI25"/>
    <mergeCell ref="AJ23:AJ25"/>
    <mergeCell ref="AK23:AK25"/>
    <mergeCell ref="AJ15:AJ17"/>
    <mergeCell ref="AG15:AG17"/>
    <mergeCell ref="AF19:AF21"/>
    <mergeCell ref="AG19:AG21"/>
    <mergeCell ref="AF23:AF25"/>
    <mergeCell ref="AG23:A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7F1-1903-6A41-BC6F-647C91E1F392}">
  <dimension ref="A1:Z40"/>
  <sheetViews>
    <sheetView workbookViewId="0">
      <selection activeCell="AA23" sqref="AA23"/>
    </sheetView>
  </sheetViews>
  <sheetFormatPr baseColWidth="10" defaultRowHeight="16" x14ac:dyDescent="0.2"/>
  <sheetData>
    <row r="1" spans="1:26" ht="35" thickBot="1" x14ac:dyDescent="0.25">
      <c r="A1" s="10" t="s">
        <v>0</v>
      </c>
      <c r="B1" s="82" t="s">
        <v>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79" t="s">
        <v>2</v>
      </c>
      <c r="O1" s="80"/>
      <c r="P1" s="80"/>
      <c r="Q1" s="80"/>
      <c r="R1" s="80"/>
      <c r="S1" s="80"/>
      <c r="T1" s="80"/>
      <c r="U1" s="81"/>
      <c r="V1" s="79" t="s">
        <v>3</v>
      </c>
      <c r="W1" s="80"/>
      <c r="X1" s="80"/>
      <c r="Y1" s="81"/>
      <c r="Z1" t="s">
        <v>27</v>
      </c>
    </row>
    <row r="2" spans="1:26" ht="18" thickBot="1" x14ac:dyDescent="0.25">
      <c r="A2" s="15" t="s">
        <v>10</v>
      </c>
      <c r="B2" s="76" t="s">
        <v>48</v>
      </c>
      <c r="C2" s="77"/>
      <c r="D2" s="77"/>
      <c r="E2" s="78"/>
      <c r="F2" s="76" t="s">
        <v>49</v>
      </c>
      <c r="G2" s="77"/>
      <c r="H2" s="77"/>
      <c r="I2" s="78"/>
      <c r="J2" s="76" t="s">
        <v>50</v>
      </c>
      <c r="K2" s="77"/>
      <c r="L2" s="77"/>
      <c r="M2" s="78"/>
      <c r="N2" s="76" t="s">
        <v>51</v>
      </c>
      <c r="O2" s="77"/>
      <c r="P2" s="77"/>
      <c r="Q2" s="78"/>
      <c r="R2" s="76" t="s">
        <v>52</v>
      </c>
      <c r="S2" s="77"/>
      <c r="T2" s="77"/>
      <c r="U2" s="78"/>
      <c r="V2" s="76" t="s">
        <v>53</v>
      </c>
      <c r="W2" s="77"/>
      <c r="X2" s="77"/>
      <c r="Y2" s="78"/>
    </row>
    <row r="3" spans="1:26" ht="17" thickBot="1" x14ac:dyDescent="0.25">
      <c r="A3" s="11" t="s">
        <v>28</v>
      </c>
      <c r="B3" s="12" t="s">
        <v>40</v>
      </c>
      <c r="C3" s="13" t="s">
        <v>41</v>
      </c>
      <c r="D3" s="13" t="s">
        <v>42</v>
      </c>
      <c r="E3" s="14" t="s">
        <v>43</v>
      </c>
      <c r="F3" s="12" t="s">
        <v>40</v>
      </c>
      <c r="G3" s="13" t="s">
        <v>41</v>
      </c>
      <c r="H3" s="13" t="s">
        <v>42</v>
      </c>
      <c r="I3" s="14" t="s">
        <v>43</v>
      </c>
      <c r="J3" s="12" t="s">
        <v>40</v>
      </c>
      <c r="K3" s="13" t="s">
        <v>41</v>
      </c>
      <c r="L3" s="13" t="s">
        <v>42</v>
      </c>
      <c r="M3" s="14" t="s">
        <v>43</v>
      </c>
      <c r="N3" s="12" t="s">
        <v>40</v>
      </c>
      <c r="O3" s="13" t="s">
        <v>41</v>
      </c>
      <c r="P3" s="13" t="s">
        <v>42</v>
      </c>
      <c r="Q3" s="14" t="s">
        <v>43</v>
      </c>
      <c r="R3" s="12" t="s">
        <v>40</v>
      </c>
      <c r="S3" s="13" t="s">
        <v>41</v>
      </c>
      <c r="T3" s="13" t="s">
        <v>42</v>
      </c>
      <c r="U3" s="14" t="s">
        <v>43</v>
      </c>
      <c r="V3" s="12" t="s">
        <v>40</v>
      </c>
      <c r="W3" s="13" t="s">
        <v>41</v>
      </c>
      <c r="X3" s="13" t="s">
        <v>42</v>
      </c>
      <c r="Y3" s="14" t="s">
        <v>43</v>
      </c>
    </row>
    <row r="4" spans="1:26" ht="17" thickBot="1" x14ac:dyDescent="0.25">
      <c r="A4" s="7">
        <v>0</v>
      </c>
      <c r="B4" s="16"/>
      <c r="C4" s="3">
        <v>25</v>
      </c>
      <c r="D4" s="3">
        <f>B4-C4</f>
        <v>-25</v>
      </c>
      <c r="E4" s="17">
        <f>SUM($D$4:D4)</f>
        <v>-25</v>
      </c>
      <c r="F4" s="18"/>
      <c r="G4" s="19">
        <v>10</v>
      </c>
      <c r="H4" s="19">
        <f>F4-G4</f>
        <v>-10</v>
      </c>
      <c r="I4" s="20">
        <f>SUM($H$4:H4)</f>
        <v>-10</v>
      </c>
      <c r="J4" s="18"/>
      <c r="K4" s="19">
        <v>5</v>
      </c>
      <c r="L4" s="19">
        <f>J4-K4</f>
        <v>-5</v>
      </c>
      <c r="M4" s="20">
        <f>SUM($L$4:L4)</f>
        <v>-5</v>
      </c>
      <c r="N4" s="18"/>
      <c r="O4" s="19">
        <v>9.5</v>
      </c>
      <c r="P4" s="19">
        <f>N4-O4</f>
        <v>-9.5</v>
      </c>
      <c r="Q4" s="20">
        <f>SUM($P$4:P4)</f>
        <v>-9.5</v>
      </c>
      <c r="R4" s="18"/>
      <c r="S4" s="19">
        <v>3.55</v>
      </c>
      <c r="T4" s="19">
        <f>R4-S4</f>
        <v>-3.55</v>
      </c>
      <c r="U4" s="20">
        <f>SUM($T$4:T4)</f>
        <v>-3.55</v>
      </c>
      <c r="V4" s="18"/>
      <c r="W4" s="19">
        <v>2.86</v>
      </c>
      <c r="X4" s="19">
        <f>V4-W4</f>
        <v>-2.86</v>
      </c>
      <c r="Y4" s="20">
        <f>SUM($X$4:X4)</f>
        <v>-2.86</v>
      </c>
      <c r="Z4" s="6">
        <v>0.16</v>
      </c>
    </row>
    <row r="5" spans="1:26" ht="17" thickBot="1" x14ac:dyDescent="0.25">
      <c r="A5" s="7">
        <v>1</v>
      </c>
      <c r="B5" s="16">
        <f>C4*30%</f>
        <v>7.5</v>
      </c>
      <c r="C5" s="3">
        <v>0.1</v>
      </c>
      <c r="D5" s="3">
        <f>B5-C5</f>
        <v>7.4</v>
      </c>
      <c r="E5" s="17">
        <f>SUM($D$4:D5)</f>
        <v>-17.600000000000001</v>
      </c>
      <c r="F5" s="18">
        <f>G4*40%</f>
        <v>4</v>
      </c>
      <c r="G5" s="19">
        <v>0.2</v>
      </c>
      <c r="H5" s="19">
        <f>F5-G5</f>
        <v>3.8</v>
      </c>
      <c r="I5" s="20">
        <f>SUM($H$4:H5)</f>
        <v>-6.2</v>
      </c>
      <c r="J5" s="18">
        <f>K4*40%</f>
        <v>2</v>
      </c>
      <c r="K5" s="19">
        <v>0.05</v>
      </c>
      <c r="L5" s="19">
        <f>J5-K5</f>
        <v>1.95</v>
      </c>
      <c r="M5" s="20">
        <f>SUM($L$4:L5)</f>
        <v>-3.05</v>
      </c>
      <c r="N5" s="18">
        <v>3.5</v>
      </c>
      <c r="O5" s="19">
        <v>0.1</v>
      </c>
      <c r="P5" s="19">
        <f>N5-O5</f>
        <v>3.4</v>
      </c>
      <c r="Q5" s="20">
        <f>SUM($P$4:P5)</f>
        <v>-6.1</v>
      </c>
      <c r="R5" s="18">
        <v>1.32</v>
      </c>
      <c r="S5" s="19">
        <v>0.128</v>
      </c>
      <c r="T5" s="19">
        <f>R5-S5</f>
        <v>1.1920000000000002</v>
      </c>
      <c r="U5" s="20">
        <f>SUM($T$4:T5)</f>
        <v>-2.3579999999999997</v>
      </c>
      <c r="V5" s="18">
        <v>2.25</v>
      </c>
      <c r="W5" s="19">
        <v>0.24</v>
      </c>
      <c r="X5" s="19">
        <f>V5-W5</f>
        <v>2.0099999999999998</v>
      </c>
      <c r="Y5" s="20">
        <f>SUM($X$4:X5)</f>
        <v>-0.85000000000000009</v>
      </c>
      <c r="Z5" s="6">
        <v>0.15</v>
      </c>
    </row>
    <row r="6" spans="1:26" ht="17" thickBot="1" x14ac:dyDescent="0.25">
      <c r="A6" s="7">
        <v>2</v>
      </c>
      <c r="B6" s="16">
        <f>B5*(1+$Z$6)</f>
        <v>8.625</v>
      </c>
      <c r="C6" s="3">
        <f>C5*(1+$Z$6)</f>
        <v>0.11499999999999999</v>
      </c>
      <c r="D6" s="3">
        <f>B6-C6</f>
        <v>8.51</v>
      </c>
      <c r="E6" s="17">
        <f>SUM($D$4:D6)</f>
        <v>-9.0900000000000016</v>
      </c>
      <c r="F6" s="18">
        <f>F5*(1+$Z$6)</f>
        <v>4.5999999999999996</v>
      </c>
      <c r="G6" s="19">
        <f>G5*(1+$Z$6)</f>
        <v>0.22999999999999998</v>
      </c>
      <c r="H6" s="19">
        <f>F6-G6</f>
        <v>4.3699999999999992</v>
      </c>
      <c r="I6" s="20">
        <f>SUM($H$4:H6)</f>
        <v>-1.830000000000001</v>
      </c>
      <c r="J6" s="18">
        <f>J5*(1+$Z$6)</f>
        <v>2.2999999999999998</v>
      </c>
      <c r="K6" s="19">
        <f>K5*(1+$Z$6)</f>
        <v>5.7499999999999996E-2</v>
      </c>
      <c r="L6" s="19">
        <f>J6-K6</f>
        <v>2.2424999999999997</v>
      </c>
      <c r="M6" s="20">
        <f>SUM($L$4:L6)</f>
        <v>-0.80750000000000011</v>
      </c>
      <c r="N6" s="18">
        <f>N5*(1+$Z$6)</f>
        <v>4.0249999999999995</v>
      </c>
      <c r="O6" s="19">
        <f>O5*(1+$Z$6)</f>
        <v>0.11499999999999999</v>
      </c>
      <c r="P6" s="19">
        <f>N6-O6</f>
        <v>3.9099999999999993</v>
      </c>
      <c r="Q6" s="20">
        <f>SUM($P$4:P6)</f>
        <v>-2.1900000000000004</v>
      </c>
      <c r="R6" s="18">
        <f>R5*(1+$Z$6)</f>
        <v>1.518</v>
      </c>
      <c r="S6" s="19">
        <f>S5*(1+$Z$6)</f>
        <v>0.1472</v>
      </c>
      <c r="T6" s="19">
        <f>R6-S6</f>
        <v>1.3708</v>
      </c>
      <c r="U6" s="20">
        <f>SUM($T$4:T6)</f>
        <v>-0.98719999999999963</v>
      </c>
      <c r="V6" s="18">
        <f>V5*(1+$Z$6)</f>
        <v>2.5874999999999999</v>
      </c>
      <c r="W6" s="19">
        <f>W5*(1+$Z$6)</f>
        <v>0.27599999999999997</v>
      </c>
      <c r="X6" s="19">
        <f>V6-W6</f>
        <v>2.3115000000000001</v>
      </c>
      <c r="Y6" s="20">
        <f>SUM($X$4:X6)</f>
        <v>1.4615</v>
      </c>
      <c r="Z6" s="6">
        <v>0.15</v>
      </c>
    </row>
    <row r="7" spans="1:26" ht="17" thickBot="1" x14ac:dyDescent="0.25">
      <c r="A7" s="7">
        <v>3</v>
      </c>
      <c r="B7" s="16">
        <f>B6*(1+$Z$6)</f>
        <v>9.9187499999999993</v>
      </c>
      <c r="C7" s="3">
        <f>C6*(1+$Z$6)</f>
        <v>0.13224999999999998</v>
      </c>
      <c r="D7" s="3">
        <f>B7-C7</f>
        <v>9.7865000000000002</v>
      </c>
      <c r="E7" s="17">
        <f>SUM($D$4:D7)</f>
        <v>0.69649999999999856</v>
      </c>
      <c r="F7" s="18">
        <f>F6*(1+$Z$6)</f>
        <v>5.2899999999999991</v>
      </c>
      <c r="G7" s="19">
        <f>G6*(1+$Z$6)</f>
        <v>0.26449999999999996</v>
      </c>
      <c r="H7" s="19">
        <f>F7-G7</f>
        <v>5.0254999999999992</v>
      </c>
      <c r="I7" s="20">
        <f>SUM($H$4:H7)</f>
        <v>3.1954999999999982</v>
      </c>
      <c r="J7" s="18">
        <f>J6*(1+$Z$6)</f>
        <v>2.6449999999999996</v>
      </c>
      <c r="K7" s="19">
        <f>K6*(1+$Z$6)</f>
        <v>6.6124999999999989E-2</v>
      </c>
      <c r="L7" s="19">
        <f>J7-K7</f>
        <v>2.5788749999999996</v>
      </c>
      <c r="M7" s="20">
        <f>SUM($L$4:L7)</f>
        <v>1.7713749999999995</v>
      </c>
      <c r="N7" s="18">
        <f>N6*(1+$Z$6)</f>
        <v>4.6287499999999993</v>
      </c>
      <c r="O7" s="19">
        <f>O6*(1+$Z$6)</f>
        <v>0.13224999999999998</v>
      </c>
      <c r="P7" s="19">
        <f>N7-O7</f>
        <v>4.4964999999999993</v>
      </c>
      <c r="Q7" s="20">
        <f>SUM($P$4:P7)</f>
        <v>2.3064999999999989</v>
      </c>
      <c r="R7" s="18">
        <f>R6*(1+$Z$6)</f>
        <v>1.7456999999999998</v>
      </c>
      <c r="S7" s="19">
        <f>S6*(1+$Z$6)</f>
        <v>0.16927999999999999</v>
      </c>
      <c r="T7" s="19">
        <f>R7-S7</f>
        <v>1.5764199999999997</v>
      </c>
      <c r="U7" s="20">
        <f>SUM($T$4:T7)</f>
        <v>0.58922000000000008</v>
      </c>
      <c r="V7" s="18">
        <f>V6*(1+$Z$6)</f>
        <v>2.9756249999999995</v>
      </c>
      <c r="W7" s="19">
        <f>W6*(1+$Z$6)</f>
        <v>0.31739999999999996</v>
      </c>
      <c r="X7" s="19">
        <f>V7-W7</f>
        <v>2.6582249999999994</v>
      </c>
      <c r="Y7" s="20">
        <f>SUM($X$4:X7)</f>
        <v>4.119724999999999</v>
      </c>
      <c r="Z7" s="6">
        <v>0.15</v>
      </c>
    </row>
    <row r="8" spans="1:26" ht="17" thickBot="1" x14ac:dyDescent="0.25">
      <c r="A8" s="7">
        <v>4</v>
      </c>
      <c r="B8" s="16">
        <f>B7*(1+$Z$6)</f>
        <v>11.406562499999998</v>
      </c>
      <c r="C8" s="3">
        <f>C7*(1+$Z$6)</f>
        <v>0.15208749999999996</v>
      </c>
      <c r="D8" s="3">
        <f>B8-C8</f>
        <v>11.254474999999998</v>
      </c>
      <c r="E8" s="17">
        <f>SUM($D$4:D8)</f>
        <v>11.950974999999996</v>
      </c>
      <c r="F8" s="18">
        <f>F7*(1+$Z$6)</f>
        <v>6.0834999999999981</v>
      </c>
      <c r="G8" s="19">
        <f>G7*(1+$Z$6)</f>
        <v>0.30417499999999992</v>
      </c>
      <c r="H8" s="19">
        <f>F8-G8</f>
        <v>5.7793249999999983</v>
      </c>
      <c r="I8" s="20">
        <f>SUM($H$4:H8)</f>
        <v>8.9748249999999956</v>
      </c>
      <c r="J8" s="18">
        <f>J7*(1+$Z$6)</f>
        <v>3.0417499999999991</v>
      </c>
      <c r="K8" s="19">
        <f>K7*(1+$Z$6)</f>
        <v>7.6043749999999979E-2</v>
      </c>
      <c r="L8" s="19">
        <f>J8-K8</f>
        <v>2.9657062499999989</v>
      </c>
      <c r="M8" s="20">
        <f>SUM($L$4:L8)</f>
        <v>4.7370812499999984</v>
      </c>
      <c r="N8" s="18">
        <f>N7*(1+$Z$6)</f>
        <v>5.3230624999999989</v>
      </c>
      <c r="O8" s="19">
        <f>O7*(1+$Z$6)</f>
        <v>0.15208749999999996</v>
      </c>
      <c r="P8" s="19">
        <f>N8-O8</f>
        <v>5.1709749999999985</v>
      </c>
      <c r="Q8" s="20">
        <f>SUM($P$4:P8)</f>
        <v>7.4774749999999974</v>
      </c>
      <c r="R8" s="18">
        <f>R7*(1+$Z$6)</f>
        <v>2.0075549999999995</v>
      </c>
      <c r="S8" s="19">
        <f>S7*(1+$Z$6)</f>
        <v>0.19467199999999996</v>
      </c>
      <c r="T8" s="19">
        <f>R8-S8</f>
        <v>1.8128829999999996</v>
      </c>
      <c r="U8" s="20">
        <f>SUM($T$4:T8)</f>
        <v>2.4021029999999994</v>
      </c>
      <c r="V8" s="18">
        <f>V7*(1+$Z$6)</f>
        <v>3.4219687499999991</v>
      </c>
      <c r="W8" s="19">
        <f>W7*(1+$Z$6)</f>
        <v>0.36500999999999995</v>
      </c>
      <c r="X8" s="19">
        <f>V8-W8</f>
        <v>3.0569587499999993</v>
      </c>
      <c r="Y8" s="20">
        <f>SUM($X$4:X8)</f>
        <v>7.1766837499999987</v>
      </c>
      <c r="Z8" s="6">
        <v>0.15</v>
      </c>
    </row>
    <row r="9" spans="1:26" ht="17" thickBot="1" x14ac:dyDescent="0.25">
      <c r="A9" s="7">
        <v>5</v>
      </c>
      <c r="B9" s="16">
        <f>B8*(1+$Z$6)</f>
        <v>13.117546874999997</v>
      </c>
      <c r="C9" s="3">
        <f>C8*(1+$Z$6)</f>
        <v>0.17490062499999995</v>
      </c>
      <c r="D9" s="3">
        <f>B9-C9</f>
        <v>12.942646249999997</v>
      </c>
      <c r="E9" s="17">
        <f>SUM($D$4:D9)</f>
        <v>24.893621249999995</v>
      </c>
      <c r="F9" s="18">
        <f>F8*(1+$Z$6)</f>
        <v>6.9960249999999977</v>
      </c>
      <c r="G9" s="19">
        <f>G8*(1+$Z$6)</f>
        <v>0.3498012499999999</v>
      </c>
      <c r="H9" s="19">
        <f>F9-G9</f>
        <v>6.6462237499999981</v>
      </c>
      <c r="I9" s="20">
        <f>SUM($H$4:H9)</f>
        <v>15.621048749999993</v>
      </c>
      <c r="J9" s="18">
        <f>J8*(1+$Z$6)</f>
        <v>3.4980124999999989</v>
      </c>
      <c r="K9" s="19">
        <f>K8*(1+$Z$6)</f>
        <v>8.7450312499999974E-2</v>
      </c>
      <c r="L9" s="19">
        <f>J9-K9</f>
        <v>3.4105621874999987</v>
      </c>
      <c r="M9" s="20">
        <f>SUM($L$4:L9)</f>
        <v>8.1476434374999975</v>
      </c>
      <c r="N9" s="18">
        <f>N8*(1+$Z$6)</f>
        <v>6.1215218749999982</v>
      </c>
      <c r="O9" s="19">
        <f>O8*(1+$Z$6)</f>
        <v>0.17490062499999995</v>
      </c>
      <c r="P9" s="19">
        <f>N9-O9</f>
        <v>5.946621249999998</v>
      </c>
      <c r="Q9" s="20">
        <f>SUM($P$4:P9)</f>
        <v>13.424096249999995</v>
      </c>
      <c r="R9" s="18">
        <f>R8*(1+$Z$6)</f>
        <v>2.3086882499999994</v>
      </c>
      <c r="S9" s="19">
        <f>S8*(1+$Z$6)</f>
        <v>0.22387279999999993</v>
      </c>
      <c r="T9" s="19">
        <f>R9-S9</f>
        <v>2.0848154499999993</v>
      </c>
      <c r="U9" s="20">
        <f>SUM($T$4:T9)</f>
        <v>4.4869184499999992</v>
      </c>
      <c r="V9" s="18">
        <f>V8*(1+$Z$6)</f>
        <v>3.9352640624999986</v>
      </c>
      <c r="W9" s="19">
        <f>W8*(1+$Z$6)</f>
        <v>0.4197614999999999</v>
      </c>
      <c r="X9" s="19">
        <f>V9-W9</f>
        <v>3.5155025624999987</v>
      </c>
      <c r="Y9" s="20">
        <f>SUM($X$4:X9)</f>
        <v>10.692186312499997</v>
      </c>
      <c r="Z9" s="6">
        <v>0.15</v>
      </c>
    </row>
    <row r="10" spans="1:26" ht="17" thickBot="1" x14ac:dyDescent="0.25">
      <c r="A10" s="7">
        <v>6</v>
      </c>
      <c r="B10" s="16">
        <f>B9*(1+$Z$6)</f>
        <v>15.085178906249995</v>
      </c>
      <c r="C10" s="3">
        <f>C9*(1+$Z$6)</f>
        <v>0.20113571874999991</v>
      </c>
      <c r="D10" s="3">
        <f>B10-C10</f>
        <v>14.884043187499994</v>
      </c>
      <c r="E10" s="17">
        <f>SUM($D$4:D10)</f>
        <v>39.777664437499993</v>
      </c>
      <c r="F10" s="18">
        <f>F9*(1+$Z$6)</f>
        <v>8.0454287499999975</v>
      </c>
      <c r="G10" s="19">
        <f>G9*(1+$Z$6)</f>
        <v>0.40227143749999983</v>
      </c>
      <c r="H10" s="19">
        <f>F10-G10</f>
        <v>7.6431573124999979</v>
      </c>
      <c r="I10" s="20">
        <f>SUM($H$4:H10)</f>
        <v>23.264206062499991</v>
      </c>
      <c r="J10" s="18"/>
      <c r="K10" s="19"/>
      <c r="L10" s="19"/>
      <c r="M10" s="20"/>
      <c r="N10" s="18">
        <f>N9*(1+$Z$6)</f>
        <v>7.0397501562499976</v>
      </c>
      <c r="O10" s="19">
        <f>O9*(1+$Z$6)</f>
        <v>0.20113571874999991</v>
      </c>
      <c r="P10" s="19">
        <f>N10-O10</f>
        <v>6.8386144374999978</v>
      </c>
      <c r="Q10" s="20">
        <f>SUM($P$4:P10)</f>
        <v>20.262710687499993</v>
      </c>
      <c r="R10" s="18"/>
      <c r="S10" s="19"/>
      <c r="T10" s="19"/>
      <c r="U10" s="20"/>
      <c r="V10" s="18"/>
      <c r="W10" s="19"/>
      <c r="X10" s="19"/>
      <c r="Y10" s="20"/>
      <c r="Z10" s="6">
        <v>0.15</v>
      </c>
    </row>
    <row r="11" spans="1:26" ht="17" thickBot="1" x14ac:dyDescent="0.25">
      <c r="A11" s="7">
        <v>7</v>
      </c>
      <c r="B11" s="16">
        <f>B10*(1+$Z$6)</f>
        <v>17.347955742187494</v>
      </c>
      <c r="C11" s="3">
        <f>C10*(1+$Z$6)</f>
        <v>0.23130607656249988</v>
      </c>
      <c r="D11" s="3">
        <f>B11-C11</f>
        <v>17.116649665624994</v>
      </c>
      <c r="E11" s="17">
        <f>SUM($D$4:D11)</f>
        <v>56.894314103124984</v>
      </c>
      <c r="F11" s="18">
        <f>F10*(1+$Z$6)</f>
        <v>9.2522430624999963</v>
      </c>
      <c r="G11" s="19">
        <f>G10*(1+$Z$6)</f>
        <v>0.46261215312499976</v>
      </c>
      <c r="H11" s="19">
        <f>F11-G11</f>
        <v>8.7896309093749974</v>
      </c>
      <c r="I11" s="20">
        <f>SUM($H$4:H11)</f>
        <v>32.053836971874986</v>
      </c>
      <c r="J11" s="18"/>
      <c r="K11" s="19"/>
      <c r="L11" s="19"/>
      <c r="M11" s="20"/>
      <c r="N11" s="18">
        <f>N10*(1+$Z$6)</f>
        <v>8.0957126796874963</v>
      </c>
      <c r="O11" s="22">
        <f>O10*(1+$Z$6)</f>
        <v>0.23130607656249988</v>
      </c>
      <c r="P11" s="19">
        <f>N11-O11</f>
        <v>7.8644066031249968</v>
      </c>
      <c r="Q11" s="20">
        <f>SUM($P$4:P11)</f>
        <v>28.127117290624991</v>
      </c>
      <c r="R11" s="18"/>
      <c r="S11" s="19"/>
      <c r="T11" s="19"/>
      <c r="U11" s="20"/>
      <c r="V11" s="18"/>
      <c r="W11" s="19"/>
      <c r="X11" s="19"/>
      <c r="Y11" s="20"/>
      <c r="Z11" s="6">
        <v>0.15</v>
      </c>
    </row>
    <row r="12" spans="1:26" ht="17" thickBot="1" x14ac:dyDescent="0.25">
      <c r="A12" s="7">
        <v>8</v>
      </c>
      <c r="B12" s="16">
        <f>B11*(1+$Z$6)</f>
        <v>19.950149103515617</v>
      </c>
      <c r="C12" s="3">
        <f>C11*(1+$Z$6)</f>
        <v>0.26600198804687486</v>
      </c>
      <c r="D12" s="3">
        <f>B12-C12</f>
        <v>19.684147115468743</v>
      </c>
      <c r="E12" s="17">
        <f>SUM($D$4:D12)</f>
        <v>76.578461218593731</v>
      </c>
      <c r="F12" s="18">
        <f>F11*(1+$Z$6)</f>
        <v>10.640079521874995</v>
      </c>
      <c r="G12" s="19">
        <f>G11*(1+$Z$6)</f>
        <v>0.53200397609374972</v>
      </c>
      <c r="H12" s="19">
        <f>F12-G12</f>
        <v>10.108075545781245</v>
      </c>
      <c r="I12" s="20">
        <f>SUM($H$4:H12)</f>
        <v>42.161912517656233</v>
      </c>
      <c r="J12" s="18"/>
      <c r="K12" s="19"/>
      <c r="L12" s="19"/>
      <c r="M12" s="20"/>
      <c r="N12" s="21">
        <f>N11*(1+$Z$6)</f>
        <v>9.3100695816406205</v>
      </c>
      <c r="O12" s="23">
        <f>O11*(1+$Z$6)</f>
        <v>0.26600198804687486</v>
      </c>
      <c r="P12" s="25">
        <f>N12-O12</f>
        <v>9.0440675935937449</v>
      </c>
      <c r="Q12" s="20">
        <f>SUM($P$4:P12)</f>
        <v>37.171184884218732</v>
      </c>
      <c r="R12" s="18"/>
      <c r="S12" s="19"/>
      <c r="T12" s="19"/>
      <c r="U12" s="20"/>
      <c r="V12" s="18"/>
      <c r="W12" s="19"/>
      <c r="X12" s="19"/>
      <c r="Y12" s="20"/>
      <c r="Z12" s="6">
        <v>0.15</v>
      </c>
    </row>
    <row r="13" spans="1:26" ht="17" thickBot="1" x14ac:dyDescent="0.25">
      <c r="A13" s="7">
        <v>9</v>
      </c>
      <c r="B13" s="16">
        <f>B12*(1+$Z$6)</f>
        <v>22.942671469042956</v>
      </c>
      <c r="C13" s="3">
        <f>C12*(1+$Z$6)</f>
        <v>0.30590228625390609</v>
      </c>
      <c r="D13" s="3">
        <f>B13-C13</f>
        <v>22.636769182789049</v>
      </c>
      <c r="E13" s="17">
        <f>SUM($D$4:D13)</f>
        <v>99.215230401382783</v>
      </c>
      <c r="F13" s="18">
        <f>F12*(1+$Z$6)</f>
        <v>12.236091450156243</v>
      </c>
      <c r="G13" s="19">
        <f>G12*(1+$Z$6)</f>
        <v>0.61180457250781217</v>
      </c>
      <c r="H13" s="19">
        <f>F13-G13</f>
        <v>11.62428687764843</v>
      </c>
      <c r="I13" s="20">
        <f>SUM($H$4:H13)</f>
        <v>53.786199395304664</v>
      </c>
      <c r="J13" s="18"/>
      <c r="K13" s="19"/>
      <c r="L13" s="19"/>
      <c r="M13" s="20"/>
      <c r="N13" s="18">
        <f>N12*(1+$Z$6)</f>
        <v>10.706580018886713</v>
      </c>
      <c r="O13" s="24">
        <f>O12*(1+$Z$6)</f>
        <v>0.30590228625390609</v>
      </c>
      <c r="P13" s="19">
        <f>N13-O13</f>
        <v>10.400677732632808</v>
      </c>
      <c r="Q13" s="20">
        <f>SUM($P$4:P13)</f>
        <v>47.57186261685154</v>
      </c>
      <c r="R13" s="18"/>
      <c r="S13" s="19"/>
      <c r="T13" s="19"/>
      <c r="U13" s="20"/>
      <c r="V13" s="18"/>
      <c r="W13" s="19"/>
      <c r="X13" s="19"/>
      <c r="Y13" s="20"/>
      <c r="Z13" s="6">
        <v>0.15</v>
      </c>
    </row>
    <row r="14" spans="1:26" ht="17" thickBot="1" x14ac:dyDescent="0.25">
      <c r="A14" s="7">
        <v>10</v>
      </c>
      <c r="B14" s="16">
        <f>B13*(1+$Z$6)</f>
        <v>26.384072189399397</v>
      </c>
      <c r="C14" s="3">
        <f>C13*(1+$Z$6)</f>
        <v>0.35178762919199197</v>
      </c>
      <c r="D14" s="3">
        <f>B14-C14</f>
        <v>26.032284560207405</v>
      </c>
      <c r="E14" s="17">
        <f>SUM($D$4:D14)</f>
        <v>125.24751496159018</v>
      </c>
      <c r="F14" s="18">
        <f>F13*(1+$Z$6)</f>
        <v>14.071505167679678</v>
      </c>
      <c r="G14" s="19">
        <f>G13*(1+$Z$6)</f>
        <v>0.70357525838398394</v>
      </c>
      <c r="H14" s="19">
        <f>F14-G14</f>
        <v>13.367929909295695</v>
      </c>
      <c r="I14" s="20">
        <f>SUM($H$4:H14)</f>
        <v>67.15412930460036</v>
      </c>
      <c r="J14" s="18"/>
      <c r="K14" s="19"/>
      <c r="L14" s="19"/>
      <c r="M14" s="20"/>
      <c r="N14" s="18">
        <f>N13*(1+$Z$6)</f>
        <v>12.312567021719719</v>
      </c>
      <c r="O14" s="19">
        <f>O13*(1+$Z$6)</f>
        <v>0.35178762919199197</v>
      </c>
      <c r="P14" s="19">
        <f>N14-O14</f>
        <v>11.960779392527726</v>
      </c>
      <c r="Q14" s="20">
        <f>SUM($P$4:P14)</f>
        <v>59.532642009379266</v>
      </c>
      <c r="R14" s="18"/>
      <c r="S14" s="19"/>
      <c r="T14" s="19"/>
      <c r="U14" s="20"/>
      <c r="V14" s="18"/>
      <c r="W14" s="19"/>
      <c r="X14" s="19"/>
      <c r="Y14" s="20"/>
      <c r="Z14" s="6">
        <v>0.15</v>
      </c>
    </row>
    <row r="15" spans="1:26" ht="17" thickBot="1" x14ac:dyDescent="0.25">
      <c r="A15" s="7">
        <v>11</v>
      </c>
      <c r="B15" s="16">
        <f>B14*(1+$Z$6)</f>
        <v>30.341683017809306</v>
      </c>
      <c r="C15" s="3">
        <f>C14*(1+$Z$6)</f>
        <v>0.40455577357079076</v>
      </c>
      <c r="D15" s="3">
        <f>B15-C15</f>
        <v>29.937127244238514</v>
      </c>
      <c r="E15" s="17">
        <f>SUM($D$4:D15)</f>
        <v>155.18464220582871</v>
      </c>
      <c r="F15" s="18"/>
      <c r="G15" s="19"/>
      <c r="H15" s="19"/>
      <c r="I15" s="20"/>
      <c r="J15" s="18"/>
      <c r="K15" s="19"/>
      <c r="L15" s="19"/>
      <c r="M15" s="20"/>
      <c r="N15" s="18"/>
      <c r="O15" s="19"/>
      <c r="P15" s="19"/>
      <c r="Q15" s="20"/>
      <c r="R15" s="18"/>
      <c r="S15" s="19"/>
      <c r="T15" s="19"/>
      <c r="U15" s="20"/>
      <c r="V15" s="18"/>
      <c r="W15" s="19"/>
      <c r="X15" s="19"/>
      <c r="Y15" s="20"/>
      <c r="Z15" s="6">
        <v>0.15</v>
      </c>
    </row>
    <row r="16" spans="1:26" ht="17" thickBot="1" x14ac:dyDescent="0.25">
      <c r="A16" s="7">
        <v>12</v>
      </c>
      <c r="B16" s="16">
        <f>B15*(1+$Z$6)</f>
        <v>34.892935470480701</v>
      </c>
      <c r="C16" s="3">
        <f>C15*(1+$Z$6)</f>
        <v>0.46523913960640934</v>
      </c>
      <c r="D16" s="3">
        <f>B16-C16</f>
        <v>34.427696330874291</v>
      </c>
      <c r="E16" s="17">
        <f>SUM($D$4:D16)</f>
        <v>189.61233853670299</v>
      </c>
      <c r="F16" s="18"/>
      <c r="G16" s="19"/>
      <c r="H16" s="19"/>
      <c r="I16" s="20"/>
      <c r="J16" s="18"/>
      <c r="K16" s="19"/>
      <c r="L16" s="19"/>
      <c r="M16" s="20"/>
      <c r="N16" s="18"/>
      <c r="O16" s="19"/>
      <c r="P16" s="19"/>
      <c r="Q16" s="20"/>
      <c r="R16" s="18"/>
      <c r="S16" s="19"/>
      <c r="T16" s="19"/>
      <c r="U16" s="20"/>
      <c r="V16" s="18"/>
      <c r="W16" s="19"/>
      <c r="X16" s="19"/>
      <c r="Y16" s="20"/>
      <c r="Z16" s="6">
        <v>0.15</v>
      </c>
    </row>
    <row r="17" spans="1:26" ht="17" thickBot="1" x14ac:dyDescent="0.25">
      <c r="A17" s="7">
        <v>13</v>
      </c>
      <c r="B17" s="16">
        <f>B16*(1+$Z$6)</f>
        <v>40.126875791052804</v>
      </c>
      <c r="C17" s="3">
        <f>C16*(1+$Z$6)</f>
        <v>0.53502501054737073</v>
      </c>
      <c r="D17" s="3">
        <f>B17-C17</f>
        <v>39.591850780505432</v>
      </c>
      <c r="E17" s="17">
        <f>SUM($D$4:D17)</f>
        <v>229.20418931720843</v>
      </c>
      <c r="F17" s="18"/>
      <c r="G17" s="19"/>
      <c r="H17" s="19"/>
      <c r="I17" s="20"/>
      <c r="J17" s="18"/>
      <c r="K17" s="19"/>
      <c r="L17" s="19"/>
      <c r="M17" s="20"/>
      <c r="N17" s="18"/>
      <c r="O17" s="19"/>
      <c r="P17" s="19"/>
      <c r="Q17" s="20"/>
      <c r="R17" s="18"/>
      <c r="S17" s="19"/>
      <c r="T17" s="19"/>
      <c r="U17" s="20"/>
      <c r="V17" s="18"/>
      <c r="W17" s="19"/>
      <c r="X17" s="19"/>
      <c r="Y17" s="20"/>
      <c r="Z17" s="6">
        <v>0.15</v>
      </c>
    </row>
    <row r="18" spans="1:26" ht="17" thickBot="1" x14ac:dyDescent="0.25">
      <c r="A18" s="7">
        <v>14</v>
      </c>
      <c r="B18" s="16">
        <f>B17*(1+$Z$6)</f>
        <v>46.145907159710724</v>
      </c>
      <c r="C18" s="3">
        <f>C17*(1+$Z$6)</f>
        <v>0.6152787621294763</v>
      </c>
      <c r="D18" s="3">
        <f>B18-C18</f>
        <v>45.530628397581246</v>
      </c>
      <c r="E18" s="17">
        <f>SUM($D$4:D18)</f>
        <v>274.7348177147897</v>
      </c>
      <c r="F18" s="18"/>
      <c r="G18" s="19"/>
      <c r="H18" s="19"/>
      <c r="I18" s="20"/>
      <c r="J18" s="18"/>
      <c r="K18" s="19"/>
      <c r="L18" s="19"/>
      <c r="M18" s="20"/>
      <c r="N18" s="18"/>
      <c r="O18" s="19"/>
      <c r="P18" s="19"/>
      <c r="Q18" s="20"/>
      <c r="R18" s="18"/>
      <c r="S18" s="19"/>
      <c r="T18" s="19"/>
      <c r="U18" s="20"/>
      <c r="V18" s="18"/>
      <c r="W18" s="19"/>
      <c r="X18" s="19"/>
      <c r="Y18" s="20"/>
      <c r="Z18" s="6">
        <v>0.15</v>
      </c>
    </row>
    <row r="19" spans="1:26" ht="17" thickBot="1" x14ac:dyDescent="0.25">
      <c r="A19" s="7">
        <v>15</v>
      </c>
      <c r="B19" s="16">
        <f>B18*(1+$Z$6)</f>
        <v>53.067793233667331</v>
      </c>
      <c r="C19" s="3">
        <f>C18*(1+$Z$6)</f>
        <v>0.70757057644889765</v>
      </c>
      <c r="D19" s="3">
        <f>B19-C19</f>
        <v>52.360222657218436</v>
      </c>
      <c r="E19" s="17">
        <f>SUM($D$4:D19)</f>
        <v>327.09504037200816</v>
      </c>
      <c r="F19" s="18"/>
      <c r="G19" s="19"/>
      <c r="H19" s="19"/>
      <c r="I19" s="20"/>
      <c r="J19" s="18"/>
      <c r="K19" s="19"/>
      <c r="L19" s="19"/>
      <c r="M19" s="20"/>
      <c r="N19" s="18"/>
      <c r="O19" s="19"/>
      <c r="P19" s="19"/>
      <c r="Q19" s="20"/>
      <c r="R19" s="18"/>
      <c r="S19" s="19"/>
      <c r="T19" s="19"/>
      <c r="U19" s="20"/>
      <c r="V19" s="18"/>
      <c r="W19" s="19"/>
      <c r="X19" s="19"/>
      <c r="Y19" s="20"/>
      <c r="Z19" s="6">
        <v>0.15</v>
      </c>
    </row>
    <row r="20" spans="1:26" ht="17" thickBot="1" x14ac:dyDescent="0.25">
      <c r="A20" s="7">
        <v>16</v>
      </c>
      <c r="B20" s="16">
        <f>B19*(1+$Z$6)</f>
        <v>61.027962218717427</v>
      </c>
      <c r="C20" s="3">
        <f>C19*(1+$Z$6)</f>
        <v>0.81370616291623221</v>
      </c>
      <c r="D20" s="3">
        <f>B20-C20</f>
        <v>60.214256055801194</v>
      </c>
      <c r="E20" s="17">
        <f>SUM($D$4:D20)</f>
        <v>387.30929642780933</v>
      </c>
      <c r="F20" s="18"/>
      <c r="G20" s="19"/>
      <c r="H20" s="19"/>
      <c r="I20" s="20"/>
      <c r="J20" s="18"/>
      <c r="K20" s="19"/>
      <c r="L20" s="19"/>
      <c r="M20" s="20"/>
      <c r="N20" s="18"/>
      <c r="O20" s="19"/>
      <c r="P20" s="19"/>
      <c r="Q20" s="20"/>
      <c r="R20" s="18"/>
      <c r="S20" s="19"/>
      <c r="T20" s="19"/>
      <c r="U20" s="20"/>
      <c r="V20" s="18"/>
      <c r="W20" s="19"/>
      <c r="X20" s="19"/>
      <c r="Y20" s="20"/>
      <c r="Z20" s="6">
        <v>0.15</v>
      </c>
    </row>
    <row r="21" spans="1:26" ht="17" thickBot="1" x14ac:dyDescent="0.25">
      <c r="A21" s="7">
        <v>17</v>
      </c>
      <c r="B21" s="16">
        <f>B20*(1+$Z$6)</f>
        <v>70.18215655152504</v>
      </c>
      <c r="C21" s="3">
        <f>C20*(1+$Z$6)</f>
        <v>0.93576208735366695</v>
      </c>
      <c r="D21" s="3">
        <f>B21-C21</f>
        <v>69.246394464171374</v>
      </c>
      <c r="E21" s="17">
        <f>SUM($D$4:D21)</f>
        <v>456.5556908919807</v>
      </c>
      <c r="F21" s="18"/>
      <c r="G21" s="19"/>
      <c r="H21" s="19"/>
      <c r="I21" s="20"/>
      <c r="J21" s="18"/>
      <c r="K21" s="19"/>
      <c r="L21" s="19"/>
      <c r="M21" s="20"/>
      <c r="N21" s="18"/>
      <c r="O21" s="19"/>
      <c r="P21" s="19"/>
      <c r="Q21" s="20"/>
      <c r="R21" s="18"/>
      <c r="S21" s="19"/>
      <c r="T21" s="19"/>
      <c r="U21" s="20"/>
      <c r="V21" s="18"/>
      <c r="W21" s="19"/>
      <c r="X21" s="19"/>
      <c r="Y21" s="20"/>
      <c r="Z21" s="6">
        <v>0.15</v>
      </c>
    </row>
    <row r="22" spans="1:26" ht="17" thickBot="1" x14ac:dyDescent="0.25">
      <c r="A22" s="7">
        <v>18</v>
      </c>
      <c r="B22" s="16">
        <f>B21*(1+$Z$6)</f>
        <v>80.709480034253787</v>
      </c>
      <c r="C22" s="3">
        <f>C21*(1+$Z$6)</f>
        <v>1.0761264004567168</v>
      </c>
      <c r="D22" s="3">
        <f>B22-C22</f>
        <v>79.633353633797071</v>
      </c>
      <c r="E22" s="17">
        <f>SUM($D$4:D22)</f>
        <v>536.18904452577772</v>
      </c>
      <c r="F22" s="18"/>
      <c r="G22" s="19"/>
      <c r="H22" s="19"/>
      <c r="I22" s="20"/>
      <c r="J22" s="18"/>
      <c r="K22" s="19"/>
      <c r="L22" s="19"/>
      <c r="M22" s="20"/>
      <c r="N22" s="18"/>
      <c r="O22" s="19"/>
      <c r="P22" s="19"/>
      <c r="Q22" s="20"/>
      <c r="R22" s="18"/>
      <c r="S22" s="19"/>
      <c r="T22" s="19"/>
      <c r="U22" s="20"/>
      <c r="V22" s="18"/>
      <c r="W22" s="19"/>
      <c r="X22" s="19"/>
      <c r="Y22" s="20"/>
      <c r="Z22" s="6">
        <v>0.15</v>
      </c>
    </row>
    <row r="23" spans="1:26" ht="17" thickBot="1" x14ac:dyDescent="0.25">
      <c r="A23" s="7">
        <v>19</v>
      </c>
      <c r="B23" s="16">
        <f>B22*(1+$Z$6)</f>
        <v>92.815902039391844</v>
      </c>
      <c r="C23" s="3">
        <f>C22*(1+$Z$6)</f>
        <v>1.2375453605252242</v>
      </c>
      <c r="D23" s="3">
        <f>B23-C23</f>
        <v>91.578356678866626</v>
      </c>
      <c r="E23" s="17">
        <f>SUM($D$4:D23)</f>
        <v>627.76740120464433</v>
      </c>
      <c r="F23" s="18"/>
      <c r="G23" s="19"/>
      <c r="H23" s="19"/>
      <c r="I23" s="20"/>
      <c r="J23" s="18"/>
      <c r="K23" s="19"/>
      <c r="L23" s="19"/>
      <c r="M23" s="20"/>
      <c r="N23" s="18"/>
      <c r="O23" s="19"/>
      <c r="P23" s="19"/>
      <c r="Q23" s="20"/>
      <c r="R23" s="18"/>
      <c r="S23" s="19"/>
      <c r="T23" s="19"/>
      <c r="U23" s="20"/>
      <c r="V23" s="18"/>
      <c r="W23" s="19"/>
      <c r="X23" s="19"/>
      <c r="Y23" s="20"/>
      <c r="Z23" s="6">
        <v>0.15</v>
      </c>
    </row>
    <row r="24" spans="1:26" ht="17" thickBot="1" x14ac:dyDescent="0.25">
      <c r="A24" s="7">
        <v>20</v>
      </c>
      <c r="B24" s="16">
        <f>B23*(1+$Z$6)</f>
        <v>106.73828734530061</v>
      </c>
      <c r="C24" s="3">
        <f>C23*(1+$Z$6)</f>
        <v>1.4231771646040077</v>
      </c>
      <c r="D24" s="3">
        <f>B24-C24</f>
        <v>105.31511018069659</v>
      </c>
      <c r="E24" s="17">
        <f>SUM($D$4:D24)</f>
        <v>733.08251138534092</v>
      </c>
      <c r="F24" s="18"/>
      <c r="G24" s="19"/>
      <c r="H24" s="19"/>
      <c r="I24" s="20"/>
      <c r="J24" s="18"/>
      <c r="K24" s="19"/>
      <c r="L24" s="19"/>
      <c r="M24" s="20"/>
      <c r="N24" s="18"/>
      <c r="O24" s="19"/>
      <c r="P24" s="19"/>
      <c r="Q24" s="20"/>
      <c r="R24" s="18"/>
      <c r="S24" s="19"/>
      <c r="T24" s="19"/>
      <c r="U24" s="20"/>
      <c r="V24" s="18"/>
      <c r="W24" s="19"/>
      <c r="X24" s="19"/>
      <c r="Y24" s="20"/>
      <c r="Z24" s="6">
        <v>0.15</v>
      </c>
    </row>
    <row r="25" spans="1:26" ht="17" thickBot="1" x14ac:dyDescent="0.25">
      <c r="A25" s="7">
        <v>21</v>
      </c>
      <c r="B25" s="16">
        <f>B24*(1+$Z$6)</f>
        <v>122.74903044709569</v>
      </c>
      <c r="C25" s="3">
        <f>C24*(1+$Z$6)</f>
        <v>1.6366537392946088</v>
      </c>
      <c r="D25" s="3">
        <f>B25-C25</f>
        <v>121.11237670780108</v>
      </c>
      <c r="E25" s="17">
        <f>SUM($D$4:D25)</f>
        <v>854.19488809314203</v>
      </c>
      <c r="F25" s="18"/>
      <c r="G25" s="19"/>
      <c r="H25" s="19"/>
      <c r="I25" s="20"/>
      <c r="J25" s="18"/>
      <c r="K25" s="19"/>
      <c r="L25" s="19"/>
      <c r="M25" s="20"/>
      <c r="N25" s="18"/>
      <c r="O25" s="19"/>
      <c r="P25" s="19"/>
      <c r="Q25" s="20"/>
      <c r="R25" s="18"/>
      <c r="S25" s="19"/>
      <c r="T25" s="19"/>
      <c r="U25" s="20"/>
      <c r="V25" s="18"/>
      <c r="W25" s="19"/>
      <c r="X25" s="19"/>
      <c r="Y25" s="20"/>
      <c r="Z25" s="6">
        <v>0.15</v>
      </c>
    </row>
    <row r="26" spans="1:26" ht="17" thickBot="1" x14ac:dyDescent="0.25">
      <c r="A26" s="7">
        <v>22</v>
      </c>
      <c r="B26" s="46">
        <f>B25*(1+$Z$6)</f>
        <v>141.16138501416003</v>
      </c>
      <c r="C26" s="47">
        <f>C25*(1+$Z$6)</f>
        <v>1.8821518001888</v>
      </c>
      <c r="D26" s="47">
        <f>B26-C26</f>
        <v>139.27923321397122</v>
      </c>
      <c r="E26" s="48">
        <f>SUM($D$4:D26)</f>
        <v>993.47412130711325</v>
      </c>
      <c r="F26" s="49"/>
      <c r="G26" s="22"/>
      <c r="H26" s="22"/>
      <c r="I26" s="50"/>
      <c r="J26" s="49"/>
      <c r="K26" s="22"/>
      <c r="L26" s="22"/>
      <c r="M26" s="50"/>
      <c r="N26" s="49"/>
      <c r="O26" s="22"/>
      <c r="P26" s="22"/>
      <c r="Q26" s="50"/>
      <c r="R26" s="49"/>
      <c r="S26" s="22"/>
      <c r="T26" s="22"/>
      <c r="U26" s="50"/>
      <c r="V26" s="49"/>
      <c r="W26" s="22"/>
      <c r="X26" s="22"/>
      <c r="Y26" s="50"/>
      <c r="Z26" s="6">
        <v>0.15</v>
      </c>
    </row>
    <row r="27" spans="1:26" ht="35" thickBot="1" x14ac:dyDescent="0.25">
      <c r="A27" s="8" t="s">
        <v>6</v>
      </c>
      <c r="B27" s="33" cm="1">
        <f t="array" ref="B27">SUM((B4:B26-C4:C26)/(1+$Z$4:$Z$26)^$A$4:$A$26)</f>
        <v>116.5652173913044</v>
      </c>
      <c r="C27" s="74"/>
      <c r="D27" s="74"/>
      <c r="E27" s="75"/>
      <c r="F27" s="33" cm="1">
        <f t="array" ref="F27">SUM((F4:F26-G4:G26)/(1+$Z$4:$Z$26)^$A$4:$A$26)</f>
        <v>23.04347826086957</v>
      </c>
      <c r="G27" s="74"/>
      <c r="H27" s="74"/>
      <c r="I27" s="75"/>
      <c r="J27" s="33" cm="1">
        <f t="array" ref="J27">SUM((J4:J26-K4:K26)/(1+$Z$4:$Z$26)^$A$4:$A$26)</f>
        <v>3.4782608695652177</v>
      </c>
      <c r="K27" s="74"/>
      <c r="L27" s="74"/>
      <c r="M27" s="75"/>
      <c r="N27" s="33" cm="1">
        <f t="array" ref="N27">SUM((N4:N26-O4:O26)/(1+$Z$4:$Z$26)^$A$4:$A$26)</f>
        <v>20.065217391304351</v>
      </c>
      <c r="O27" s="74"/>
      <c r="P27" s="74"/>
      <c r="Q27" s="75"/>
      <c r="R27" s="33" cm="1">
        <f t="array" ref="R27">SUM((R4:R26-S4:S26)/(1+$Z$4:$Z$26)^$A$4:$A$26)</f>
        <v>1.6326086956521748</v>
      </c>
      <c r="S27" s="74"/>
      <c r="T27" s="74"/>
      <c r="U27" s="75"/>
      <c r="V27" s="33" cm="1">
        <f t="array" ref="V27">SUM((V4:V26-W4:W26)/(1+$Z$4:$Z$26)^$A$4:$A$26)</f>
        <v>5.8791304347826099</v>
      </c>
      <c r="W27" s="74"/>
      <c r="X27" s="74"/>
      <c r="Y27" s="75"/>
    </row>
    <row r="28" spans="1:26" ht="18" thickBot="1" x14ac:dyDescent="0.25">
      <c r="A28" s="8" t="s">
        <v>9</v>
      </c>
      <c r="B28" s="34" cm="1">
        <f t="array" ref="B28">IRR(B4:B26-C4:C26)</f>
        <v>0.44402296669363395</v>
      </c>
      <c r="C28" s="68"/>
      <c r="D28" s="68"/>
      <c r="E28" s="69"/>
      <c r="F28" s="34" cm="1">
        <f t="array" ref="F28">IRR(F4:F26-G4:G26)</f>
        <v>0.50404986294307186</v>
      </c>
      <c r="G28" s="68"/>
      <c r="H28" s="68"/>
      <c r="I28" s="69"/>
      <c r="J28" s="34" cm="1">
        <f t="array" ref="J28">IRR(J4:J26-K4:K26)</f>
        <v>0.38740716343579717</v>
      </c>
      <c r="K28" s="68"/>
      <c r="L28" s="68"/>
      <c r="M28" s="69"/>
      <c r="N28" s="34" cm="1">
        <f t="array" ref="N28">IRR(N4:N26-O4:O26)</f>
        <v>0.47898070676358007</v>
      </c>
      <c r="O28" s="68"/>
      <c r="P28" s="68"/>
      <c r="Q28" s="69"/>
      <c r="R28" s="34" cm="1">
        <f t="array" ref="R28">IRR(R4:R26-S4:S26)</f>
        <v>0.31214019071283294</v>
      </c>
      <c r="S28" s="68"/>
      <c r="T28" s="68"/>
      <c r="U28" s="69"/>
      <c r="V28" s="34" cm="1">
        <f t="array" ref="V28">IRR(V4:V26-W4:W26)</f>
        <v>0.77185419938104216</v>
      </c>
      <c r="W28" s="68"/>
      <c r="X28" s="68"/>
      <c r="Y28" s="69"/>
    </row>
    <row r="29" spans="1:26" ht="52" thickBot="1" x14ac:dyDescent="0.25">
      <c r="A29" s="8" t="s">
        <v>46</v>
      </c>
      <c r="B29" s="32">
        <f>SUM(C4:C26)</f>
        <v>38.763163801447476</v>
      </c>
      <c r="C29" s="68"/>
      <c r="D29" s="68"/>
      <c r="E29" s="69"/>
      <c r="F29" s="32">
        <f>SUM(G4:G26)</f>
        <v>14.060743647610545</v>
      </c>
      <c r="G29" s="68"/>
      <c r="H29" s="68"/>
      <c r="I29" s="69"/>
      <c r="J29" s="32">
        <f>SUM(K4:K26)</f>
        <v>5.3371190624999993</v>
      </c>
      <c r="K29" s="68"/>
      <c r="L29" s="68"/>
      <c r="M29" s="69"/>
      <c r="N29" s="32">
        <f>SUM(O4:O26)</f>
        <v>11.530371823805273</v>
      </c>
      <c r="O29" s="68"/>
      <c r="P29" s="68"/>
      <c r="Q29" s="69"/>
      <c r="R29" s="32">
        <f>SUM(S4:S26)</f>
        <v>4.4130247999999996</v>
      </c>
      <c r="S29" s="68"/>
      <c r="T29" s="68"/>
      <c r="U29" s="69"/>
      <c r="V29" s="32">
        <f>SUM(W4:W26)</f>
        <v>4.4781714999999993</v>
      </c>
      <c r="W29" s="68"/>
      <c r="X29" s="68"/>
      <c r="Y29" s="69"/>
    </row>
    <row r="30" spans="1:26" ht="52" thickBot="1" x14ac:dyDescent="0.25">
      <c r="A30" s="8" t="s">
        <v>7</v>
      </c>
      <c r="B30" s="35" cm="1">
        <f t="array" ref="B30">INDEX($A4:$A26,MATCH(TRUE,(E4:E26&gt;=0),0))</f>
        <v>3</v>
      </c>
      <c r="C30" s="68"/>
      <c r="D30" s="68"/>
      <c r="E30" s="69"/>
      <c r="F30" s="35" cm="1">
        <f t="array" ref="F30">INDEX($A4:$A26,MATCH(TRUE,(I4:I26&gt;=0),0))</f>
        <v>3</v>
      </c>
      <c r="G30" s="68"/>
      <c r="H30" s="68"/>
      <c r="I30" s="69"/>
      <c r="J30" s="35" cm="1">
        <f t="array" ref="J30">INDEX($A4:$A26,MATCH(TRUE,(M4:M26&gt;=0),0))</f>
        <v>3</v>
      </c>
      <c r="K30" s="68"/>
      <c r="L30" s="68"/>
      <c r="M30" s="69"/>
      <c r="N30" s="35" cm="1">
        <f t="array" ref="N30">INDEX($A4:$A26,MATCH(TRUE,(Q4:Q26&gt;=0),0))</f>
        <v>3</v>
      </c>
      <c r="O30" s="68"/>
      <c r="P30" s="68"/>
      <c r="Q30" s="69"/>
      <c r="R30" s="35" cm="1">
        <f t="array" ref="R30">INDEX($A4:$A26,MATCH(TRUE,(U4:U26&gt;=0),0))</f>
        <v>3</v>
      </c>
      <c r="S30" s="68"/>
      <c r="T30" s="68"/>
      <c r="U30" s="69"/>
      <c r="V30" s="35" cm="1">
        <f t="array" ref="V30">INDEX($A4:$A26,MATCH(TRUE,(Y4:Y26&gt;=0),0))</f>
        <v>2</v>
      </c>
      <c r="W30" s="68"/>
      <c r="X30" s="68"/>
      <c r="Y30" s="69"/>
    </row>
    <row r="31" spans="1:26" ht="35" thickBot="1" x14ac:dyDescent="0.25">
      <c r="A31" s="9" t="s">
        <v>36</v>
      </c>
      <c r="B31" s="36" cm="1">
        <f t="array" ref="B31">AVERAGE((D5:D26)/(1+$Z$5:$Z$26)^$A$5:$A$26)/C4</f>
        <v>0.25739130434782626</v>
      </c>
      <c r="C31" s="68"/>
      <c r="D31" s="68"/>
      <c r="E31" s="69"/>
      <c r="F31" s="36" cm="1">
        <f t="array" ref="F31">AVERAGE((H5:H26)/(1+$Z$5:$Z$26)^$A$5:$A$26)/G4</f>
        <v>0.15019762845849804</v>
      </c>
      <c r="G31" s="68"/>
      <c r="H31" s="68"/>
      <c r="I31" s="69"/>
      <c r="J31" s="36" cm="1">
        <f t="array" ref="J31">AVERAGE((L5:L26)/(1+$Z$5:$Z$26)^$A$5:$A$26)/K4</f>
        <v>7.7075098814229248E-2</v>
      </c>
      <c r="K31" s="68"/>
      <c r="L31" s="68"/>
      <c r="M31" s="69"/>
      <c r="N31" s="36" cm="1">
        <f t="array" ref="N31">AVERAGE((P5:P26)/(1+$Z$5:$Z$26)^$A$5:$A$26)/O4</f>
        <v>0.14146037029332226</v>
      </c>
      <c r="O31" s="68"/>
      <c r="P31" s="68"/>
      <c r="Q31" s="69"/>
      <c r="R31" s="36" cm="1">
        <f t="array" ref="R31">AVERAGE((T5:T26)/(1+$Z$5:$Z$26)^$A$5:$A$26)/S4</f>
        <v>6.6358626064688536E-2</v>
      </c>
      <c r="S31" s="68"/>
      <c r="T31" s="68"/>
      <c r="U31" s="69"/>
      <c r="V31" s="36" cm="1">
        <f t="array" ref="V31">AVERAGE((X5:X26)/(1+$Z$5:$Z$26)^$A$5:$A$26)/W4</f>
        <v>0.13889272782553416</v>
      </c>
      <c r="W31" s="68"/>
      <c r="X31" s="68"/>
      <c r="Y31" s="69"/>
    </row>
    <row r="32" spans="1:26" ht="35" thickBot="1" x14ac:dyDescent="0.25">
      <c r="A32" s="9" t="s">
        <v>44</v>
      </c>
      <c r="B32" s="51">
        <f>$B$28</f>
        <v>0.44402296669363395</v>
      </c>
      <c r="C32" s="66"/>
      <c r="D32" s="66"/>
      <c r="E32" s="67"/>
      <c r="F32" s="51">
        <f>$B$28</f>
        <v>0.44402296669363395</v>
      </c>
      <c r="G32" s="66"/>
      <c r="H32" s="66"/>
      <c r="I32" s="67"/>
      <c r="J32" s="51">
        <f>$B$28+K4</f>
        <v>5.4440229666936339</v>
      </c>
      <c r="K32" s="66"/>
      <c r="L32" s="66"/>
      <c r="M32" s="67"/>
      <c r="N32" s="51">
        <f>$B$28</f>
        <v>0.44402296669363395</v>
      </c>
      <c r="O32" s="66"/>
      <c r="P32" s="66"/>
      <c r="Q32" s="67"/>
      <c r="R32" s="51">
        <f>$B$28+S4</f>
        <v>3.9940229666936338</v>
      </c>
      <c r="S32" s="66"/>
      <c r="T32" s="66"/>
      <c r="U32" s="67"/>
      <c r="V32" s="51">
        <f>$B$28+W4</f>
        <v>3.3040229666936338</v>
      </c>
      <c r="W32" s="66"/>
      <c r="X32" s="66"/>
      <c r="Y32" s="67"/>
    </row>
    <row r="33" spans="1:25" ht="35" thickBot="1" x14ac:dyDescent="0.25">
      <c r="A33" s="9" t="s">
        <v>54</v>
      </c>
      <c r="B33" s="51">
        <f>$B$29-C4</f>
        <v>13.763163801447476</v>
      </c>
      <c r="C33" s="66"/>
      <c r="D33" s="66"/>
      <c r="E33" s="67"/>
      <c r="F33" s="51">
        <f>$B$29-G4</f>
        <v>28.763163801447476</v>
      </c>
      <c r="G33" s="66"/>
      <c r="H33" s="66"/>
      <c r="I33" s="67"/>
      <c r="J33" s="51">
        <f>$B$29</f>
        <v>38.763163801447476</v>
      </c>
      <c r="K33" s="66"/>
      <c r="L33" s="66"/>
      <c r="M33" s="67"/>
      <c r="N33" s="51">
        <f>$B$29-O4</f>
        <v>29.263163801447476</v>
      </c>
      <c r="O33" s="66"/>
      <c r="P33" s="66"/>
      <c r="Q33" s="67"/>
      <c r="R33" s="51">
        <f>$B$29</f>
        <v>38.763163801447476</v>
      </c>
      <c r="S33" s="66"/>
      <c r="T33" s="66"/>
      <c r="U33" s="67"/>
      <c r="V33" s="51">
        <f>$B$29</f>
        <v>38.763163801447476</v>
      </c>
      <c r="W33" s="66"/>
      <c r="X33" s="66"/>
      <c r="Y33" s="67"/>
    </row>
    <row r="34" spans="1:25" ht="17" thickBot="1" x14ac:dyDescent="0.25">
      <c r="A34" s="40" t="s">
        <v>29</v>
      </c>
      <c r="B34" s="44">
        <f>$B$28/($B$29-C4+$B$28)</f>
        <v>3.1253405332105071E-2</v>
      </c>
      <c r="C34" s="72"/>
      <c r="D34" s="72"/>
      <c r="E34" s="73"/>
      <c r="F34" s="44">
        <f>$B$28/($B$29-G4+$B$28)</f>
        <v>1.5202524303982933E-2</v>
      </c>
      <c r="G34" s="72"/>
      <c r="H34" s="72"/>
      <c r="I34" s="73"/>
      <c r="J34" s="44">
        <f>($B$28+K4)/($B$29+$B$28+K4)</f>
        <v>0.12314791699473149</v>
      </c>
      <c r="K34" s="72"/>
      <c r="L34" s="72"/>
      <c r="M34" s="73"/>
      <c r="N34" s="44">
        <f>$B$28/($B$29-O4+$B$28)</f>
        <v>1.4946651467173515E-2</v>
      </c>
      <c r="O34" s="72"/>
      <c r="P34" s="72"/>
      <c r="Q34" s="73"/>
      <c r="R34" s="44">
        <f>($B$28+S4)/($B$29+$B$28+S4)</f>
        <v>9.3411734227323573E-2</v>
      </c>
      <c r="S34" s="72"/>
      <c r="T34" s="72"/>
      <c r="U34" s="73"/>
      <c r="V34" s="44">
        <f>(W4+$B$28)/($B$29+$B$28+W4)</f>
        <v>7.8541571722021614E-2</v>
      </c>
      <c r="W34" s="72"/>
      <c r="X34" s="72"/>
      <c r="Y34" s="73"/>
    </row>
    <row r="35" spans="1:25" ht="33" thickBot="1" x14ac:dyDescent="0.25">
      <c r="A35" s="40" t="s">
        <v>47</v>
      </c>
      <c r="B35" s="44">
        <f>1-B34</f>
        <v>0.96874659466789492</v>
      </c>
      <c r="C35" s="72"/>
      <c r="D35" s="72"/>
      <c r="E35" s="73"/>
      <c r="F35" s="44">
        <f>1-F34</f>
        <v>0.98479747569601706</v>
      </c>
      <c r="G35" s="72"/>
      <c r="H35" s="72"/>
      <c r="I35" s="73"/>
      <c r="J35" s="44">
        <f>1-J34</f>
        <v>0.87685208300526851</v>
      </c>
      <c r="K35" s="72"/>
      <c r="L35" s="72"/>
      <c r="M35" s="73"/>
      <c r="N35" s="44">
        <f>1-N34</f>
        <v>0.98505334853282644</v>
      </c>
      <c r="O35" s="72"/>
      <c r="P35" s="72"/>
      <c r="Q35" s="73"/>
      <c r="R35" s="44">
        <f>1-R34</f>
        <v>0.90658826577267648</v>
      </c>
      <c r="S35" s="72"/>
      <c r="T35" s="72"/>
      <c r="U35" s="73"/>
      <c r="V35" s="44">
        <f>1-V34</f>
        <v>0.92145842827797841</v>
      </c>
      <c r="W35" s="72"/>
      <c r="X35" s="72"/>
      <c r="Y35" s="73"/>
    </row>
    <row r="36" spans="1:25" ht="17" thickBot="1" x14ac:dyDescent="0.25">
      <c r="A36" s="40" t="s">
        <v>30</v>
      </c>
      <c r="B36" s="38">
        <f>0.1</f>
        <v>0.1</v>
      </c>
      <c r="C36" s="68"/>
      <c r="D36" s="68"/>
      <c r="E36" s="69"/>
      <c r="F36" s="38">
        <f>0.1</f>
        <v>0.1</v>
      </c>
      <c r="G36" s="68"/>
      <c r="H36" s="68"/>
      <c r="I36" s="69"/>
      <c r="J36" s="38">
        <f>0.1</f>
        <v>0.1</v>
      </c>
      <c r="K36" s="68"/>
      <c r="L36" s="68"/>
      <c r="M36" s="69"/>
      <c r="N36" s="38">
        <f>0.1</f>
        <v>0.1</v>
      </c>
      <c r="O36" s="68"/>
      <c r="P36" s="68"/>
      <c r="Q36" s="69"/>
      <c r="R36" s="38">
        <f>0.1</f>
        <v>0.1</v>
      </c>
      <c r="S36" s="68"/>
      <c r="T36" s="68"/>
      <c r="U36" s="69"/>
      <c r="V36" s="38">
        <f>0.1</f>
        <v>0.1</v>
      </c>
      <c r="W36" s="68"/>
      <c r="X36" s="68"/>
      <c r="Y36" s="69"/>
    </row>
    <row r="37" spans="1:25" ht="17" thickBot="1" x14ac:dyDescent="0.25">
      <c r="A37" s="40" t="s">
        <v>31</v>
      </c>
      <c r="B37" s="39">
        <f>($B$32+B31/$Z$4*C4/$B$29)*(B35+B34*(1-$E$2))/B35</f>
        <v>1.5293356199003616</v>
      </c>
      <c r="C37" s="68"/>
      <c r="D37" s="68"/>
      <c r="E37" s="69"/>
      <c r="F37" s="39">
        <f>($B$32+F31/$Z$4*G4/$B$29)*(F35+F34*(1-$E$2))/F35</f>
        <v>0.69678787222132677</v>
      </c>
      <c r="G37" s="68"/>
      <c r="H37" s="68"/>
      <c r="I37" s="69"/>
      <c r="J37" s="39">
        <f>($B$32+J31/$Z$4*K4/$B$29)*(J35+J34*(1-$E$2))/J35</f>
        <v>0.57724581590925361</v>
      </c>
      <c r="K37" s="68"/>
      <c r="L37" s="68"/>
      <c r="M37" s="69"/>
      <c r="N37" s="39">
        <f>($B$32+N31/$Z$4*O4/$B$29)*(N35+N34*(1-$E$2))/N35</f>
        <v>0.67072829327042283</v>
      </c>
      <c r="O37" s="68"/>
      <c r="P37" s="68"/>
      <c r="Q37" s="69"/>
      <c r="R37" s="39">
        <f>($B$32+R31/$Z$4*S4/$B$29)*(R35+R34*(1-$E$2))/R35</f>
        <v>0.5316699395450335</v>
      </c>
      <c r="S37" s="68"/>
      <c r="T37" s="68"/>
      <c r="U37" s="69"/>
      <c r="V37" s="39">
        <f>($B$32+V31/$Z$4*W4/$B$29)*(V35+V34*(1-$E$2))/V35</f>
        <v>0.55137710446351329</v>
      </c>
      <c r="W37" s="68"/>
      <c r="X37" s="68"/>
      <c r="Y37" s="69"/>
    </row>
    <row r="38" spans="1:25" ht="33" thickBot="1" x14ac:dyDescent="0.25">
      <c r="A38" s="40" t="s">
        <v>32</v>
      </c>
      <c r="B38" s="37">
        <f>$Z$4+($B$33*B37)</f>
        <v>21.208496644076892</v>
      </c>
      <c r="C38" s="68"/>
      <c r="D38" s="68"/>
      <c r="E38" s="69"/>
      <c r="F38" s="37">
        <f>$Z$4+($B$33*F37)</f>
        <v>9.7500056202441741</v>
      </c>
      <c r="G38" s="68"/>
      <c r="H38" s="68"/>
      <c r="I38" s="69"/>
      <c r="J38" s="37">
        <f>$Z$4+($B$33*J37)</f>
        <v>8.1047287180592527</v>
      </c>
      <c r="K38" s="68"/>
      <c r="L38" s="68"/>
      <c r="M38" s="69"/>
      <c r="N38" s="37">
        <f>$Z$4+($B$33*N37)</f>
        <v>9.3913433665461294</v>
      </c>
      <c r="O38" s="68"/>
      <c r="P38" s="68"/>
      <c r="Q38" s="69"/>
      <c r="R38" s="37">
        <f>$Z$4+($B$33*R37)</f>
        <v>7.477460466263973</v>
      </c>
      <c r="S38" s="68"/>
      <c r="T38" s="68"/>
      <c r="U38" s="69"/>
      <c r="V38" s="37">
        <f>$Z$4+($B$33*V37)</f>
        <v>7.7486934050991501</v>
      </c>
      <c r="W38" s="68"/>
      <c r="X38" s="68"/>
      <c r="Y38" s="69"/>
    </row>
    <row r="39" spans="1:25" ht="33" thickBot="1" x14ac:dyDescent="0.25">
      <c r="A39" s="40" t="s">
        <v>33</v>
      </c>
      <c r="B39" s="37">
        <f>B34*B36*(1-$E$2)</f>
        <v>3.1253405332105073E-3</v>
      </c>
      <c r="C39" s="68"/>
      <c r="D39" s="68"/>
      <c r="E39" s="69"/>
      <c r="F39" s="37">
        <f>F34*F36*(1-$E$2)</f>
        <v>1.5202524303982933E-3</v>
      </c>
      <c r="G39" s="68"/>
      <c r="H39" s="68"/>
      <c r="I39" s="69"/>
      <c r="J39" s="37">
        <f>J34*J36*(1-$E$2)</f>
        <v>1.231479169947315E-2</v>
      </c>
      <c r="K39" s="68"/>
      <c r="L39" s="68"/>
      <c r="M39" s="69"/>
      <c r="N39" s="37">
        <f>N34*N36*(1-$E$2)</f>
        <v>1.4946651467173516E-3</v>
      </c>
      <c r="O39" s="68"/>
      <c r="P39" s="68"/>
      <c r="Q39" s="69"/>
      <c r="R39" s="37">
        <f>R34*R36*(1-$E$2)</f>
        <v>9.3411734227323573E-3</v>
      </c>
      <c r="S39" s="68"/>
      <c r="T39" s="68"/>
      <c r="U39" s="69"/>
      <c r="V39" s="37">
        <f>V34*V36*(1-$E$2)</f>
        <v>7.854157172202161E-3</v>
      </c>
      <c r="W39" s="68"/>
      <c r="X39" s="68"/>
      <c r="Y39" s="69"/>
    </row>
    <row r="40" spans="1:25" ht="17" thickBot="1" x14ac:dyDescent="0.25">
      <c r="A40" s="41" t="s">
        <v>34</v>
      </c>
      <c r="B40" s="45">
        <f>B38*B35+B39</f>
        <v>20.548784242508177</v>
      </c>
      <c r="C40" s="70"/>
      <c r="D40" s="70"/>
      <c r="E40" s="71"/>
      <c r="F40" s="45">
        <f>F38*F35+F39</f>
        <v>9.6033011752688395</v>
      </c>
      <c r="G40" s="70"/>
      <c r="H40" s="70"/>
      <c r="I40" s="71"/>
      <c r="J40" s="45">
        <f>J38*J35+J39</f>
        <v>7.118963050322348</v>
      </c>
      <c r="K40" s="70"/>
      <c r="L40" s="70"/>
      <c r="M40" s="71"/>
      <c r="N40" s="45">
        <f>N38*N35+N39</f>
        <v>9.2524688955845296</v>
      </c>
      <c r="O40" s="70"/>
      <c r="P40" s="70"/>
      <c r="Q40" s="71"/>
      <c r="R40" s="45">
        <f>R38*R35+R39</f>
        <v>6.7883190899167367</v>
      </c>
      <c r="S40" s="70"/>
      <c r="T40" s="70"/>
      <c r="U40" s="71"/>
      <c r="V40" s="45">
        <f>V38*V35+V39</f>
        <v>7.1479530034428018</v>
      </c>
      <c r="W40" s="70"/>
      <c r="X40" s="70"/>
      <c r="Y40" s="71"/>
    </row>
  </sheetData>
  <mergeCells count="93">
    <mergeCell ref="C40:E40"/>
    <mergeCell ref="G40:I40"/>
    <mergeCell ref="K40:M40"/>
    <mergeCell ref="O40:Q40"/>
    <mergeCell ref="S40:U40"/>
    <mergeCell ref="W40:Y40"/>
    <mergeCell ref="C39:E39"/>
    <mergeCell ref="G39:I39"/>
    <mergeCell ref="K39:M39"/>
    <mergeCell ref="O39:Q39"/>
    <mergeCell ref="S39:U39"/>
    <mergeCell ref="W39:Y39"/>
    <mergeCell ref="C38:E38"/>
    <mergeCell ref="G38:I38"/>
    <mergeCell ref="K38:M38"/>
    <mergeCell ref="O38:Q38"/>
    <mergeCell ref="S38:U38"/>
    <mergeCell ref="W38:Y38"/>
    <mergeCell ref="C37:E37"/>
    <mergeCell ref="G37:I37"/>
    <mergeCell ref="K37:M37"/>
    <mergeCell ref="O37:Q37"/>
    <mergeCell ref="S37:U37"/>
    <mergeCell ref="W37:Y37"/>
    <mergeCell ref="C36:E36"/>
    <mergeCell ref="G36:I36"/>
    <mergeCell ref="K36:M36"/>
    <mergeCell ref="O36:Q36"/>
    <mergeCell ref="S36:U36"/>
    <mergeCell ref="W36:Y36"/>
    <mergeCell ref="C35:E35"/>
    <mergeCell ref="G35:I35"/>
    <mergeCell ref="K35:M35"/>
    <mergeCell ref="O35:Q35"/>
    <mergeCell ref="S35:U35"/>
    <mergeCell ref="W35:Y35"/>
    <mergeCell ref="C34:E34"/>
    <mergeCell ref="G34:I34"/>
    <mergeCell ref="K34:M34"/>
    <mergeCell ref="O34:Q34"/>
    <mergeCell ref="S34:U34"/>
    <mergeCell ref="W34:Y34"/>
    <mergeCell ref="C33:E33"/>
    <mergeCell ref="G33:I33"/>
    <mergeCell ref="K33:M33"/>
    <mergeCell ref="O33:Q33"/>
    <mergeCell ref="S33:U33"/>
    <mergeCell ref="W33:Y33"/>
    <mergeCell ref="C32:E32"/>
    <mergeCell ref="G32:I32"/>
    <mergeCell ref="K32:M32"/>
    <mergeCell ref="O32:Q32"/>
    <mergeCell ref="S32:U32"/>
    <mergeCell ref="W32:Y32"/>
    <mergeCell ref="C31:E31"/>
    <mergeCell ref="G31:I31"/>
    <mergeCell ref="K31:M31"/>
    <mergeCell ref="O31:Q31"/>
    <mergeCell ref="S31:U31"/>
    <mergeCell ref="W31:Y31"/>
    <mergeCell ref="C30:E30"/>
    <mergeCell ref="G30:I30"/>
    <mergeCell ref="K30:M30"/>
    <mergeCell ref="O30:Q30"/>
    <mergeCell ref="S30:U30"/>
    <mergeCell ref="W30:Y30"/>
    <mergeCell ref="C29:E29"/>
    <mergeCell ref="G29:I29"/>
    <mergeCell ref="K29:M29"/>
    <mergeCell ref="O29:Q29"/>
    <mergeCell ref="S29:U29"/>
    <mergeCell ref="W29:Y29"/>
    <mergeCell ref="C28:E28"/>
    <mergeCell ref="G28:I28"/>
    <mergeCell ref="K28:M28"/>
    <mergeCell ref="O28:Q28"/>
    <mergeCell ref="S28:U28"/>
    <mergeCell ref="W28:Y28"/>
    <mergeCell ref="C27:E27"/>
    <mergeCell ref="G27:I27"/>
    <mergeCell ref="K27:M27"/>
    <mergeCell ref="O27:Q27"/>
    <mergeCell ref="S27:U27"/>
    <mergeCell ref="W27:Y27"/>
    <mergeCell ref="B1:M1"/>
    <mergeCell ref="N1:U1"/>
    <mergeCell ref="V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49E-41EE-BD40-948A-E3B1655DDC3B}">
  <dimension ref="A1:V28"/>
  <sheetViews>
    <sheetView zoomScale="108" workbookViewId="0">
      <selection activeCell="M11" sqref="M11:V16"/>
    </sheetView>
  </sheetViews>
  <sheetFormatPr baseColWidth="10" defaultRowHeight="16" x14ac:dyDescent="0.2"/>
  <cols>
    <col min="9" max="9" width="11.83203125" bestFit="1" customWidth="1"/>
  </cols>
  <sheetData>
    <row r="1" spans="1:22" ht="75" x14ac:dyDescent="0.2">
      <c r="A1" s="53" t="s">
        <v>0</v>
      </c>
      <c r="B1" s="53" t="s">
        <v>10</v>
      </c>
      <c r="C1" s="53" t="s">
        <v>4</v>
      </c>
      <c r="D1" s="53" t="s">
        <v>5</v>
      </c>
      <c r="E1" s="53" t="s">
        <v>6</v>
      </c>
      <c r="F1" s="53" t="s">
        <v>9</v>
      </c>
      <c r="G1" s="53" t="s">
        <v>7</v>
      </c>
      <c r="I1" s="53" t="s">
        <v>10</v>
      </c>
      <c r="J1" s="53" t="s">
        <v>4</v>
      </c>
      <c r="K1" s="53" t="s">
        <v>5</v>
      </c>
      <c r="L1" s="53" t="s">
        <v>6</v>
      </c>
      <c r="M1" s="53" t="s">
        <v>9</v>
      </c>
      <c r="N1" s="59" t="s">
        <v>17</v>
      </c>
      <c r="O1" s="59" t="s">
        <v>18</v>
      </c>
      <c r="P1" s="59" t="s">
        <v>19</v>
      </c>
      <c r="S1" s="5" t="s">
        <v>24</v>
      </c>
      <c r="T1" s="5" t="s">
        <v>25</v>
      </c>
    </row>
    <row r="2" spans="1:22" ht="16" customHeight="1" x14ac:dyDescent="0.2">
      <c r="A2" s="85" t="s">
        <v>1</v>
      </c>
      <c r="B2" s="55">
        <v>1</v>
      </c>
      <c r="C2" s="56">
        <f>'cash flows'!AC2</f>
        <v>38.763163801447476</v>
      </c>
      <c r="D2" s="56">
        <f>'cash flows'!D3</f>
        <v>25</v>
      </c>
      <c r="E2" s="56">
        <f>'cash flows'!AA2</f>
        <v>116.5652173913044</v>
      </c>
      <c r="F2" s="57">
        <f>'cash flows'!AB2</f>
        <v>0.44402296669363395</v>
      </c>
      <c r="G2" s="55">
        <f>'cash flows'!AD2</f>
        <v>3</v>
      </c>
      <c r="I2" s="60" t="s">
        <v>11</v>
      </c>
      <c r="J2" s="56">
        <f>C2</f>
        <v>38.763163801447476</v>
      </c>
      <c r="K2" s="56">
        <f t="shared" ref="K2:M7" si="0">D2</f>
        <v>25</v>
      </c>
      <c r="L2" s="56">
        <f t="shared" si="0"/>
        <v>116.5652173913044</v>
      </c>
      <c r="M2" s="61">
        <f t="shared" si="0"/>
        <v>0.44402296669363395</v>
      </c>
      <c r="N2" s="56">
        <v>0.4350927246790311</v>
      </c>
      <c r="O2" s="56">
        <v>0.56490727532096896</v>
      </c>
      <c r="P2" s="62">
        <f>'cash flows'!AN2</f>
        <v>0.156451940292336</v>
      </c>
      <c r="Q2" s="52"/>
      <c r="R2" t="s">
        <v>23</v>
      </c>
      <c r="S2">
        <v>87</v>
      </c>
      <c r="T2">
        <v>80</v>
      </c>
    </row>
    <row r="3" spans="1:22" x14ac:dyDescent="0.2">
      <c r="A3" s="85"/>
      <c r="B3" s="55">
        <v>2</v>
      </c>
      <c r="C3" s="56">
        <f>'cash flows'!AC6</f>
        <v>14.060743647610545</v>
      </c>
      <c r="D3" s="56">
        <f>'cash flows'!D7</f>
        <v>10</v>
      </c>
      <c r="E3" s="56">
        <f>'cash flows'!AA6</f>
        <v>23.04347826086957</v>
      </c>
      <c r="F3" s="57">
        <f>'cash flows'!AB6</f>
        <v>0.50404986294307186</v>
      </c>
      <c r="G3" s="55">
        <f>'cash flows'!AD6</f>
        <v>3</v>
      </c>
      <c r="I3" s="60" t="s">
        <v>12</v>
      </c>
      <c r="J3" s="56">
        <f t="shared" ref="J3:J7" si="1">C3</f>
        <v>14.060743647610545</v>
      </c>
      <c r="K3" s="56">
        <f t="shared" si="0"/>
        <v>10</v>
      </c>
      <c r="L3" s="56">
        <f t="shared" si="0"/>
        <v>23.04347826086957</v>
      </c>
      <c r="M3" s="61">
        <f t="shared" si="0"/>
        <v>0.50404986294307186</v>
      </c>
      <c r="N3" s="56">
        <v>0.46049046321525883</v>
      </c>
      <c r="O3" s="56">
        <v>0.53950953678474112</v>
      </c>
      <c r="P3" s="63">
        <f>'cash flows'!AN6</f>
        <v>0.14667145677842278</v>
      </c>
      <c r="Q3" s="52"/>
      <c r="R3" t="s">
        <v>26</v>
      </c>
      <c r="S3">
        <v>54</v>
      </c>
      <c r="T3">
        <v>50</v>
      </c>
    </row>
    <row r="4" spans="1:22" x14ac:dyDescent="0.2">
      <c r="A4" s="85"/>
      <c r="B4" s="55">
        <v>3</v>
      </c>
      <c r="C4" s="56">
        <f>'cash flows'!AC10</f>
        <v>5.3371190624999993</v>
      </c>
      <c r="D4" s="56">
        <f>'cash flows'!D11</f>
        <v>5</v>
      </c>
      <c r="E4" s="56">
        <f>'cash flows'!AA10</f>
        <v>3.4782608695652177</v>
      </c>
      <c r="F4" s="57">
        <f>'cash flows'!AB10</f>
        <v>0.38740716343579717</v>
      </c>
      <c r="G4" s="55">
        <f>'cash flows'!AD10</f>
        <v>3</v>
      </c>
      <c r="I4" s="60" t="s">
        <v>14</v>
      </c>
      <c r="J4" s="56">
        <f>C5</f>
        <v>11.530371823805273</v>
      </c>
      <c r="K4" s="56">
        <f>D5</f>
        <v>9.5</v>
      </c>
      <c r="L4" s="56">
        <f>E5</f>
        <v>20.065217391304351</v>
      </c>
      <c r="M4" s="61">
        <f>F5</f>
        <v>0.47898070676358007</v>
      </c>
      <c r="N4" s="56">
        <v>0.46129778261461024</v>
      </c>
      <c r="O4" s="56">
        <v>0.5387022173853897</v>
      </c>
      <c r="P4" s="63">
        <f>'cash flows'!AN14</f>
        <v>0.14635757710180416</v>
      </c>
      <c r="Q4" s="52"/>
    </row>
    <row r="5" spans="1:22" x14ac:dyDescent="0.2">
      <c r="A5" s="86" t="s">
        <v>2</v>
      </c>
      <c r="B5" s="55">
        <v>1</v>
      </c>
      <c r="C5" s="56">
        <f>'cash flows'!AC14</f>
        <v>11.530371823805273</v>
      </c>
      <c r="D5" s="56">
        <f>'cash flows'!D15</f>
        <v>9.5</v>
      </c>
      <c r="E5" s="56">
        <f>'cash flows'!AA14</f>
        <v>20.065217391304351</v>
      </c>
      <c r="F5" s="57">
        <f>'cash flows'!AB14</f>
        <v>0.47898070676358007</v>
      </c>
      <c r="G5" s="55">
        <f>'cash flows'!AD14</f>
        <v>3</v>
      </c>
      <c r="I5" s="60" t="s">
        <v>13</v>
      </c>
      <c r="J5" s="56">
        <f>C4</f>
        <v>5.3371190624999993</v>
      </c>
      <c r="K5" s="56">
        <f>D4</f>
        <v>5</v>
      </c>
      <c r="L5" s="56">
        <f>E4</f>
        <v>3.4782608695652177</v>
      </c>
      <c r="M5" s="61">
        <f>F4</f>
        <v>0.38740716343579717</v>
      </c>
      <c r="N5" s="56">
        <v>0.46936114732724898</v>
      </c>
      <c r="O5" s="56">
        <v>0.53063885267275102</v>
      </c>
      <c r="P5" s="63">
        <f>'cash flows'!AN10</f>
        <v>0.14464482101354798</v>
      </c>
      <c r="Q5" s="52"/>
    </row>
    <row r="6" spans="1:22" x14ac:dyDescent="0.2">
      <c r="A6" s="86"/>
      <c r="B6" s="55">
        <v>2</v>
      </c>
      <c r="C6" s="56">
        <f>'cash flows'!AC18</f>
        <v>4.4130247999999996</v>
      </c>
      <c r="D6" s="56">
        <f>'cash flows'!D19</f>
        <v>3.55</v>
      </c>
      <c r="E6" s="56">
        <f>'cash flows'!AA18</f>
        <v>1.6326086956521748</v>
      </c>
      <c r="F6" s="57">
        <f>'cash flows'!AB18</f>
        <v>0.31214019071283294</v>
      </c>
      <c r="G6" s="55">
        <f>'cash flows'!AD18</f>
        <v>3</v>
      </c>
      <c r="I6" s="60" t="s">
        <v>15</v>
      </c>
      <c r="J6" s="56">
        <f t="shared" si="1"/>
        <v>4.4130247999999996</v>
      </c>
      <c r="K6" s="56">
        <f t="shared" si="0"/>
        <v>3.55</v>
      </c>
      <c r="L6" s="56">
        <f t="shared" si="0"/>
        <v>1.6326086956521748</v>
      </c>
      <c r="M6" s="61">
        <f t="shared" si="0"/>
        <v>0.31214019071283294</v>
      </c>
      <c r="N6" s="56">
        <v>0.47132140191932548</v>
      </c>
      <c r="O6" s="56">
        <v>0.52867859808067452</v>
      </c>
      <c r="P6" s="63">
        <f>'cash flows'!AN18</f>
        <v>0.14441913918762331</v>
      </c>
      <c r="Q6" s="52"/>
    </row>
    <row r="7" spans="1:22" x14ac:dyDescent="0.2">
      <c r="A7" s="58" t="s">
        <v>3</v>
      </c>
      <c r="B7" s="55">
        <v>1</v>
      </c>
      <c r="C7" s="56">
        <f>'cash flows'!AC22</f>
        <v>4.4781714999999993</v>
      </c>
      <c r="D7" s="56">
        <f>'cash flows'!D23</f>
        <v>2.86</v>
      </c>
      <c r="E7" s="56">
        <f>'cash flows'!AA22</f>
        <v>5.8791304347826099</v>
      </c>
      <c r="F7" s="57">
        <f>'cash flows'!AB22</f>
        <v>0.77185419938104216</v>
      </c>
      <c r="G7" s="55">
        <f>'cash flows'!AD22</f>
        <v>2</v>
      </c>
      <c r="I7" s="60" t="s">
        <v>16</v>
      </c>
      <c r="J7" s="56">
        <f t="shared" si="1"/>
        <v>4.4781714999999993</v>
      </c>
      <c r="K7" s="56">
        <f t="shared" si="0"/>
        <v>2.86</v>
      </c>
      <c r="L7" s="56">
        <f t="shared" si="0"/>
        <v>5.8791304347826099</v>
      </c>
      <c r="M7" s="61">
        <f t="shared" si="0"/>
        <v>0.77185419938104216</v>
      </c>
      <c r="N7" s="56">
        <v>0.47225997386828139</v>
      </c>
      <c r="O7" s="56">
        <v>0.52774002613171866</v>
      </c>
      <c r="P7" s="63">
        <f>'cash flows'!AN22</f>
        <v>0.14484592451905343</v>
      </c>
      <c r="Q7" s="52"/>
    </row>
    <row r="8" spans="1:22" x14ac:dyDescent="0.2">
      <c r="A8" s="54" t="s">
        <v>8</v>
      </c>
      <c r="B8" s="55"/>
      <c r="C8" s="56">
        <f>SUM(C2:C7)</f>
        <v>78.582594635363293</v>
      </c>
      <c r="D8" s="56">
        <f>SUM(D2:D7)</f>
        <v>55.91</v>
      </c>
      <c r="E8" s="56">
        <f>SUM(E2:E7)</f>
        <v>170.66391304347832</v>
      </c>
      <c r="F8" s="55"/>
      <c r="G8" s="55"/>
      <c r="I8" s="60" t="s">
        <v>8</v>
      </c>
      <c r="J8" s="56">
        <f>SUM(J2:J7)</f>
        <v>78.582594635363293</v>
      </c>
      <c r="K8" s="56">
        <f>SUM(K2:K7)</f>
        <v>55.91</v>
      </c>
      <c r="L8" s="56">
        <f>SUM(L2:L7)</f>
        <v>170.66391304347832</v>
      </c>
      <c r="M8" s="55"/>
      <c r="N8" s="55"/>
      <c r="O8" s="55"/>
      <c r="P8" s="55"/>
    </row>
    <row r="11" spans="1:22" ht="75" x14ac:dyDescent="0.2">
      <c r="A11" s="53" t="s">
        <v>10</v>
      </c>
      <c r="B11" s="53" t="s">
        <v>4</v>
      </c>
      <c r="C11" s="53" t="s">
        <v>5</v>
      </c>
      <c r="D11" s="53" t="s">
        <v>6</v>
      </c>
      <c r="E11" s="53" t="s">
        <v>9</v>
      </c>
      <c r="F11" s="59" t="s">
        <v>17</v>
      </c>
      <c r="G11" s="59" t="s">
        <v>18</v>
      </c>
      <c r="H11" s="58" t="s">
        <v>20</v>
      </c>
      <c r="I11" s="64" t="s">
        <v>21</v>
      </c>
      <c r="J11" s="58" t="s">
        <v>22</v>
      </c>
      <c r="M11" s="53" t="s">
        <v>10</v>
      </c>
      <c r="N11" s="53" t="s">
        <v>4</v>
      </c>
      <c r="O11" s="53" t="s">
        <v>5</v>
      </c>
      <c r="P11" s="53" t="s">
        <v>6</v>
      </c>
      <c r="Q11" s="53" t="s">
        <v>9</v>
      </c>
      <c r="R11" s="59" t="s">
        <v>17</v>
      </c>
      <c r="S11" s="59" t="s">
        <v>18</v>
      </c>
      <c r="T11" s="58" t="s">
        <v>20</v>
      </c>
      <c r="U11" s="64" t="s">
        <v>21</v>
      </c>
      <c r="V11" s="58" t="s">
        <v>22</v>
      </c>
    </row>
    <row r="12" spans="1:22" x14ac:dyDescent="0.2">
      <c r="A12" s="60" t="s">
        <v>11</v>
      </c>
      <c r="B12" s="56">
        <v>38.763163801447476</v>
      </c>
      <c r="C12" s="56">
        <v>25</v>
      </c>
      <c r="D12" s="56">
        <v>116.5652173913044</v>
      </c>
      <c r="E12" s="57">
        <v>0.44402296669363395</v>
      </c>
      <c r="F12" s="56">
        <v>0.4350927246790311</v>
      </c>
      <c r="G12" s="56">
        <v>0.56490727532096896</v>
      </c>
      <c r="H12" s="56">
        <f>B12</f>
        <v>38.763163801447476</v>
      </c>
      <c r="I12" s="55">
        <v>0</v>
      </c>
      <c r="J12" s="65">
        <f>C12*P2</f>
        <v>3.9112985073084001</v>
      </c>
      <c r="M12" s="60" t="s">
        <v>11</v>
      </c>
      <c r="N12" s="56">
        <v>38.763163801447476</v>
      </c>
      <c r="O12" s="56">
        <v>25</v>
      </c>
      <c r="P12" s="56">
        <v>116.5652173913044</v>
      </c>
      <c r="Q12" s="57">
        <v>0.44402296669363395</v>
      </c>
      <c r="R12" s="56">
        <v>0.4350927246790311</v>
      </c>
      <c r="S12" s="56">
        <v>0.56490727532096896</v>
      </c>
      <c r="T12" s="56">
        <f>N12</f>
        <v>38.763163801447476</v>
      </c>
      <c r="U12" s="55">
        <v>0</v>
      </c>
      <c r="V12" s="65">
        <v>3.9112985073084001</v>
      </c>
    </row>
    <row r="13" spans="1:22" x14ac:dyDescent="0.2">
      <c r="A13" s="60" t="s">
        <v>12</v>
      </c>
      <c r="B13" s="56">
        <v>14.060743647610545</v>
      </c>
      <c r="C13" s="56">
        <v>10</v>
      </c>
      <c r="D13" s="56">
        <v>23.04347826086957</v>
      </c>
      <c r="E13" s="57">
        <v>0.50404986294307186</v>
      </c>
      <c r="F13" s="56">
        <v>0.46049046321525883</v>
      </c>
      <c r="G13" s="56">
        <v>0.53950953678474112</v>
      </c>
      <c r="H13" s="56">
        <f>B13</f>
        <v>14.060743647610545</v>
      </c>
      <c r="I13" s="55">
        <v>0</v>
      </c>
      <c r="J13" s="65">
        <f t="shared" ref="J13:J16" si="2">C13*P3</f>
        <v>1.4667145677842277</v>
      </c>
      <c r="M13" s="60" t="s">
        <v>12</v>
      </c>
      <c r="N13" s="56">
        <v>14.060743647610545</v>
      </c>
      <c r="O13" s="56">
        <v>10</v>
      </c>
      <c r="P13" s="56">
        <v>23.04347826086957</v>
      </c>
      <c r="Q13" s="57">
        <v>0.50404986294307186</v>
      </c>
      <c r="R13" s="56">
        <v>0.46049046321525883</v>
      </c>
      <c r="S13" s="56">
        <v>0.53950953678474112</v>
      </c>
      <c r="T13" s="56">
        <f>N13</f>
        <v>14.060743647610545</v>
      </c>
      <c r="U13" s="55">
        <v>0</v>
      </c>
      <c r="V13" s="65">
        <v>1.4667145677842277</v>
      </c>
    </row>
    <row r="14" spans="1:22" x14ac:dyDescent="0.2">
      <c r="A14" s="60" t="s">
        <v>14</v>
      </c>
      <c r="B14" s="56">
        <v>11.530371823805273</v>
      </c>
      <c r="C14" s="56">
        <v>9.5</v>
      </c>
      <c r="D14" s="56">
        <v>20.065217391304351</v>
      </c>
      <c r="E14" s="57">
        <v>0.47898070676358007</v>
      </c>
      <c r="F14" s="56">
        <v>0.46129778261461024</v>
      </c>
      <c r="G14" s="56">
        <v>0.5387022173853897</v>
      </c>
      <c r="H14" s="55">
        <v>0</v>
      </c>
      <c r="I14" s="56">
        <f>C14-H14</f>
        <v>9.5</v>
      </c>
      <c r="J14" s="65">
        <f t="shared" si="2"/>
        <v>1.3903969824671396</v>
      </c>
      <c r="M14" s="60" t="s">
        <v>14</v>
      </c>
      <c r="N14" s="56">
        <v>11.530371823805273</v>
      </c>
      <c r="O14" s="56">
        <v>9.5</v>
      </c>
      <c r="P14" s="56">
        <v>20.065217391304351</v>
      </c>
      <c r="Q14" s="57">
        <v>0.47898070676358007</v>
      </c>
      <c r="R14" s="56">
        <v>0.46129778261461024</v>
      </c>
      <c r="S14" s="56">
        <v>0.5387022173853897</v>
      </c>
      <c r="T14" s="55">
        <v>0</v>
      </c>
      <c r="U14" s="56">
        <f>O14-T14</f>
        <v>9.5</v>
      </c>
      <c r="V14" s="65">
        <v>1.3903969824671396</v>
      </c>
    </row>
    <row r="15" spans="1:22" x14ac:dyDescent="0.2">
      <c r="A15" s="60" t="s">
        <v>13</v>
      </c>
      <c r="B15" s="56">
        <v>5.3371190624999993</v>
      </c>
      <c r="C15" s="56">
        <v>5</v>
      </c>
      <c r="D15" s="56">
        <v>3.4782608695652177</v>
      </c>
      <c r="E15" s="57">
        <v>0.38740716343579717</v>
      </c>
      <c r="F15" s="56">
        <v>0.46936114732724898</v>
      </c>
      <c r="G15" s="56">
        <v>0.53063885267275102</v>
      </c>
      <c r="H15" s="56">
        <f>B15</f>
        <v>5.3371190624999993</v>
      </c>
      <c r="I15" s="56">
        <v>0</v>
      </c>
      <c r="J15" s="65">
        <f t="shared" si="2"/>
        <v>0.72322410506773993</v>
      </c>
      <c r="M15" s="60" t="s">
        <v>13</v>
      </c>
      <c r="N15" s="56">
        <v>5.3371190624999993</v>
      </c>
      <c r="O15" s="56">
        <v>5</v>
      </c>
      <c r="P15" s="56">
        <v>3.4782608695652177</v>
      </c>
      <c r="Q15" s="57">
        <v>0.38740716343579717</v>
      </c>
      <c r="R15" s="56">
        <v>0.46936114732724898</v>
      </c>
      <c r="S15" s="56">
        <v>0.53063885267275102</v>
      </c>
      <c r="T15" s="56">
        <f>N15</f>
        <v>5.3371190624999993</v>
      </c>
      <c r="U15" s="56">
        <v>0</v>
      </c>
      <c r="V15" s="65">
        <v>0.72322410506773993</v>
      </c>
    </row>
    <row r="16" spans="1:22" x14ac:dyDescent="0.2">
      <c r="A16" s="60" t="s">
        <v>15</v>
      </c>
      <c r="B16" s="56">
        <v>4.4130247999999996</v>
      </c>
      <c r="C16" s="56">
        <v>3.55</v>
      </c>
      <c r="D16" s="56">
        <v>1.6326086956521748</v>
      </c>
      <c r="E16" s="57">
        <v>0.31214019071283294</v>
      </c>
      <c r="F16" s="56">
        <v>0.47132140191932548</v>
      </c>
      <c r="G16" s="56">
        <v>0.52867859808067452</v>
      </c>
      <c r="H16" s="55">
        <v>0</v>
      </c>
      <c r="I16" s="56">
        <f>B16</f>
        <v>4.4130247999999996</v>
      </c>
      <c r="J16" s="65">
        <f t="shared" si="2"/>
        <v>0.51268794411606267</v>
      </c>
      <c r="M16" s="60" t="s">
        <v>8</v>
      </c>
      <c r="N16" s="56">
        <f>SUM(N12:N15)</f>
        <v>69.691398335363289</v>
      </c>
      <c r="O16" s="56">
        <f t="shared" ref="O16:P16" si="3">SUM(O12:O15)</f>
        <v>49.5</v>
      </c>
      <c r="P16" s="56">
        <f t="shared" si="3"/>
        <v>163.15217391304353</v>
      </c>
      <c r="Q16" s="56"/>
      <c r="R16" s="56"/>
      <c r="S16" s="56"/>
      <c r="T16" s="56">
        <f t="shared" ref="T16" si="4">SUM(T12:T15)</f>
        <v>58.161026511558021</v>
      </c>
      <c r="U16" s="56">
        <f t="shared" ref="U16" si="5">SUM(U12:U15)</f>
        <v>9.5</v>
      </c>
      <c r="V16" s="56">
        <f t="shared" ref="V16" si="6">SUM(V12:V15)</f>
        <v>7.4916341626275074</v>
      </c>
    </row>
    <row r="17" spans="1:22" x14ac:dyDescent="0.2">
      <c r="A17" s="60" t="s">
        <v>16</v>
      </c>
      <c r="B17" s="56">
        <v>4.4781714999999993</v>
      </c>
      <c r="C17" s="56">
        <v>2.86</v>
      </c>
      <c r="D17" s="56">
        <v>5.8791304347826099</v>
      </c>
      <c r="E17" s="57">
        <v>0.77185419938104216</v>
      </c>
      <c r="F17" s="56">
        <v>0.47225997386828139</v>
      </c>
      <c r="G17" s="56">
        <v>0.52774002613171866</v>
      </c>
      <c r="H17" s="55">
        <v>0</v>
      </c>
      <c r="I17" s="56">
        <f>B17</f>
        <v>4.4781714999999993</v>
      </c>
      <c r="J17" s="65">
        <f>C17*P7</f>
        <v>0.41425934412449278</v>
      </c>
    </row>
    <row r="18" spans="1:22" x14ac:dyDescent="0.2">
      <c r="A18" s="60" t="s">
        <v>8</v>
      </c>
      <c r="B18" s="56">
        <v>78.582594635363293</v>
      </c>
      <c r="C18" s="56">
        <v>55.91</v>
      </c>
      <c r="D18" s="56">
        <v>170.66391304347832</v>
      </c>
      <c r="E18" s="55"/>
      <c r="F18" s="55"/>
      <c r="G18" s="55"/>
      <c r="H18" s="56">
        <f t="shared" ref="H18:I18" si="7">SUM(H12:H17)</f>
        <v>58.161026511558021</v>
      </c>
      <c r="I18" s="56">
        <f t="shared" si="7"/>
        <v>18.391196299999997</v>
      </c>
      <c r="J18" s="56">
        <f>SUM(J12:J17)</f>
        <v>8.4185814508680625</v>
      </c>
    </row>
    <row r="24" spans="1:22" x14ac:dyDescent="0.2">
      <c r="M24" s="2" t="s">
        <v>15</v>
      </c>
      <c r="N24" s="3">
        <v>4.4130247999999996</v>
      </c>
      <c r="O24" s="3">
        <v>3.55</v>
      </c>
      <c r="P24" s="3">
        <v>1.6326086956521748</v>
      </c>
      <c r="Q24" s="42">
        <v>0.31214019071283294</v>
      </c>
      <c r="R24" s="3">
        <v>0.47132140191932548</v>
      </c>
      <c r="S24" s="3">
        <v>0.52867859808067452</v>
      </c>
      <c r="T24" s="1">
        <v>0</v>
      </c>
      <c r="U24" s="3">
        <f>N24</f>
        <v>4.4130247999999996</v>
      </c>
      <c r="V24" s="4">
        <f>O24*AB6</f>
        <v>0</v>
      </c>
    </row>
    <row r="25" spans="1:22" x14ac:dyDescent="0.2">
      <c r="M25" s="2" t="s">
        <v>16</v>
      </c>
      <c r="N25" s="3">
        <v>4.4781714999999993</v>
      </c>
      <c r="O25" s="3">
        <v>2.86</v>
      </c>
      <c r="P25" s="3">
        <v>5.8791304347826099</v>
      </c>
      <c r="Q25" s="42">
        <v>0.77185419938104216</v>
      </c>
      <c r="R25" s="3">
        <v>0.47225997386828139</v>
      </c>
      <c r="S25" s="3">
        <v>0.52774002613171866</v>
      </c>
      <c r="T25" s="1">
        <v>0</v>
      </c>
      <c r="U25" s="3">
        <f>N25</f>
        <v>4.4781714999999993</v>
      </c>
      <c r="V25" s="4">
        <f>O25*AB7</f>
        <v>0</v>
      </c>
    </row>
    <row r="27" spans="1:22" x14ac:dyDescent="0.2">
      <c r="M27" s="2" t="s">
        <v>16</v>
      </c>
      <c r="N27" s="1">
        <v>44</v>
      </c>
      <c r="O27" s="1">
        <v>17.5</v>
      </c>
      <c r="P27" s="1">
        <v>62.03</v>
      </c>
      <c r="Q27" s="1">
        <v>57</v>
      </c>
      <c r="R27" s="1">
        <v>0.7</v>
      </c>
      <c r="S27" s="1">
        <f>1-R27</f>
        <v>0.30000000000000004</v>
      </c>
      <c r="T27" s="1">
        <f>O27*R27</f>
        <v>12.25</v>
      </c>
      <c r="U27" s="1">
        <f>O27-T27</f>
        <v>5.25</v>
      </c>
      <c r="V27" s="4">
        <f>O27*0.111</f>
        <v>1.9425000000000001</v>
      </c>
    </row>
    <row r="28" spans="1:22" x14ac:dyDescent="0.2">
      <c r="M28" s="2" t="s">
        <v>15</v>
      </c>
      <c r="N28" s="1">
        <v>60</v>
      </c>
      <c r="O28" s="1">
        <v>30</v>
      </c>
      <c r="P28" s="1">
        <v>42.13</v>
      </c>
      <c r="Q28" s="1">
        <v>30</v>
      </c>
      <c r="R28" s="1">
        <v>0.92</v>
      </c>
      <c r="S28" s="1">
        <f>1-R28</f>
        <v>7.999999999999996E-2</v>
      </c>
      <c r="T28" s="1">
        <f>O28*R28</f>
        <v>27.6</v>
      </c>
      <c r="U28" s="1">
        <f>O28-T28</f>
        <v>2.3999999999999986</v>
      </c>
      <c r="V28" s="4">
        <f>O28*0.111</f>
        <v>3.33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cash flows</vt:lpstr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2024-05-15T15:53:58Z</dcterms:created>
  <dcterms:modified xsi:type="dcterms:W3CDTF">2024-05-28T21:06:47Z</dcterms:modified>
</cp:coreProperties>
</file>