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f7ff96f50cf7f041/Рабочий стол/itmo/Физика/1.2 sem/ЛР1.02_гр.2М_N3149_СинютаА.А/"/>
    </mc:Choice>
  </mc:AlternateContent>
  <xr:revisionPtr revIDLastSave="1008" documentId="8_{55B210C0-2AC5-449C-B6ED-328B5BC4F923}" xr6:coauthVersionLast="47" xr6:coauthVersionMax="47" xr10:uidLastSave="{98F47254-9E7D-403A-9788-31C1ED2C499A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1" l="1"/>
  <c r="AM4" i="1"/>
  <c r="AM5" i="1"/>
  <c r="AU30" i="1" s="1"/>
  <c r="AM6" i="1"/>
  <c r="AU31" i="1" s="1"/>
  <c r="AM7" i="1"/>
  <c r="AU32" i="1" s="1"/>
  <c r="AM8" i="1"/>
  <c r="AU33" i="1" s="1"/>
  <c r="BE5" i="1" l="1"/>
  <c r="T10" i="1"/>
  <c r="T7" i="1"/>
  <c r="T8" i="1"/>
  <c r="T9" i="1"/>
  <c r="T6" i="1"/>
  <c r="S6" i="1"/>
  <c r="S7" i="1"/>
  <c r="S8" i="1"/>
  <c r="S9" i="1"/>
  <c r="S10" i="1"/>
  <c r="AT8" i="1" l="1"/>
  <c r="AT7" i="1"/>
  <c r="AT6" i="1"/>
  <c r="AT5" i="1"/>
  <c r="AT4" i="1"/>
  <c r="AS8" i="1"/>
  <c r="AS7" i="1"/>
  <c r="AS6" i="1"/>
  <c r="AS5" i="1"/>
  <c r="AS4" i="1"/>
  <c r="Q7" i="1" l="1"/>
  <c r="U7" i="1" s="1"/>
  <c r="AQ4" i="1" l="1"/>
  <c r="AR4" i="1"/>
  <c r="AQ5" i="1"/>
  <c r="AR5" i="1"/>
  <c r="AQ6" i="1"/>
  <c r="AR6" i="1"/>
  <c r="AQ7" i="1"/>
  <c r="AR7" i="1"/>
  <c r="AQ8" i="1"/>
  <c r="AR8" i="1"/>
  <c r="AU4" i="1" l="1"/>
  <c r="AU8" i="1"/>
  <c r="AV8" i="1" s="1"/>
  <c r="AU5" i="1"/>
  <c r="AU6" i="1"/>
  <c r="AV6" i="1" s="1"/>
  <c r="AU7" i="1"/>
  <c r="AV7" i="1" s="1"/>
  <c r="R7" i="1"/>
  <c r="V7" i="1" s="1"/>
  <c r="R8" i="1"/>
  <c r="V8" i="1" s="1"/>
  <c r="R9" i="1"/>
  <c r="V9" i="1" s="1"/>
  <c r="R10" i="1"/>
  <c r="V10" i="1" s="1"/>
  <c r="R6" i="1"/>
  <c r="Q8" i="1"/>
  <c r="U8" i="1" s="1"/>
  <c r="Q9" i="1"/>
  <c r="U9" i="1" s="1"/>
  <c r="Q10" i="1"/>
  <c r="U10" i="1" s="1"/>
  <c r="Q6" i="1"/>
  <c r="U6" i="1" s="1"/>
  <c r="AV4" i="1" l="1"/>
  <c r="AU29" i="1"/>
  <c r="AV5" i="1"/>
  <c r="AY3" i="1"/>
  <c r="AY4" i="1" s="1"/>
  <c r="X6" i="1"/>
  <c r="AU22" i="1" l="1"/>
  <c r="BG3" i="1"/>
  <c r="BG4" i="1"/>
  <c r="AU25" i="1"/>
  <c r="AU23" i="1"/>
  <c r="AU24" i="1"/>
  <c r="AU26" i="1"/>
  <c r="BG7" i="1"/>
  <c r="BG6" i="1"/>
  <c r="BG5" i="1"/>
  <c r="Y6" i="1"/>
  <c r="AA6" i="1" s="1"/>
  <c r="AB6" i="1" s="1"/>
  <c r="AC10" i="1"/>
  <c r="AC8" i="1"/>
  <c r="AC7" i="1"/>
  <c r="AC6" i="1"/>
  <c r="AC9" i="1"/>
  <c r="BE4" i="1" l="1"/>
  <c r="BE3" i="1" s="1"/>
  <c r="BE6" i="1" l="1"/>
  <c r="BE7" i="1" s="1"/>
</calcChain>
</file>

<file path=xl/sharedStrings.xml><?xml version="1.0" encoding="utf-8"?>
<sst xmlns="http://schemas.openxmlformats.org/spreadsheetml/2006/main" count="103" uniqueCount="91">
  <si>
    <t>Таблица 2</t>
  </si>
  <si>
    <t>h0′ , мм</t>
  </si>
  <si>
    <t>𝑡1, с</t>
  </si>
  <si>
    <t>𝑡2, с</t>
  </si>
  <si>
    <t>𝑁ПЛ</t>
  </si>
  <si>
    <t>h, мм</t>
  </si>
  <si>
    <t>№</t>
  </si>
  <si>
    <t xml:space="preserve">
h0, мм</t>
  </si>
  <si>
    <r>
      <rPr>
        <b/>
        <sz val="11"/>
        <color theme="1"/>
        <rFont val="Calibri"/>
        <family val="2"/>
        <charset val="204"/>
        <scheme val="minor"/>
      </rPr>
      <t>Таблица 3</t>
    </r>
    <r>
      <rPr>
        <sz val="11"/>
        <color theme="1"/>
        <rFont val="Calibri"/>
        <family val="2"/>
        <scheme val="minor"/>
      </rPr>
      <t>: Результаты прямых измерений (Задание 1)</t>
    </r>
  </si>
  <si>
    <t>Измеренные величины</t>
  </si>
  <si>
    <t>Рассчитанные величины</t>
  </si>
  <si>
    <t>𝑥1, м</t>
  </si>
  <si>
    <t>𝑥2, м</t>
  </si>
  <si>
    <t>h′ , мм</t>
  </si>
  <si>
    <r>
      <rPr>
        <b/>
        <sz val="11"/>
        <color theme="1"/>
        <rFont val="Calibri"/>
        <family val="2"/>
        <charset val="204"/>
        <scheme val="minor"/>
      </rPr>
      <t>Таблица 4</t>
    </r>
    <r>
      <rPr>
        <sz val="11"/>
        <color theme="1"/>
        <rFont val="Calibri"/>
        <family val="2"/>
        <scheme val="minor"/>
      </rPr>
      <t>: Результаты прямых измерений (Задание 2)</t>
    </r>
  </si>
  <si>
    <r>
      <rPr>
        <b/>
        <sz val="11"/>
        <color theme="1"/>
        <rFont val="Calibri"/>
        <family val="2"/>
        <charset val="204"/>
        <scheme val="minor"/>
      </rPr>
      <t>Таблица 5</t>
    </r>
    <r>
      <rPr>
        <sz val="11"/>
        <color theme="1"/>
        <rFont val="Calibri"/>
        <family val="2"/>
        <scheme val="minor"/>
      </rPr>
      <t>: Результаты расчетов (Задание 2)</t>
    </r>
  </si>
  <si>
    <t>sin 𝛼</t>
  </si>
  <si>
    <t>⟨𝑡1⟩</t>
  </si>
  <si>
    <t>⟨𝑡2⟩</t>
  </si>
  <si>
    <t>⟨𝑎⟩</t>
  </si>
  <si>
    <t>Δt1</t>
  </si>
  <si>
    <t>Δt2</t>
  </si>
  <si>
    <t>⟨𝑡1⟩ ± Δ𝑡1, с</t>
  </si>
  <si>
    <t>⟨𝑡2⟩ ± Δ𝑡2, с</t>
  </si>
  <si>
    <t>Δa</t>
  </si>
  <si>
    <t>⟨𝑎⟩ ± Δ𝑎, м/с^2</t>
  </si>
  <si>
    <t>𝑥, мм</t>
  </si>
  <si>
    <t>𝑥 ′ , мм</t>
  </si>
  <si>
    <r>
      <rPr>
        <b/>
        <sz val="11"/>
        <color theme="1"/>
        <rFont val="Calibri"/>
        <family val="2"/>
        <charset val="204"/>
        <scheme val="minor"/>
      </rPr>
      <t>Таблица 1</t>
    </r>
    <r>
      <rPr>
        <sz val="11"/>
        <color theme="1"/>
        <rFont val="Calibri"/>
        <family val="2"/>
        <scheme val="minor"/>
      </rPr>
      <t>: Измерительные приборы</t>
    </r>
  </si>
  <si>
    <t>1,3 м</t>
  </si>
  <si>
    <t>250 мм</t>
  </si>
  <si>
    <t>100 с</t>
  </si>
  <si>
    <t>1 см/дел</t>
  </si>
  <si>
    <t>1 мм/дел</t>
  </si>
  <si>
    <t>0,1 с</t>
  </si>
  <si>
    <t>—</t>
  </si>
  <si>
    <t>Наименование</t>
  </si>
  <si>
    <t>Линейка на рельсе</t>
  </si>
  <si>
    <t>Линейка на угольнике</t>
  </si>
  <si>
    <t>ПКЦ-3 в режиме секундомера</t>
  </si>
  <si>
    <t>Предел измерений</t>
  </si>
  <si>
    <t>Цена деления</t>
  </si>
  <si>
    <t>Класс точности</t>
  </si>
  <si>
    <t>Δи, м</t>
  </si>
  <si>
    <t>Δ𝑥 = Δ𝑥′ = 5 мм, Δh0 = Δh′ 0 = 0,5 мм</t>
  </si>
  <si>
    <t>220 ± 5</t>
  </si>
  <si>
    <t>1000 ± 5</t>
  </si>
  <si>
    <t>Y = 𝑥2 − 𝑥1, м</t>
  </si>
  <si>
    <t>Z = (𝑡2^2 - 𝑡1^2)/2, с^2</t>
  </si>
  <si>
    <t>ΔY, м</t>
  </si>
  <si>
    <t>ΔZ, с^2</t>
  </si>
  <si>
    <t>εY, м</t>
  </si>
  <si>
    <t>εZ, с^2</t>
  </si>
  <si>
    <t>a</t>
  </si>
  <si>
    <t>𝜎a</t>
  </si>
  <si>
    <t>Вычисление погрешности (Задание 1.1)</t>
  </si>
  <si>
    <t>𝜀a</t>
  </si>
  <si>
    <t xml:space="preserve"> Коэффициент a и его среднеквадратическое отклонение (СКО) (Задание 1.3)</t>
  </si>
  <si>
    <t>Абсолютная и относительная погрешности коэффициента a (Задание 1.3)</t>
  </si>
  <si>
    <t>Y(Z) = aZ</t>
  </si>
  <si>
    <t>1,70 ± 0,76</t>
  </si>
  <si>
    <t>1,22 ± 0,55</t>
  </si>
  <si>
    <t>0,98 ± 0,44</t>
  </si>
  <si>
    <t>0,78 ± 0,35</t>
  </si>
  <si>
    <t>0,64 ± 0,29</t>
  </si>
  <si>
    <t>4,68 ± 2,09</t>
  </si>
  <si>
    <t>3,22 ± 1,44</t>
  </si>
  <si>
    <t>2,68 ± 1,20</t>
  </si>
  <si>
    <t>2,28 ± 1,02</t>
  </si>
  <si>
    <t>1,94 ± 0,87</t>
  </si>
  <si>
    <t>B =</t>
  </si>
  <si>
    <t>A =</t>
  </si>
  <si>
    <t>Задание 2.5</t>
  </si>
  <si>
    <r>
      <t xml:space="preserve">D </t>
    </r>
    <r>
      <rPr>
        <sz val="11"/>
        <color theme="1"/>
        <rFont val="Calibri"/>
        <family val="2"/>
        <charset val="204"/>
        <scheme val="minor"/>
      </rPr>
      <t>=</t>
    </r>
  </si>
  <si>
    <t>𝜀g =</t>
  </si>
  <si>
    <t>Задание 2.6</t>
  </si>
  <si>
    <t>d1 =</t>
  </si>
  <si>
    <t>d3 =</t>
  </si>
  <si>
    <t>d4 =</t>
  </si>
  <si>
    <t>d2 =</t>
  </si>
  <si>
    <t>d5 =</t>
  </si>
  <si>
    <r>
      <t>Δ</t>
    </r>
    <r>
      <rPr>
        <i/>
        <sz val="11"/>
        <color theme="1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</si>
  <si>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𝜎g =</t>
  </si>
  <si>
    <t>СУММ(𝑑i^2) =</t>
  </si>
  <si>
    <t>Δи, с</t>
  </si>
  <si>
    <t>200 ± 0,5</t>
  </si>
  <si>
    <t>0,03 ± 0,028</t>
  </si>
  <si>
    <t>0,08 ± 0,085</t>
  </si>
  <si>
    <t>0,18 ± 0,186</t>
  </si>
  <si>
    <t>0,33 ± 0,335</t>
  </si>
  <si>
    <t>0,57 ± 0,574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</si>
</sst>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%"/>
    <numFmt numFmtId="167" formatCode="0.0000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Microsoft Sans Serif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65" fontId="0" fillId="2" borderId="1" xfId="0" applyNumberFormat="1" applyFill="1" applyBorder="1"/>
    <xf numFmtId="0" fontId="0" fillId="2" borderId="1" xfId="0" applyFill="1" applyBorder="1"/>
    <xf numFmtId="0" fontId="0" fillId="2" borderId="7" xfId="0" applyFill="1" applyBorder="1"/>
    <xf numFmtId="2" fontId="0" fillId="2" borderId="1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164" fontId="0" fillId="2" borderId="7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8" xfId="0" applyFill="1" applyBorder="1"/>
    <xf numFmtId="2" fontId="0" fillId="2" borderId="9" xfId="0" applyNumberFormat="1" applyFill="1" applyBorder="1"/>
    <xf numFmtId="164" fontId="0" fillId="2" borderId="5" xfId="0" applyNumberFormat="1" applyFill="1" applyBorder="1"/>
    <xf numFmtId="164" fontId="0" fillId="2" borderId="4" xfId="0" applyNumberFormat="1" applyFill="1" applyBorder="1"/>
    <xf numFmtId="164" fontId="0" fillId="2" borderId="1" xfId="0" applyNumberFormat="1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0" fontId="4" fillId="2" borderId="20" xfId="0" applyFont="1" applyFill="1" applyBorder="1"/>
    <xf numFmtId="165" fontId="0" fillId="2" borderId="7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2" fontId="0" fillId="2" borderId="6" xfId="0" applyNumberFormat="1" applyFill="1" applyBorder="1"/>
    <xf numFmtId="0" fontId="0" fillId="2" borderId="32" xfId="0" applyFill="1" applyBorder="1"/>
    <xf numFmtId="0" fontId="0" fillId="2" borderId="33" xfId="0" applyFill="1" applyBorder="1"/>
    <xf numFmtId="2" fontId="0" fillId="2" borderId="33" xfId="0" applyNumberFormat="1" applyFill="1" applyBorder="1"/>
    <xf numFmtId="0" fontId="0" fillId="2" borderId="7" xfId="0" applyFill="1" applyBorder="1" applyAlignment="1">
      <alignment horizontal="right"/>
    </xf>
    <xf numFmtId="0" fontId="3" fillId="2" borderId="18" xfId="0" applyFont="1" applyFill="1" applyBorder="1" applyAlignment="1"/>
    <xf numFmtId="0" fontId="3" fillId="2" borderId="19" xfId="0" applyFont="1" applyFill="1" applyBorder="1" applyAlignment="1"/>
    <xf numFmtId="0" fontId="3" fillId="2" borderId="36" xfId="0" applyFont="1" applyFill="1" applyBorder="1" applyAlignment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0" fillId="0" borderId="31" xfId="0" applyBorder="1"/>
    <xf numFmtId="165" fontId="0" fillId="0" borderId="1" xfId="0" applyNumberFormat="1" applyBorder="1"/>
    <xf numFmtId="165" fontId="0" fillId="0" borderId="6" xfId="0" applyNumberFormat="1" applyBorder="1"/>
    <xf numFmtId="10" fontId="0" fillId="0" borderId="1" xfId="1" applyNumberFormat="1" applyFont="1" applyBorder="1"/>
    <xf numFmtId="10" fontId="0" fillId="0" borderId="7" xfId="1" applyNumberFormat="1" applyFont="1" applyBorder="1"/>
    <xf numFmtId="49" fontId="0" fillId="2" borderId="1" xfId="0" applyNumberFormat="1" applyFill="1" applyBorder="1" applyAlignment="1">
      <alignment horizontal="right"/>
    </xf>
    <xf numFmtId="0" fontId="0" fillId="0" borderId="24" xfId="0" applyBorder="1"/>
    <xf numFmtId="0" fontId="0" fillId="0" borderId="2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7" fillId="0" borderId="4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7" fillId="0" borderId="6" xfId="0" applyFont="1" applyBorder="1" applyAlignment="1">
      <alignment horizontal="right"/>
    </xf>
    <xf numFmtId="9" fontId="0" fillId="0" borderId="9" xfId="1" applyFont="1" applyBorder="1"/>
    <xf numFmtId="0" fontId="0" fillId="0" borderId="0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7" fontId="0" fillId="0" borderId="6" xfId="0" applyNumberFormat="1" applyBorder="1"/>
    <xf numFmtId="0" fontId="0" fillId="0" borderId="7" xfId="0" applyBorder="1"/>
    <xf numFmtId="167" fontId="0" fillId="0" borderId="8" xfId="0" applyNumberFormat="1" applyBorder="1"/>
    <xf numFmtId="0" fontId="0" fillId="0" borderId="10" xfId="0" applyBorder="1"/>
    <xf numFmtId="0" fontId="0" fillId="0" borderId="0" xfId="0" applyBorder="1" applyAlignment="1">
      <alignment horizontal="center" vertical="center" wrapText="1"/>
    </xf>
    <xf numFmtId="165" fontId="0" fillId="2" borderId="38" xfId="0" applyNumberFormat="1" applyFill="1" applyBorder="1"/>
    <xf numFmtId="165" fontId="0" fillId="2" borderId="39" xfId="0" applyNumberFormat="1" applyFill="1" applyBorder="1"/>
    <xf numFmtId="165" fontId="0" fillId="0" borderId="7" xfId="0" applyNumberFormat="1" applyBorder="1"/>
    <xf numFmtId="168" fontId="0" fillId="0" borderId="1" xfId="0" applyNumberFormat="1" applyBorder="1"/>
    <xf numFmtId="0" fontId="8" fillId="0" borderId="0" xfId="0" applyFont="1" applyAlignment="1">
      <alignment horizontal="left" vertical="center" indent="7"/>
    </xf>
    <xf numFmtId="165" fontId="0" fillId="0" borderId="49" xfId="0" applyNumberFormat="1" applyBorder="1"/>
    <xf numFmtId="166" fontId="0" fillId="0" borderId="7" xfId="1" applyNumberFormat="1" applyFont="1" applyBorder="1"/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38" xfId="0" applyFill="1" applyBorder="1" applyAlignment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Экспериментальная зависимость {𝑌𝑖 ; 𝑍𝑖}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 = x2 - x1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Лист1!$R$6:$R$10</c:f>
              <c:numCache>
                <c:formatCode>0.000</c:formatCode>
                <c:ptCount val="5"/>
                <c:pt idx="0">
                  <c:v>3.0550000000000002</c:v>
                </c:pt>
                <c:pt idx="1">
                  <c:v>4.8600000000000003</c:v>
                </c:pt>
                <c:pt idx="2">
                  <c:v>6.38</c:v>
                </c:pt>
                <c:pt idx="3">
                  <c:v>8.68</c:v>
                </c:pt>
                <c:pt idx="4">
                  <c:v>11.715000000000002</c:v>
                </c:pt>
              </c:numCache>
            </c:numRef>
          </c:xVal>
          <c:yVal>
            <c:numRef>
              <c:f>Лист1!$Q$6:$Q$10</c:f>
              <c:numCache>
                <c:formatCode>0.00</c:formatCode>
                <c:ptCount val="5"/>
                <c:pt idx="0" formatCode="General">
                  <c:v>0.25</c:v>
                </c:pt>
                <c:pt idx="1">
                  <c:v>0.35</c:v>
                </c:pt>
                <c:pt idx="2" formatCode="General">
                  <c:v>0.54999999999999993</c:v>
                </c:pt>
                <c:pt idx="3" formatCode="General">
                  <c:v>0.75</c:v>
                </c:pt>
                <c:pt idx="4" formatCode="General">
                  <c:v>0.95000000000000007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69-4D61-86E0-14A9CC6C794D}"/>
            </c:ext>
          </c:extLst>
        </c:ser>
        <c:ser>
          <c:idx val="1"/>
          <c:order val="1"/>
          <c:tx>
            <c:v>Y = aZ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Лист1!$R$6:$R$10</c:f>
              <c:numCache>
                <c:formatCode>0.000</c:formatCode>
                <c:ptCount val="5"/>
                <c:pt idx="0">
                  <c:v>3.0550000000000002</c:v>
                </c:pt>
                <c:pt idx="1">
                  <c:v>4.8600000000000003</c:v>
                </c:pt>
                <c:pt idx="2">
                  <c:v>6.38</c:v>
                </c:pt>
                <c:pt idx="3">
                  <c:v>8.68</c:v>
                </c:pt>
                <c:pt idx="4">
                  <c:v>11.715000000000002</c:v>
                </c:pt>
              </c:numCache>
            </c:numRef>
          </c:xVal>
          <c:yVal>
            <c:numRef>
              <c:f>Лист1!$AC$6:$AC$10</c:f>
              <c:numCache>
                <c:formatCode>0.000</c:formatCode>
                <c:ptCount val="5"/>
                <c:pt idx="0">
                  <c:v>0.25201771656122213</c:v>
                </c:pt>
                <c:pt idx="1">
                  <c:v>0.40091852781916187</c:v>
                </c:pt>
                <c:pt idx="2">
                  <c:v>0.52630868466795322</c:v>
                </c:pt>
                <c:pt idx="3">
                  <c:v>0.71604379042599275</c:v>
                </c:pt>
                <c:pt idx="4">
                  <c:v>0.96641163650236239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069-4D61-86E0-14A9CC6C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66783"/>
        <c:axId val="566671359"/>
      </c:scatterChart>
      <c:valAx>
        <c:axId val="5666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71359"/>
        <c:crosses val="autoZero"/>
        <c:crossBetween val="midCat"/>
      </c:valAx>
      <c:valAx>
        <c:axId val="5666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𝑎 = 𝑎 (sin 𝛼)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Лист1!$AU$4:$AU$8</c:f>
              <c:numCache>
                <c:formatCode>0.00</c:formatCode>
                <c:ptCount val="5"/>
                <c:pt idx="0">
                  <c:v>2.6298626159769418E-2</c:v>
                </c:pt>
                <c:pt idx="1">
                  <c:v>7.8828828828828842E-2</c:v>
                </c:pt>
                <c:pt idx="2">
                  <c:v>0.17679202828672455</c:v>
                </c:pt>
                <c:pt idx="3">
                  <c:v>0.32679738562091509</c:v>
                </c:pt>
                <c:pt idx="4">
                  <c:v>0.56648777579010146</c:v>
                </c:pt>
              </c:numCache>
            </c:numRef>
          </c:xVal>
          <c:yVal>
            <c:numRef>
              <c:f>Лист1!$AU$29:$AU$33</c:f>
              <c:numCache>
                <c:formatCode>0.0000</c:formatCode>
                <c:ptCount val="5"/>
                <c:pt idx="0">
                  <c:v>3.3716187384319766E-4</c:v>
                </c:pt>
                <c:pt idx="1">
                  <c:v>2.564102564102564E-2</c:v>
                </c:pt>
                <c:pt idx="2">
                  <c:v>3.8461538461538464E-2</c:v>
                </c:pt>
                <c:pt idx="3">
                  <c:v>5.128205128205128E-2</c:v>
                </c:pt>
                <c:pt idx="4">
                  <c:v>6.4102564102564097E-2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1-42BE-A6E3-391CAA838528}"/>
            </c:ext>
          </c:extLst>
        </c:ser>
        <c:ser>
          <c:idx val="1"/>
          <c:order val="1"/>
          <c:tx>
            <c:v>𝑎 = 𝐴 + 𝐵 sin a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Лист1!$AU$4:$AU$8</c:f>
              <c:numCache>
                <c:formatCode>0.00</c:formatCode>
                <c:ptCount val="5"/>
                <c:pt idx="0">
                  <c:v>2.6298626159769418E-2</c:v>
                </c:pt>
                <c:pt idx="1">
                  <c:v>7.8828828828828842E-2</c:v>
                </c:pt>
                <c:pt idx="2">
                  <c:v>0.17679202828672455</c:v>
                </c:pt>
                <c:pt idx="3">
                  <c:v>0.32679738562091509</c:v>
                </c:pt>
                <c:pt idx="4">
                  <c:v>0.56648777579010146</c:v>
                </c:pt>
              </c:numCache>
            </c:numRef>
          </c:xVal>
          <c:yVal>
            <c:numRef>
              <c:f>Лист1!$AU$22:$AU$26</c:f>
              <c:numCache>
                <c:formatCode>0.0000</c:formatCode>
                <c:ptCount val="5"/>
                <c:pt idx="0">
                  <c:v>-3.0628442273282375E-2</c:v>
                </c:pt>
                <c:pt idx="1">
                  <c:v>0.10220624333199274</c:v>
                </c:pt>
                <c:pt idx="2">
                  <c:v>0.23504092893726791</c:v>
                </c:pt>
                <c:pt idx="3">
                  <c:v>0.36787561454254297</c:v>
                </c:pt>
                <c:pt idx="4">
                  <c:v>0.50071030014781814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1-42BE-A6E3-391CAA83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66783"/>
        <c:axId val="566671359"/>
      </c:scatterChart>
      <c:valAx>
        <c:axId val="5666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71359"/>
        <c:crosses val="autoZero"/>
        <c:crossBetween val="midCat"/>
      </c:valAx>
      <c:valAx>
        <c:axId val="5666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12.png"/><Relationship Id="rId1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176561</xdr:colOff>
      <xdr:row>28</xdr:row>
      <xdr:rowOff>18585</xdr:rowOff>
    </xdr:from>
    <xdr:to>
      <xdr:col>34</xdr:col>
      <xdr:colOff>232318</xdr:colOff>
      <xdr:row>30</xdr:row>
      <xdr:rowOff>163355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090210E-4888-4D61-B118-0AAEA8518F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89" t="4955" r="5906"/>
        <a:stretch/>
      </xdr:blipFill>
      <xdr:spPr>
        <a:xfrm>
          <a:off x="16147585" y="5309219"/>
          <a:ext cx="2310781" cy="510281"/>
        </a:xfrm>
        <a:prstGeom prst="rect">
          <a:avLst/>
        </a:prstGeom>
        <a:solidFill>
          <a:srgbClr val="7030A0"/>
        </a:solidFill>
      </xdr:spPr>
    </xdr:pic>
    <xdr:clientData/>
  </xdr:twoCellAnchor>
  <xdr:twoCellAnchor editAs="oneCell">
    <xdr:from>
      <xdr:col>37</xdr:col>
      <xdr:colOff>209230</xdr:colOff>
      <xdr:row>8</xdr:row>
      <xdr:rowOff>15422</xdr:rowOff>
    </xdr:from>
    <xdr:to>
      <xdr:col>39</xdr:col>
      <xdr:colOff>691638</xdr:colOff>
      <xdr:row>11</xdr:row>
      <xdr:rowOff>98879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318E08D-DF6D-4D2E-B77D-479EFAA2DC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658" b="2447"/>
        <a:stretch/>
      </xdr:blipFill>
      <xdr:spPr>
        <a:xfrm>
          <a:off x="20220801" y="1584779"/>
          <a:ext cx="1697979" cy="636814"/>
        </a:xfrm>
        <a:prstGeom prst="rect">
          <a:avLst/>
        </a:prstGeom>
      </xdr:spPr>
    </xdr:pic>
    <xdr:clientData/>
  </xdr:twoCellAnchor>
  <xdr:twoCellAnchor editAs="oneCell">
    <xdr:from>
      <xdr:col>37</xdr:col>
      <xdr:colOff>22225</xdr:colOff>
      <xdr:row>12</xdr:row>
      <xdr:rowOff>57150</xdr:rowOff>
    </xdr:from>
    <xdr:to>
      <xdr:col>39</xdr:col>
      <xdr:colOff>704851</xdr:colOff>
      <xdr:row>15</xdr:row>
      <xdr:rowOff>4200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20437BE-6AB4-4AAB-9D7C-69078BE6F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69175" y="2381250"/>
          <a:ext cx="1901825" cy="512201"/>
        </a:xfrm>
        <a:prstGeom prst="rect">
          <a:avLst/>
        </a:prstGeom>
      </xdr:spPr>
    </xdr:pic>
    <xdr:clientData/>
  </xdr:twoCellAnchor>
  <xdr:twoCellAnchor editAs="oneCell">
    <xdr:from>
      <xdr:col>39</xdr:col>
      <xdr:colOff>587375</xdr:colOff>
      <xdr:row>12</xdr:row>
      <xdr:rowOff>22225</xdr:rowOff>
    </xdr:from>
    <xdr:to>
      <xdr:col>40</xdr:col>
      <xdr:colOff>996949</xdr:colOff>
      <xdr:row>15</xdr:row>
      <xdr:rowOff>6793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2BA8306-8AC2-4E07-AA97-83AAADDD8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53525" y="2346325"/>
          <a:ext cx="1362075" cy="549719"/>
        </a:xfrm>
        <a:prstGeom prst="rect">
          <a:avLst/>
        </a:prstGeom>
      </xdr:spPr>
    </xdr:pic>
    <xdr:clientData/>
  </xdr:twoCellAnchor>
  <xdr:twoCellAnchor editAs="oneCell">
    <xdr:from>
      <xdr:col>40</xdr:col>
      <xdr:colOff>965200</xdr:colOff>
      <xdr:row>12</xdr:row>
      <xdr:rowOff>31750</xdr:rowOff>
    </xdr:from>
    <xdr:to>
      <xdr:col>47</xdr:col>
      <xdr:colOff>76200</xdr:colOff>
      <xdr:row>15</xdr:row>
      <xdr:rowOff>157401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0D85CBE-650B-4F34-97B9-F1AF7CE62F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228" t="15053" r="9261"/>
        <a:stretch/>
      </xdr:blipFill>
      <xdr:spPr>
        <a:xfrm>
          <a:off x="23183850" y="2355850"/>
          <a:ext cx="4140200" cy="690802"/>
        </a:xfrm>
        <a:prstGeom prst="rect">
          <a:avLst/>
        </a:prstGeom>
      </xdr:spPr>
    </xdr:pic>
    <xdr:clientData/>
  </xdr:twoCellAnchor>
  <xdr:twoCellAnchor editAs="oneCell">
    <xdr:from>
      <xdr:col>18</xdr:col>
      <xdr:colOff>108481</xdr:colOff>
      <xdr:row>10</xdr:row>
      <xdr:rowOff>37041</xdr:rowOff>
    </xdr:from>
    <xdr:to>
      <xdr:col>21</xdr:col>
      <xdr:colOff>506190</xdr:colOff>
      <xdr:row>13</xdr:row>
      <xdr:rowOff>60855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91A0228-8E2A-4D3A-B433-DCAA9B72A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06814" y="2181930"/>
          <a:ext cx="2330932" cy="588258"/>
        </a:xfrm>
        <a:prstGeom prst="rect">
          <a:avLst/>
        </a:prstGeom>
      </xdr:spPr>
    </xdr:pic>
    <xdr:clientData/>
  </xdr:twoCellAnchor>
  <xdr:twoCellAnchor editAs="oneCell">
    <xdr:from>
      <xdr:col>18</xdr:col>
      <xdr:colOff>71438</xdr:colOff>
      <xdr:row>14</xdr:row>
      <xdr:rowOff>71437</xdr:rowOff>
    </xdr:from>
    <xdr:to>
      <xdr:col>19</xdr:col>
      <xdr:colOff>438205</xdr:colOff>
      <xdr:row>16</xdr:row>
      <xdr:rowOff>150836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43B34A8C-DA32-44F9-8D25-9E37B5379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49501" y="2762250"/>
          <a:ext cx="1041454" cy="450873"/>
        </a:xfrm>
        <a:prstGeom prst="rect">
          <a:avLst/>
        </a:prstGeom>
      </xdr:spPr>
    </xdr:pic>
    <xdr:clientData/>
  </xdr:twoCellAnchor>
  <xdr:twoCellAnchor>
    <xdr:from>
      <xdr:col>10</xdr:col>
      <xdr:colOff>602939</xdr:colOff>
      <xdr:row>10</xdr:row>
      <xdr:rowOff>4982</xdr:rowOff>
    </xdr:from>
    <xdr:to>
      <xdr:col>17</xdr:col>
      <xdr:colOff>1449295</xdr:colOff>
      <xdr:row>27</xdr:row>
      <xdr:rowOff>21167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A796821-B3FA-47BC-B0A4-6998903B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82550</xdr:colOff>
      <xdr:row>6</xdr:row>
      <xdr:rowOff>82550</xdr:rowOff>
    </xdr:from>
    <xdr:to>
      <xdr:col>23</xdr:col>
      <xdr:colOff>1016048</xdr:colOff>
      <xdr:row>11</xdr:row>
      <xdr:rowOff>81893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F9A868F-3D6C-45BF-AB08-728CD1D10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94250" y="1282700"/>
          <a:ext cx="933498" cy="939848"/>
        </a:xfrm>
        <a:prstGeom prst="rect">
          <a:avLst/>
        </a:prstGeom>
      </xdr:spPr>
    </xdr:pic>
    <xdr:clientData/>
  </xdr:twoCellAnchor>
  <xdr:twoCellAnchor editAs="oneCell">
    <xdr:from>
      <xdr:col>24</xdr:col>
      <xdr:colOff>69850</xdr:colOff>
      <xdr:row>6</xdr:row>
      <xdr:rowOff>38100</xdr:rowOff>
    </xdr:from>
    <xdr:to>
      <xdr:col>24</xdr:col>
      <xdr:colOff>1524000</xdr:colOff>
      <xdr:row>11</xdr:row>
      <xdr:rowOff>88246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1A459AD-70D4-4228-A6C0-B205319E7D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15502"/>
        <a:stretch/>
      </xdr:blipFill>
      <xdr:spPr>
        <a:xfrm>
          <a:off x="18859500" y="1238250"/>
          <a:ext cx="1454150" cy="990651"/>
        </a:xfrm>
        <a:prstGeom prst="rect">
          <a:avLst/>
        </a:prstGeom>
      </xdr:spPr>
    </xdr:pic>
    <xdr:clientData/>
  </xdr:twoCellAnchor>
  <xdr:twoCellAnchor editAs="oneCell">
    <xdr:from>
      <xdr:col>26</xdr:col>
      <xdr:colOff>241300</xdr:colOff>
      <xdr:row>8</xdr:row>
      <xdr:rowOff>57150</xdr:rowOff>
    </xdr:from>
    <xdr:to>
      <xdr:col>26</xdr:col>
      <xdr:colOff>933486</xdr:colOff>
      <xdr:row>9</xdr:row>
      <xdr:rowOff>120662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DF59E8B7-C9B2-45FF-92D7-308A1376C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24800" y="1631950"/>
          <a:ext cx="692186" cy="247663"/>
        </a:xfrm>
        <a:prstGeom prst="rect">
          <a:avLst/>
        </a:prstGeom>
      </xdr:spPr>
    </xdr:pic>
    <xdr:clientData/>
  </xdr:twoCellAnchor>
  <xdr:twoCellAnchor editAs="oneCell">
    <xdr:from>
      <xdr:col>27</xdr:col>
      <xdr:colOff>25400</xdr:colOff>
      <xdr:row>7</xdr:row>
      <xdr:rowOff>139700</xdr:rowOff>
    </xdr:from>
    <xdr:to>
      <xdr:col>27</xdr:col>
      <xdr:colOff>1155758</xdr:colOff>
      <xdr:row>10</xdr:row>
      <xdr:rowOff>44473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0608092-D951-4CA2-B064-6AA0AD09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24900" y="1536700"/>
          <a:ext cx="1130358" cy="476274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</xdr:colOff>
      <xdr:row>4</xdr:row>
      <xdr:rowOff>134470</xdr:rowOff>
    </xdr:from>
    <xdr:to>
      <xdr:col>53</xdr:col>
      <xdr:colOff>445393</xdr:colOff>
      <xdr:row>12</xdr:row>
      <xdr:rowOff>161863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A072550-FDEC-44F2-8A57-9D723E4B9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236400" y="1144120"/>
          <a:ext cx="2826643" cy="1602899"/>
        </a:xfrm>
        <a:prstGeom prst="rect">
          <a:avLst/>
        </a:prstGeom>
      </xdr:spPr>
    </xdr:pic>
    <xdr:clientData/>
  </xdr:twoCellAnchor>
  <xdr:twoCellAnchor editAs="oneCell">
    <xdr:from>
      <xdr:col>55</xdr:col>
      <xdr:colOff>21167</xdr:colOff>
      <xdr:row>7</xdr:row>
      <xdr:rowOff>42332</xdr:rowOff>
    </xdr:from>
    <xdr:to>
      <xdr:col>57</xdr:col>
      <xdr:colOff>67109</xdr:colOff>
      <xdr:row>13</xdr:row>
      <xdr:rowOff>93192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CD298A87-C1CF-4AA0-A0D2-B286B1A9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752889" y="1615721"/>
          <a:ext cx="1562887" cy="1179044"/>
        </a:xfrm>
        <a:prstGeom prst="rect">
          <a:avLst/>
        </a:prstGeom>
      </xdr:spPr>
    </xdr:pic>
    <xdr:clientData/>
  </xdr:twoCellAnchor>
  <xdr:twoCellAnchor editAs="oneCell">
    <xdr:from>
      <xdr:col>57</xdr:col>
      <xdr:colOff>289277</xdr:colOff>
      <xdr:row>10</xdr:row>
      <xdr:rowOff>162276</xdr:rowOff>
    </xdr:from>
    <xdr:to>
      <xdr:col>60</xdr:col>
      <xdr:colOff>577966</xdr:colOff>
      <xdr:row>13</xdr:row>
      <xdr:rowOff>175006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AC8CD0B7-94D4-4F59-9E03-47A260729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4900"/>
        <a:stretch/>
      </xdr:blipFill>
      <xdr:spPr>
        <a:xfrm>
          <a:off x="42234555" y="2293054"/>
          <a:ext cx="2109022" cy="577175"/>
        </a:xfrm>
        <a:prstGeom prst="rect">
          <a:avLst/>
        </a:prstGeom>
      </xdr:spPr>
    </xdr:pic>
    <xdr:clientData/>
  </xdr:twoCellAnchor>
  <xdr:twoCellAnchor editAs="oneCell">
    <xdr:from>
      <xdr:col>55</xdr:col>
      <xdr:colOff>65617</xdr:colOff>
      <xdr:row>13</xdr:row>
      <xdr:rowOff>172157</xdr:rowOff>
    </xdr:from>
    <xdr:to>
      <xdr:col>55</xdr:col>
      <xdr:colOff>774032</xdr:colOff>
      <xdr:row>15</xdr:row>
      <xdr:rowOff>139720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B7A6AD96-C2E0-47B7-AB11-CBA15722F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797339" y="2867379"/>
          <a:ext cx="708415" cy="341507"/>
        </a:xfrm>
        <a:prstGeom prst="rect">
          <a:avLst/>
        </a:prstGeom>
      </xdr:spPr>
    </xdr:pic>
    <xdr:clientData/>
  </xdr:twoCellAnchor>
  <xdr:twoCellAnchor editAs="oneCell">
    <xdr:from>
      <xdr:col>56</xdr:col>
      <xdr:colOff>311149</xdr:colOff>
      <xdr:row>13</xdr:row>
      <xdr:rowOff>133351</xdr:rowOff>
    </xdr:from>
    <xdr:to>
      <xdr:col>58</xdr:col>
      <xdr:colOff>129874</xdr:colOff>
      <xdr:row>15</xdr:row>
      <xdr:rowOff>100913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20A5C2CA-C9E4-4A08-8E6A-8FEA12423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649649" y="2828573"/>
          <a:ext cx="1032281" cy="341506"/>
        </a:xfrm>
        <a:prstGeom prst="rect">
          <a:avLst/>
        </a:prstGeom>
      </xdr:spPr>
    </xdr:pic>
    <xdr:clientData/>
  </xdr:twoCellAnchor>
  <xdr:twoCellAnchor>
    <xdr:from>
      <xdr:col>37</xdr:col>
      <xdr:colOff>0</xdr:colOff>
      <xdr:row>19</xdr:row>
      <xdr:rowOff>2133</xdr:rowOff>
    </xdr:from>
    <xdr:to>
      <xdr:col>46</xdr:col>
      <xdr:colOff>6194</xdr:colOff>
      <xdr:row>33</xdr:row>
      <xdr:rowOff>1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6AF9C28-46D5-4183-A31D-5D9D05813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46</xdr:col>
      <xdr:colOff>65768</xdr:colOff>
      <xdr:row>19</xdr:row>
      <xdr:rowOff>107724</xdr:rowOff>
    </xdr:from>
    <xdr:to>
      <xdr:col>47</xdr:col>
      <xdr:colOff>438881</xdr:colOff>
      <xdr:row>20</xdr:row>
      <xdr:rowOff>134723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B8109E1-7BD5-4CC3-904E-17B7106BF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6723411" y="3736295"/>
          <a:ext cx="980899" cy="208427"/>
        </a:xfrm>
        <a:prstGeom prst="rect">
          <a:avLst/>
        </a:prstGeom>
      </xdr:spPr>
    </xdr:pic>
    <xdr:clientData/>
  </xdr:twoCellAnchor>
  <xdr:twoCellAnchor editAs="oneCell">
    <xdr:from>
      <xdr:col>46</xdr:col>
      <xdr:colOff>89581</xdr:colOff>
      <xdr:row>26</xdr:row>
      <xdr:rowOff>102053</xdr:rowOff>
    </xdr:from>
    <xdr:to>
      <xdr:col>47</xdr:col>
      <xdr:colOff>234082</xdr:colOff>
      <xdr:row>27</xdr:row>
      <xdr:rowOff>78249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9EB47E08-6B48-4732-8703-32CBD83DC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6747224" y="5009696"/>
          <a:ext cx="752287" cy="157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3"/>
  <sheetViews>
    <sheetView tabSelected="1" zoomScaleNormal="100" workbookViewId="0"/>
  </sheetViews>
  <sheetFormatPr defaultRowHeight="14.5" x14ac:dyDescent="0.35"/>
  <cols>
    <col min="1" max="1" width="27.08984375" customWidth="1"/>
    <col min="2" max="2" width="22.1796875" customWidth="1"/>
    <col min="3" max="3" width="15.6328125" customWidth="1"/>
    <col min="4" max="4" width="16.26953125" customWidth="1"/>
    <col min="7" max="10" width="12.36328125" customWidth="1"/>
    <col min="12" max="12" width="6.1796875" customWidth="1"/>
    <col min="17" max="17" width="14.90625" customWidth="1"/>
    <col min="18" max="18" width="20.90625" customWidth="1"/>
    <col min="19" max="19" width="9.54296875" customWidth="1"/>
    <col min="20" max="20" width="9.36328125" customWidth="1"/>
    <col min="24" max="24" width="19.7265625" customWidth="1"/>
    <col min="25" max="25" width="22.81640625" customWidth="1"/>
    <col min="26" max="26" width="12.6328125" customWidth="1"/>
    <col min="27" max="27" width="16" customWidth="1"/>
    <col min="28" max="28" width="17.26953125" customWidth="1"/>
    <col min="29" max="29" width="19.453125" customWidth="1"/>
    <col min="31" max="31" width="6.08984375" customWidth="1"/>
    <col min="40" max="40" width="13.6328125" customWidth="1"/>
    <col min="41" max="41" width="14.81640625" customWidth="1"/>
    <col min="42" max="42" width="13.54296875" customWidth="1"/>
    <col min="56" max="56" width="13" customWidth="1"/>
  </cols>
  <sheetData>
    <row r="1" spans="1:61" ht="15" thickBot="1" x14ac:dyDescent="0.4"/>
    <row r="2" spans="1:61" ht="15" thickBot="1" x14ac:dyDescent="0.4">
      <c r="A2" s="135" t="s">
        <v>28</v>
      </c>
      <c r="B2" s="136"/>
      <c r="C2" s="136"/>
      <c r="D2" s="136"/>
      <c r="E2" s="137"/>
      <c r="G2" s="110" t="s">
        <v>0</v>
      </c>
      <c r="H2" s="111"/>
      <c r="I2" s="111"/>
      <c r="J2" s="112"/>
      <c r="L2" s="126" t="s">
        <v>8</v>
      </c>
      <c r="M2" s="127"/>
      <c r="N2" s="127"/>
      <c r="O2" s="127"/>
      <c r="P2" s="127"/>
      <c r="Q2" s="127"/>
      <c r="R2" s="127"/>
      <c r="S2" s="118" t="s">
        <v>55</v>
      </c>
      <c r="T2" s="119"/>
      <c r="U2" s="119"/>
      <c r="V2" s="120"/>
      <c r="X2" s="92" t="s">
        <v>57</v>
      </c>
      <c r="Y2" s="93"/>
      <c r="AA2" s="92" t="s">
        <v>58</v>
      </c>
      <c r="AB2" s="93"/>
      <c r="AD2" s="2"/>
      <c r="AE2" s="143" t="s">
        <v>14</v>
      </c>
      <c r="AF2" s="144"/>
      <c r="AG2" s="144"/>
      <c r="AH2" s="144"/>
      <c r="AI2" s="144"/>
      <c r="AJ2" s="145"/>
      <c r="AL2" s="132" t="s">
        <v>15</v>
      </c>
      <c r="AM2" s="133"/>
      <c r="AN2" s="133"/>
      <c r="AO2" s="133"/>
      <c r="AP2" s="134"/>
      <c r="AQ2" s="39"/>
      <c r="AR2" s="37"/>
      <c r="AS2" s="37"/>
      <c r="AT2" s="37"/>
      <c r="AU2" s="37"/>
      <c r="AV2" s="38"/>
      <c r="AX2" s="115" t="s">
        <v>72</v>
      </c>
      <c r="AY2" s="116"/>
      <c r="AZ2" s="116"/>
      <c r="BA2" s="116"/>
      <c r="BB2" s="117"/>
      <c r="BD2" s="155" t="s">
        <v>75</v>
      </c>
      <c r="BE2" s="156"/>
      <c r="BF2" s="156"/>
      <c r="BG2" s="156"/>
      <c r="BH2" s="156"/>
      <c r="BI2" s="157"/>
    </row>
    <row r="3" spans="1:61" ht="29.5" thickBot="1" x14ac:dyDescent="0.4">
      <c r="A3" s="25" t="s">
        <v>36</v>
      </c>
      <c r="B3" s="43" t="s">
        <v>40</v>
      </c>
      <c r="C3" s="43" t="s">
        <v>41</v>
      </c>
      <c r="D3" s="43" t="s">
        <v>42</v>
      </c>
      <c r="E3" s="44" t="s">
        <v>43</v>
      </c>
      <c r="F3" s="3"/>
      <c r="G3" s="83" t="s">
        <v>26</v>
      </c>
      <c r="H3" s="84" t="s">
        <v>27</v>
      </c>
      <c r="I3" s="85" t="s">
        <v>7</v>
      </c>
      <c r="J3" s="86" t="s">
        <v>1</v>
      </c>
      <c r="L3" s="107" t="s">
        <v>6</v>
      </c>
      <c r="M3" s="113" t="s">
        <v>9</v>
      </c>
      <c r="N3" s="113"/>
      <c r="O3" s="113"/>
      <c r="P3" s="113"/>
      <c r="Q3" s="113" t="s">
        <v>10</v>
      </c>
      <c r="R3" s="114"/>
      <c r="S3" s="121"/>
      <c r="T3" s="122"/>
      <c r="U3" s="122"/>
      <c r="V3" s="123"/>
      <c r="X3" s="94"/>
      <c r="Y3" s="95"/>
      <c r="AA3" s="94"/>
      <c r="AB3" s="95"/>
      <c r="AE3" s="12" t="s">
        <v>4</v>
      </c>
      <c r="AF3" s="13" t="s">
        <v>5</v>
      </c>
      <c r="AG3" s="13" t="s">
        <v>13</v>
      </c>
      <c r="AH3" s="13" t="s">
        <v>6</v>
      </c>
      <c r="AI3" s="13" t="s">
        <v>2</v>
      </c>
      <c r="AJ3" s="14" t="s">
        <v>3</v>
      </c>
      <c r="AL3" s="4" t="s">
        <v>4</v>
      </c>
      <c r="AM3" s="5" t="s">
        <v>16</v>
      </c>
      <c r="AN3" s="5" t="s">
        <v>22</v>
      </c>
      <c r="AO3" s="5" t="s">
        <v>23</v>
      </c>
      <c r="AP3" s="6" t="s">
        <v>25</v>
      </c>
      <c r="AQ3" s="4" t="s">
        <v>17</v>
      </c>
      <c r="AR3" s="5" t="s">
        <v>18</v>
      </c>
      <c r="AS3" s="5" t="s">
        <v>20</v>
      </c>
      <c r="AT3" s="5" t="s">
        <v>21</v>
      </c>
      <c r="AU3" s="5" t="s">
        <v>19</v>
      </c>
      <c r="AV3" s="6" t="s">
        <v>24</v>
      </c>
      <c r="AX3" s="56" t="s">
        <v>70</v>
      </c>
      <c r="AY3" s="57">
        <f>(SUM(AU4*AM4,AU5*AM5,AU6*AM6,AU7*AM7,AU8*AM8)-(1/5)*SUM(AU4,AU5,AU6,AU7,AU8)*SUM(AM4,AM5,AM6,AM7,AM8))/(SUM(AM4^2,AM5^2,AM6^2,AM7^2,AM8^2)-(1/5)*(SUM(AM4,AM5,AM6,AM7,AM8))^2)</f>
        <v>10.36110547721146</v>
      </c>
      <c r="AZ3" s="53"/>
      <c r="BA3" s="53"/>
      <c r="BB3" s="54"/>
      <c r="BD3" s="64" t="s">
        <v>82</v>
      </c>
      <c r="BE3" s="57">
        <f>SQRT(BE4/(BE5*3))</f>
        <v>1.6357839354225225</v>
      </c>
      <c r="BF3" s="60" t="s">
        <v>76</v>
      </c>
      <c r="BG3" s="57">
        <f>AU4-($AY$4+$AY$3*AM4)</f>
        <v>5.6927068433051793E-2</v>
      </c>
      <c r="BH3" s="53"/>
      <c r="BI3" s="54"/>
    </row>
    <row r="4" spans="1:61" ht="15" thickBot="1" x14ac:dyDescent="0.4">
      <c r="A4" s="7" t="s">
        <v>37</v>
      </c>
      <c r="B4" s="27" t="s">
        <v>29</v>
      </c>
      <c r="C4" s="27" t="s">
        <v>32</v>
      </c>
      <c r="D4" s="27" t="s">
        <v>35</v>
      </c>
      <c r="E4" s="28">
        <v>0.05</v>
      </c>
      <c r="G4" s="40">
        <v>220</v>
      </c>
      <c r="H4" s="41">
        <v>1000</v>
      </c>
      <c r="I4" s="41">
        <v>230</v>
      </c>
      <c r="J4" s="42">
        <v>230</v>
      </c>
      <c r="L4" s="107"/>
      <c r="M4" s="129" t="s">
        <v>11</v>
      </c>
      <c r="N4" s="129" t="s">
        <v>12</v>
      </c>
      <c r="O4" s="129" t="s">
        <v>2</v>
      </c>
      <c r="P4" s="129" t="s">
        <v>3</v>
      </c>
      <c r="Q4" s="129" t="s">
        <v>47</v>
      </c>
      <c r="R4" s="128" t="s">
        <v>48</v>
      </c>
      <c r="S4" s="90" t="s">
        <v>49</v>
      </c>
      <c r="T4" s="124" t="s">
        <v>50</v>
      </c>
      <c r="U4" s="125" t="s">
        <v>51</v>
      </c>
      <c r="V4" s="91" t="s">
        <v>52</v>
      </c>
      <c r="X4" s="90" t="s">
        <v>53</v>
      </c>
      <c r="Y4" s="91" t="s">
        <v>54</v>
      </c>
      <c r="AA4" s="90" t="s">
        <v>24</v>
      </c>
      <c r="AB4" s="91" t="s">
        <v>56</v>
      </c>
      <c r="AC4" s="109" t="s">
        <v>59</v>
      </c>
      <c r="AE4" s="106">
        <v>1</v>
      </c>
      <c r="AF4" s="141">
        <v>240</v>
      </c>
      <c r="AG4" s="141">
        <v>230</v>
      </c>
      <c r="AH4" s="5">
        <v>1</v>
      </c>
      <c r="AI4" s="5">
        <v>1.6</v>
      </c>
      <c r="AJ4" s="6">
        <v>4.5999999999999996</v>
      </c>
      <c r="AL4" s="7">
        <v>1</v>
      </c>
      <c r="AM4" s="8">
        <f>(-($I$4-AF4)-($J$4-AG4))/($H$4-$G$4)</f>
        <v>1.282051282051282E-2</v>
      </c>
      <c r="AN4" s="52" t="s">
        <v>60</v>
      </c>
      <c r="AO4" s="52" t="s">
        <v>65</v>
      </c>
      <c r="AP4" s="36" t="s">
        <v>86</v>
      </c>
      <c r="AQ4" s="32">
        <f>1/5*SUM(AI4:AI8)</f>
        <v>1.7000000000000002</v>
      </c>
      <c r="AR4" s="11">
        <f>1/5*SUM(AJ4:AJ8)</f>
        <v>4.68</v>
      </c>
      <c r="AS4" s="11">
        <f>SQRT(SUM((AI4/5)^2,(AI5/5)^2,(AI6/5)^2,(AI7/5)^2,(AI8/5)^2))</f>
        <v>0.76183987818963639</v>
      </c>
      <c r="AT4" s="11">
        <f>SQRT(SUM((AJ4/5)^2,(AJ5/5)^2,(AJ6/5)^2,(AJ7/5)^2,(AJ8/5)^2))</f>
        <v>2.0932271735289505</v>
      </c>
      <c r="AU4" s="11">
        <f>(2*(N6-M6))/(AR4^2-AQ4^2)</f>
        <v>2.6298626159769418E-2</v>
      </c>
      <c r="AV4" s="26">
        <f>AU4*SQRT(($E$4^2+$E$4^2)/(N6-M6)^2+4*(((AQ4*AS4)^2+(AR4*AT4)^2)/(AR4^2-AQ4^2)^2))</f>
        <v>2.8330923573067483E-2</v>
      </c>
      <c r="AX4" s="58" t="s">
        <v>71</v>
      </c>
      <c r="AY4" s="59">
        <f>(1/5)*(SUM(AU4,AU5,AU6,AU7,AU8)-AY3*SUM(AM4,AM5,AM6,AM7,AM8))</f>
        <v>-0.16346312787855749</v>
      </c>
      <c r="AZ4" s="46"/>
      <c r="BA4" s="46"/>
      <c r="BB4" s="47"/>
      <c r="BD4" s="65" t="s">
        <v>83</v>
      </c>
      <c r="BE4" s="55">
        <f>SUM(BG3^2,BG4^2,BG5^2,BG6^2,BG7^2)</f>
        <v>1.3194226249439809E-2</v>
      </c>
      <c r="BF4" s="61" t="s">
        <v>79</v>
      </c>
      <c r="BG4" s="57">
        <f>AU5-($AY$4+$AY$3*AM5)</f>
        <v>-2.3377414503163899E-2</v>
      </c>
      <c r="BH4" s="1"/>
      <c r="BI4" s="45"/>
    </row>
    <row r="5" spans="1:61" ht="20" customHeight="1" thickBot="1" x14ac:dyDescent="0.4">
      <c r="A5" s="7" t="s">
        <v>38</v>
      </c>
      <c r="B5" s="27" t="s">
        <v>30</v>
      </c>
      <c r="C5" s="27" t="s">
        <v>33</v>
      </c>
      <c r="D5" s="27" t="s">
        <v>35</v>
      </c>
      <c r="E5" s="28">
        <v>5.0000000000000001E-3</v>
      </c>
      <c r="G5" s="40" t="s">
        <v>45</v>
      </c>
      <c r="H5" s="41" t="s">
        <v>46</v>
      </c>
      <c r="I5" s="41" t="s">
        <v>85</v>
      </c>
      <c r="J5" s="42" t="s">
        <v>85</v>
      </c>
      <c r="L5" s="107"/>
      <c r="M5" s="129"/>
      <c r="N5" s="129"/>
      <c r="O5" s="129"/>
      <c r="P5" s="129"/>
      <c r="Q5" s="129"/>
      <c r="R5" s="128"/>
      <c r="S5" s="90"/>
      <c r="T5" s="124"/>
      <c r="U5" s="124"/>
      <c r="V5" s="91"/>
      <c r="X5" s="90"/>
      <c r="Y5" s="91"/>
      <c r="AA5" s="90"/>
      <c r="AB5" s="91"/>
      <c r="AC5" s="109"/>
      <c r="AE5" s="107"/>
      <c r="AF5" s="129"/>
      <c r="AG5" s="129"/>
      <c r="AH5" s="9">
        <v>2</v>
      </c>
      <c r="AI5" s="9">
        <v>1.6</v>
      </c>
      <c r="AJ5" s="15">
        <v>4.5999999999999996</v>
      </c>
      <c r="AL5" s="7">
        <v>2</v>
      </c>
      <c r="AM5" s="8">
        <f>(-($I$4-AF9)-($J$4-AG9))/($H$4-$G$4)</f>
        <v>2.564102564102564E-2</v>
      </c>
      <c r="AN5" s="52" t="s">
        <v>61</v>
      </c>
      <c r="AO5" s="52" t="s">
        <v>66</v>
      </c>
      <c r="AP5" s="36" t="s">
        <v>87</v>
      </c>
      <c r="AQ5" s="7">
        <f>1/5*SUM(AI9:AI13)</f>
        <v>1.2200000000000002</v>
      </c>
      <c r="AR5" s="9">
        <f>1/5*SUM(AJ9:AJ13)</f>
        <v>3.2199999999999998</v>
      </c>
      <c r="AS5" s="11">
        <f>SQRT(SUM((AI9/5)^2,(AI10/5)^2,(AI11/5)^2,(AI12/5)^2,(AI13/5)^2))</f>
        <v>0.54589376255824718</v>
      </c>
      <c r="AT5" s="11">
        <f>SQRT(SUM((AJ9/5)^2,(AJ10/5)^2,(AJ11/5)^2,(AJ12/5)^2,(AJ13/5)^2))</f>
        <v>1.4401388821915753</v>
      </c>
      <c r="AU5" s="11">
        <f>(2*(N7-M7))/(AR5^2-AQ5^2)</f>
        <v>7.8828828828828842E-2</v>
      </c>
      <c r="AV5" s="26">
        <f>AU5*SQRT(($E$4^2+$E$4^2)/(N7-M7)^2+4*(((AQ5*AS5)^2+(AR5*AT5)^2)/(AR5^2-AQ5^2)^2))</f>
        <v>8.4686502835252017E-2</v>
      </c>
      <c r="AX5" s="155"/>
      <c r="AY5" s="156"/>
      <c r="AZ5" s="156"/>
      <c r="BA5" s="156"/>
      <c r="BB5" s="157"/>
      <c r="BD5" s="66" t="s">
        <v>73</v>
      </c>
      <c r="BE5" s="55">
        <f>SUM(AM4^2,AM5^2,AM6^2,AM7^2,AM8^2)-(1/5)*(SUM(AM4,AM5,AM6,AM7,AM8))^2</f>
        <v>1.6436554898093345E-3</v>
      </c>
      <c r="BF5" s="61" t="s">
        <v>77</v>
      </c>
      <c r="BG5" s="57">
        <f>AU6-($AY$4+$AY$3*AM6)</f>
        <v>-5.8248900650543362E-2</v>
      </c>
      <c r="BH5" s="1"/>
      <c r="BI5" s="45"/>
    </row>
    <row r="6" spans="1:61" ht="15" thickBot="1" x14ac:dyDescent="0.4">
      <c r="A6" s="25" t="s">
        <v>36</v>
      </c>
      <c r="B6" s="43" t="s">
        <v>40</v>
      </c>
      <c r="C6" s="43" t="s">
        <v>41</v>
      </c>
      <c r="D6" s="43" t="s">
        <v>42</v>
      </c>
      <c r="E6" s="44" t="s">
        <v>84</v>
      </c>
      <c r="G6" s="115" t="s">
        <v>44</v>
      </c>
      <c r="H6" s="116"/>
      <c r="I6" s="116"/>
      <c r="J6" s="117"/>
      <c r="L6" s="69">
        <v>1</v>
      </c>
      <c r="M6" s="9">
        <v>0.15</v>
      </c>
      <c r="N6" s="11">
        <v>0.4</v>
      </c>
      <c r="O6" s="9">
        <v>1.7</v>
      </c>
      <c r="P6" s="22">
        <v>3</v>
      </c>
      <c r="Q6" s="9">
        <f>N6-M6</f>
        <v>0.25</v>
      </c>
      <c r="R6" s="76">
        <f>(P6^2-O6^2)/2</f>
        <v>3.0550000000000002</v>
      </c>
      <c r="S6" s="49">
        <f>SQRT(SUM((-1*(2/3)*$E$4)^2,(1*(2/3)*$E$4)^2))</f>
        <v>4.7140452079103168E-2</v>
      </c>
      <c r="T6" s="48">
        <f>SQRT(SUM((-O6*$E$7)^2,(P6*$E$7)^2))</f>
        <v>0.34481879299133339</v>
      </c>
      <c r="U6" s="50">
        <f t="shared" ref="U6:V10" si="0">S6/Q6</f>
        <v>0.18856180831641267</v>
      </c>
      <c r="V6" s="51">
        <f>T6/R6</f>
        <v>0.11287030867146755</v>
      </c>
      <c r="X6" s="49">
        <f>(SUM(R6*Q6,R7*Q7,R8*Q8,R9*Q9,R10*Q10))/(SUM(R6^2,R7^2,R8^2,R9^2,R10^2))</f>
        <v>8.249352424262589E-2</v>
      </c>
      <c r="Y6" s="78">
        <f>SQRT((SUM((Q6-X6*R6)^2,(Q7-X6*R7)^2,(Q8-X6*R8)^2,(Q9-X6*R9)^2,(Q10-X6*R10)^2))/(4*SUM(R6^2,R7^2,R8^2,R9^2,R10^2)))</f>
        <v>2.000122633188032E-3</v>
      </c>
      <c r="AA6" s="49">
        <f>2*Y6</f>
        <v>4.0002452663760639E-3</v>
      </c>
      <c r="AB6" s="82">
        <f>AA6/X6</f>
        <v>4.8491627713840177E-2</v>
      </c>
      <c r="AC6" s="81">
        <f>$X$6*R6</f>
        <v>0.25201771656122213</v>
      </c>
      <c r="AE6" s="107"/>
      <c r="AF6" s="129"/>
      <c r="AG6" s="129"/>
      <c r="AH6" s="9">
        <v>3</v>
      </c>
      <c r="AI6" s="9">
        <v>1.7</v>
      </c>
      <c r="AJ6" s="10">
        <v>4.7</v>
      </c>
      <c r="AL6" s="7">
        <v>3</v>
      </c>
      <c r="AM6" s="8">
        <f>(-($I$4-AF14)-($J$4-AG14))/($H$4-$G$4)</f>
        <v>3.8461538461538464E-2</v>
      </c>
      <c r="AN6" s="52" t="s">
        <v>62</v>
      </c>
      <c r="AO6" s="52" t="s">
        <v>67</v>
      </c>
      <c r="AP6" s="36" t="s">
        <v>88</v>
      </c>
      <c r="AQ6" s="7">
        <f>1/5*SUM(AI14:AI18)</f>
        <v>0.98000000000000009</v>
      </c>
      <c r="AR6" s="9">
        <f>1/5*SUM(AJ14:AJ18)</f>
        <v>2.6799999999999997</v>
      </c>
      <c r="AS6" s="11">
        <f>SQRT(SUM((AI14/5)^2,(AI15/5)^2,(AI16/5)^2,(AI17/5)^2,(AI18/5)^2))</f>
        <v>0.43863424398922624</v>
      </c>
      <c r="AT6" s="11">
        <f>SQRT(SUM((AJ14/5)^2,(AJ15/5)^2,(AJ16/5)^2,(AJ17/5)^2,(AJ18/5)^2))</f>
        <v>1.198665925101736</v>
      </c>
      <c r="AU6" s="11">
        <f>(2*(N8-M8))/(AR6^2-AQ6^2)</f>
        <v>0.17679202828672455</v>
      </c>
      <c r="AV6" s="26">
        <f>AU6*SQRT(($E$4^2+$E$4^2)/(N8-M8)^2+4*(((AQ6*AS6)^2+(AR6*AT6)^2)/(AR6^2-AQ6^2)^2))</f>
        <v>0.18558009819419627</v>
      </c>
      <c r="AX6" s="149"/>
      <c r="AY6" s="150"/>
      <c r="AZ6" s="150"/>
      <c r="BA6" s="150"/>
      <c r="BB6" s="151"/>
      <c r="BD6" s="65" t="s">
        <v>81</v>
      </c>
      <c r="BE6" s="79">
        <f>2*BE3</f>
        <v>3.2715678708450451</v>
      </c>
      <c r="BF6" s="62" t="s">
        <v>78</v>
      </c>
      <c r="BG6" s="57">
        <f>AU7-($AY$4+$AY$3*AM7)</f>
        <v>-4.107822892162788E-2</v>
      </c>
      <c r="BH6" s="1"/>
      <c r="BI6" s="45"/>
    </row>
    <row r="7" spans="1:61" ht="15" thickBot="1" x14ac:dyDescent="0.4">
      <c r="A7" s="18" t="s">
        <v>39</v>
      </c>
      <c r="B7" s="29" t="s">
        <v>31</v>
      </c>
      <c r="C7" s="29" t="s">
        <v>34</v>
      </c>
      <c r="D7" s="29" t="s">
        <v>35</v>
      </c>
      <c r="E7" s="30">
        <v>0.1</v>
      </c>
      <c r="L7" s="69">
        <v>2</v>
      </c>
      <c r="M7" s="9">
        <v>0.15</v>
      </c>
      <c r="N7" s="11">
        <v>0.5</v>
      </c>
      <c r="O7" s="9">
        <v>1.8</v>
      </c>
      <c r="P7" s="22">
        <v>3.6</v>
      </c>
      <c r="Q7" s="11">
        <f>N7-M7</f>
        <v>0.35</v>
      </c>
      <c r="R7" s="76">
        <f t="shared" ref="R7:R10" si="1">(P7^2-O7^2)/2</f>
        <v>4.8600000000000003</v>
      </c>
      <c r="S7" s="49">
        <f t="shared" ref="S7:S10" si="2">SQRT(SUM((-1*(2/3)*$E$4)^2,(1*(2/3)*$E$4)^2))</f>
        <v>4.7140452079103168E-2</v>
      </c>
      <c r="T7" s="48">
        <f>SQRT(SUM((-O7*$E$7)^2,(P7*$E$7)^2))</f>
        <v>0.4024922359499622</v>
      </c>
      <c r="U7" s="50">
        <f t="shared" si="0"/>
        <v>0.13468700594029479</v>
      </c>
      <c r="V7" s="51">
        <f t="shared" si="0"/>
        <v>8.2817332499992222E-2</v>
      </c>
      <c r="X7" s="96"/>
      <c r="Y7" s="98"/>
      <c r="AA7" s="100"/>
      <c r="AB7" s="103"/>
      <c r="AC7" s="81">
        <f>$X$6*R7</f>
        <v>0.40091852781916187</v>
      </c>
      <c r="AE7" s="107"/>
      <c r="AF7" s="129"/>
      <c r="AG7" s="129"/>
      <c r="AH7" s="9">
        <v>4</v>
      </c>
      <c r="AI7" s="9">
        <v>1.9</v>
      </c>
      <c r="AJ7" s="10">
        <v>4.8</v>
      </c>
      <c r="AL7" s="7">
        <v>4</v>
      </c>
      <c r="AM7" s="8">
        <f>(-($I$4-AF19)-($J$4-AG19))/($H$4-$G$4)</f>
        <v>5.128205128205128E-2</v>
      </c>
      <c r="AN7" s="52" t="s">
        <v>63</v>
      </c>
      <c r="AO7" s="52" t="s">
        <v>68</v>
      </c>
      <c r="AP7" s="36" t="s">
        <v>89</v>
      </c>
      <c r="AQ7" s="7">
        <f>1/5*SUM(AI19:AI23)</f>
        <v>0.78000000000000014</v>
      </c>
      <c r="AR7" s="9">
        <f>1/5*SUM(AJ19:AJ23)</f>
        <v>2.2799999999999998</v>
      </c>
      <c r="AS7" s="11">
        <f>SQRT(SUM((AI19/5)^2,(AI20/5)^2,(AI21/5)^2,(AI22/5)^2,(AI23/5)^2))</f>
        <v>0.35042830935870461</v>
      </c>
      <c r="AT7" s="11">
        <f>SQRT(SUM((AJ19/5)^2,(AJ20/5)^2,(AJ21/5)^2,(AJ22/5)^2,(AJ23/5)^2))</f>
        <v>1.020196059588548</v>
      </c>
      <c r="AU7" s="11">
        <f>(2*(N9-M9))/(AR7^2-AQ7^2)</f>
        <v>0.32679738562091509</v>
      </c>
      <c r="AV7" s="26">
        <f>AU7*SQRT(($E$4^2+$E$4^2)/(N9-M9)^2+4*(((AQ7*AS7)^2+(AR7*AT7)^2)/(AR7^2-AQ7^2)^2))</f>
        <v>0.33491756177618209</v>
      </c>
      <c r="AX7" s="149"/>
      <c r="AY7" s="150"/>
      <c r="AZ7" s="150"/>
      <c r="BA7" s="150"/>
      <c r="BB7" s="151"/>
      <c r="BD7" s="40" t="s">
        <v>74</v>
      </c>
      <c r="BE7" s="67">
        <f>BE6/AY3</f>
        <v>0.31575471150647333</v>
      </c>
      <c r="BF7" s="63" t="s">
        <v>80</v>
      </c>
      <c r="BG7" s="57">
        <f>AU8-($AY$4+$AY$3*AM8)</f>
        <v>6.5777475642283312E-2</v>
      </c>
      <c r="BH7" s="46"/>
      <c r="BI7" s="47"/>
    </row>
    <row r="8" spans="1:61" ht="15" thickBot="1" x14ac:dyDescent="0.4">
      <c r="L8" s="69">
        <v>3</v>
      </c>
      <c r="M8" s="9">
        <v>0.15</v>
      </c>
      <c r="N8" s="11">
        <v>0.7</v>
      </c>
      <c r="O8" s="9">
        <v>1.8</v>
      </c>
      <c r="P8" s="22">
        <v>4</v>
      </c>
      <c r="Q8" s="9">
        <f t="shared" ref="Q8:Q10" si="3">N8-M8</f>
        <v>0.54999999999999993</v>
      </c>
      <c r="R8" s="76">
        <f t="shared" si="1"/>
        <v>6.38</v>
      </c>
      <c r="S8" s="49">
        <f t="shared" si="2"/>
        <v>4.7140452079103168E-2</v>
      </c>
      <c r="T8" s="48">
        <f>SQRT(SUM((-O8*$E$7)^2,(P8*$E$7)^2))</f>
        <v>0.43863424398922624</v>
      </c>
      <c r="U8" s="50">
        <f t="shared" si="0"/>
        <v>8.570991287109668E-2</v>
      </c>
      <c r="V8" s="51">
        <f t="shared" si="0"/>
        <v>6.8751448901132634E-2</v>
      </c>
      <c r="X8" s="96"/>
      <c r="Y8" s="98"/>
      <c r="AA8" s="101"/>
      <c r="AB8" s="104"/>
      <c r="AC8" s="81">
        <f>$X$6*R8</f>
        <v>0.52630868466795322</v>
      </c>
      <c r="AE8" s="108"/>
      <c r="AF8" s="142"/>
      <c r="AG8" s="142"/>
      <c r="AH8" s="16">
        <v>5</v>
      </c>
      <c r="AI8" s="16">
        <v>1.7</v>
      </c>
      <c r="AJ8" s="17">
        <v>4.7</v>
      </c>
      <c r="AL8" s="18">
        <v>5</v>
      </c>
      <c r="AM8" s="8">
        <f>(-($I$4-AF24)-($J$4-AG24))/($H$4-$G$4)</f>
        <v>6.4102564102564097E-2</v>
      </c>
      <c r="AN8" s="52" t="s">
        <v>64</v>
      </c>
      <c r="AO8" s="52" t="s">
        <v>69</v>
      </c>
      <c r="AP8" s="31" t="s">
        <v>90</v>
      </c>
      <c r="AQ8" s="33">
        <f>1/5*SUM(AI24:AI28)</f>
        <v>0.64000000000000012</v>
      </c>
      <c r="AR8" s="34">
        <f>1/5*SUM(AJ24:AJ28)</f>
        <v>1.94</v>
      </c>
      <c r="AS8" s="11">
        <f>SQRT(SUM((AI24/5)^2,(AI25/5)^2,(AI26/5)^2,(AI27/5)^2,(AI28/5)^2))</f>
        <v>0.28705400188814645</v>
      </c>
      <c r="AT8" s="11">
        <f>SQRT(SUM((AJ24/5)^2,(AJ25/5)^2,(AJ26/5)^2,(AJ27/5)^2,(AJ28/5)^2))</f>
        <v>0.86787095814988535</v>
      </c>
      <c r="AU8" s="35">
        <f>(2*(N10-M10))/(AR8^2-AQ8^2)</f>
        <v>0.56648777579010146</v>
      </c>
      <c r="AV8" s="26">
        <f>AU8*SQRT(($E$4^2+$E$4^2)/(N10-M10)^2+4*(((AQ8*AS8)^2+(AR8*AT8)^2)/(AR8^2-AQ8^2)^2))</f>
        <v>0.57366820461762769</v>
      </c>
      <c r="AX8" s="149"/>
      <c r="AY8" s="150"/>
      <c r="AZ8" s="150"/>
      <c r="BA8" s="150"/>
      <c r="BB8" s="151"/>
      <c r="BD8" s="149"/>
      <c r="BE8" s="150"/>
      <c r="BF8" s="150"/>
      <c r="BG8" s="150"/>
      <c r="BH8" s="150"/>
      <c r="BI8" s="151"/>
    </row>
    <row r="9" spans="1:61" x14ac:dyDescent="0.35">
      <c r="L9" s="69">
        <v>4</v>
      </c>
      <c r="M9" s="9">
        <v>0.15</v>
      </c>
      <c r="N9" s="11">
        <v>0.9</v>
      </c>
      <c r="O9" s="9">
        <v>1.7</v>
      </c>
      <c r="P9" s="22">
        <v>4.5</v>
      </c>
      <c r="Q9" s="9">
        <f t="shared" si="3"/>
        <v>0.75</v>
      </c>
      <c r="R9" s="76">
        <f t="shared" si="1"/>
        <v>8.68</v>
      </c>
      <c r="S9" s="49">
        <f t="shared" si="2"/>
        <v>4.7140452079103168E-2</v>
      </c>
      <c r="T9" s="48">
        <f>SQRT(SUM((-O9*$E$7)^2,(P9*$E$7)^2))</f>
        <v>0.48104053883222775</v>
      </c>
      <c r="U9" s="50">
        <f t="shared" si="0"/>
        <v>6.2853936105470895E-2</v>
      </c>
      <c r="V9" s="51">
        <f t="shared" si="0"/>
        <v>5.5419416916155276E-2</v>
      </c>
      <c r="X9" s="96"/>
      <c r="Y9" s="98"/>
      <c r="AA9" s="101"/>
      <c r="AB9" s="104"/>
      <c r="AC9" s="81">
        <f>$X$6*R9</f>
        <v>0.71604379042599275</v>
      </c>
      <c r="AE9" s="106">
        <v>2</v>
      </c>
      <c r="AF9" s="141">
        <v>250</v>
      </c>
      <c r="AG9" s="141">
        <v>230</v>
      </c>
      <c r="AH9" s="5">
        <v>1</v>
      </c>
      <c r="AI9" s="5">
        <v>1.2</v>
      </c>
      <c r="AJ9" s="20">
        <v>3.2</v>
      </c>
      <c r="AL9" s="155"/>
      <c r="AM9" s="156"/>
      <c r="AN9" s="156"/>
      <c r="AO9" s="156"/>
      <c r="AP9" s="156"/>
      <c r="AQ9" s="156"/>
      <c r="AR9" s="156"/>
      <c r="AS9" s="156"/>
      <c r="AT9" s="156"/>
      <c r="AU9" s="156"/>
      <c r="AV9" s="157"/>
      <c r="AX9" s="149"/>
      <c r="AY9" s="150"/>
      <c r="AZ9" s="150"/>
      <c r="BA9" s="150"/>
      <c r="BB9" s="151"/>
      <c r="BD9" s="149"/>
      <c r="BE9" s="150"/>
      <c r="BF9" s="150"/>
      <c r="BG9" s="150"/>
      <c r="BH9" s="150"/>
      <c r="BI9" s="151"/>
    </row>
    <row r="10" spans="1:61" ht="15" thickBot="1" x14ac:dyDescent="0.4">
      <c r="L10" s="70">
        <v>5</v>
      </c>
      <c r="M10" s="16">
        <v>0.15</v>
      </c>
      <c r="N10" s="19">
        <v>1.1000000000000001</v>
      </c>
      <c r="O10" s="16">
        <v>1.9</v>
      </c>
      <c r="P10" s="23">
        <v>5.2</v>
      </c>
      <c r="Q10" s="16">
        <f t="shared" si="3"/>
        <v>0.95000000000000007</v>
      </c>
      <c r="R10" s="77">
        <f t="shared" si="1"/>
        <v>11.715000000000002</v>
      </c>
      <c r="S10" s="49">
        <f t="shared" si="2"/>
        <v>4.7140452079103168E-2</v>
      </c>
      <c r="T10" s="48">
        <f>SQRT(SUM((-O10*$E$7)^2,(P10*$E$7)^2))</f>
        <v>0.55362442142665635</v>
      </c>
      <c r="U10" s="50">
        <f t="shared" si="0"/>
        <v>4.9621528504319119E-2</v>
      </c>
      <c r="V10" s="51">
        <f t="shared" si="0"/>
        <v>4.7257739771801643E-2</v>
      </c>
      <c r="X10" s="96"/>
      <c r="Y10" s="98"/>
      <c r="AA10" s="101"/>
      <c r="AB10" s="104"/>
      <c r="AC10" s="81">
        <f>$X$6*R10</f>
        <v>0.96641163650236239</v>
      </c>
      <c r="AE10" s="107"/>
      <c r="AF10" s="129"/>
      <c r="AG10" s="129"/>
      <c r="AH10" s="9">
        <v>2</v>
      </c>
      <c r="AI10" s="9">
        <v>1.3</v>
      </c>
      <c r="AJ10" s="10">
        <v>3.3</v>
      </c>
      <c r="AL10" s="149"/>
      <c r="AM10" s="150"/>
      <c r="AN10" s="150"/>
      <c r="AO10" s="150"/>
      <c r="AP10" s="150"/>
      <c r="AQ10" s="150"/>
      <c r="AR10" s="150"/>
      <c r="AS10" s="150"/>
      <c r="AT10" s="150"/>
      <c r="AU10" s="150"/>
      <c r="AV10" s="151"/>
      <c r="AX10" s="149"/>
      <c r="AY10" s="150"/>
      <c r="AZ10" s="150"/>
      <c r="BA10" s="150"/>
      <c r="BB10" s="151"/>
      <c r="BD10" s="149"/>
      <c r="BE10" s="150"/>
      <c r="BF10" s="150"/>
      <c r="BG10" s="150"/>
      <c r="BH10" s="150"/>
      <c r="BI10" s="151"/>
    </row>
    <row r="11" spans="1:61" x14ac:dyDescent="0.35">
      <c r="L11" s="1"/>
      <c r="M11" s="1"/>
      <c r="N11" s="1"/>
      <c r="O11" s="1"/>
      <c r="P11" s="1"/>
      <c r="Q11" s="68"/>
      <c r="R11" s="75"/>
      <c r="S11" s="158"/>
      <c r="T11" s="159"/>
      <c r="U11" s="159"/>
      <c r="V11" s="160"/>
      <c r="X11" s="96"/>
      <c r="Y11" s="98"/>
      <c r="AA11" s="101"/>
      <c r="AB11" s="104"/>
      <c r="AE11" s="107"/>
      <c r="AF11" s="129"/>
      <c r="AG11" s="129"/>
      <c r="AH11" s="9">
        <v>3</v>
      </c>
      <c r="AI11" s="9">
        <v>1.2</v>
      </c>
      <c r="AJ11" s="10">
        <v>3.2</v>
      </c>
      <c r="AL11" s="149"/>
      <c r="AM11" s="150"/>
      <c r="AN11" s="150"/>
      <c r="AO11" s="150"/>
      <c r="AP11" s="150"/>
      <c r="AQ11" s="150"/>
      <c r="AR11" s="150"/>
      <c r="AS11" s="150"/>
      <c r="AT11" s="150"/>
      <c r="AU11" s="150"/>
      <c r="AV11" s="151"/>
      <c r="AX11" s="149"/>
      <c r="AY11" s="150"/>
      <c r="AZ11" s="150"/>
      <c r="BA11" s="150"/>
      <c r="BB11" s="151"/>
      <c r="BD11" s="149"/>
      <c r="BE11" s="150"/>
      <c r="BF11" s="150"/>
      <c r="BG11" s="150"/>
      <c r="BH11" s="150"/>
      <c r="BI11" s="151"/>
    </row>
    <row r="12" spans="1:61" ht="15" thickBot="1" x14ac:dyDescent="0.4">
      <c r="L12" s="1"/>
      <c r="M12" s="1"/>
      <c r="N12" s="1"/>
      <c r="O12" s="1"/>
      <c r="P12" s="1"/>
      <c r="Q12" s="1"/>
      <c r="R12" s="1"/>
      <c r="S12" s="149"/>
      <c r="T12" s="150"/>
      <c r="U12" s="150"/>
      <c r="V12" s="151"/>
      <c r="X12" s="97"/>
      <c r="Y12" s="99"/>
      <c r="AA12" s="102"/>
      <c r="AB12" s="105"/>
      <c r="AE12" s="107"/>
      <c r="AF12" s="129"/>
      <c r="AG12" s="129"/>
      <c r="AH12" s="9">
        <v>4</v>
      </c>
      <c r="AI12" s="9">
        <v>1.2</v>
      </c>
      <c r="AJ12" s="15">
        <v>3.2</v>
      </c>
      <c r="AL12" s="152"/>
      <c r="AM12" s="153"/>
      <c r="AN12" s="153"/>
      <c r="AO12" s="153"/>
      <c r="AP12" s="153"/>
      <c r="AQ12" s="153"/>
      <c r="AR12" s="153"/>
      <c r="AS12" s="153"/>
      <c r="AT12" s="153"/>
      <c r="AU12" s="153"/>
      <c r="AV12" s="154"/>
      <c r="AX12" s="149"/>
      <c r="AY12" s="150"/>
      <c r="AZ12" s="150"/>
      <c r="BA12" s="150"/>
      <c r="BB12" s="151"/>
      <c r="BD12" s="149"/>
      <c r="BE12" s="150"/>
      <c r="BF12" s="150"/>
      <c r="BG12" s="150"/>
      <c r="BH12" s="150"/>
      <c r="BI12" s="151"/>
    </row>
    <row r="13" spans="1:61" ht="15" thickBot="1" x14ac:dyDescent="0.4">
      <c r="L13" s="1"/>
      <c r="M13" s="1"/>
      <c r="N13" s="1"/>
      <c r="O13" s="1"/>
      <c r="P13" s="1"/>
      <c r="Q13" s="1"/>
      <c r="R13" s="1"/>
      <c r="S13" s="149"/>
      <c r="T13" s="150"/>
      <c r="U13" s="150"/>
      <c r="V13" s="151"/>
      <c r="AC13" s="1"/>
      <c r="AE13" s="108"/>
      <c r="AF13" s="142"/>
      <c r="AG13" s="142"/>
      <c r="AH13" s="16">
        <v>5</v>
      </c>
      <c r="AI13" s="16">
        <v>1.2</v>
      </c>
      <c r="AJ13" s="17">
        <v>3.2</v>
      </c>
      <c r="AL13" s="155"/>
      <c r="AM13" s="156"/>
      <c r="AN13" s="156"/>
      <c r="AO13" s="156"/>
      <c r="AP13" s="156"/>
      <c r="AQ13" s="156"/>
      <c r="AR13" s="156"/>
      <c r="AS13" s="156"/>
      <c r="AT13" s="156"/>
      <c r="AU13" s="156"/>
      <c r="AV13" s="157"/>
      <c r="AX13" s="149"/>
      <c r="AY13" s="150"/>
      <c r="AZ13" s="150"/>
      <c r="BA13" s="150"/>
      <c r="BB13" s="151"/>
      <c r="BD13" s="149"/>
      <c r="BE13" s="150"/>
      <c r="BF13" s="150"/>
      <c r="BG13" s="150"/>
      <c r="BH13" s="150"/>
      <c r="BI13" s="151"/>
    </row>
    <row r="14" spans="1:61" ht="15" thickBot="1" x14ac:dyDescent="0.4">
      <c r="L14" s="1"/>
      <c r="M14" s="1"/>
      <c r="N14" s="1"/>
      <c r="O14" s="1"/>
      <c r="P14" s="1"/>
      <c r="Q14" s="1"/>
      <c r="R14" s="1"/>
      <c r="S14" s="149"/>
      <c r="T14" s="150"/>
      <c r="U14" s="150"/>
      <c r="V14" s="151"/>
      <c r="AE14" s="106">
        <v>3</v>
      </c>
      <c r="AF14" s="141">
        <v>260</v>
      </c>
      <c r="AG14" s="141">
        <v>230</v>
      </c>
      <c r="AH14" s="5">
        <v>1</v>
      </c>
      <c r="AI14" s="21">
        <v>1</v>
      </c>
      <c r="AJ14" s="6">
        <v>2.7</v>
      </c>
      <c r="AL14" s="149"/>
      <c r="AM14" s="150"/>
      <c r="AN14" s="150"/>
      <c r="AO14" s="150"/>
      <c r="AP14" s="150"/>
      <c r="AQ14" s="150"/>
      <c r="AR14" s="150"/>
      <c r="AS14" s="150"/>
      <c r="AT14" s="150"/>
      <c r="AU14" s="150"/>
      <c r="AV14" s="151"/>
      <c r="AX14" s="152"/>
      <c r="AY14" s="153"/>
      <c r="AZ14" s="153"/>
      <c r="BA14" s="153"/>
      <c r="BB14" s="154"/>
      <c r="BD14" s="149"/>
      <c r="BE14" s="150"/>
      <c r="BF14" s="150"/>
      <c r="BG14" s="150"/>
      <c r="BH14" s="150"/>
      <c r="BI14" s="151"/>
    </row>
    <row r="15" spans="1:61" x14ac:dyDescent="0.35">
      <c r="L15" s="1"/>
      <c r="M15" s="1"/>
      <c r="N15" s="1"/>
      <c r="O15" s="1"/>
      <c r="P15" s="1"/>
      <c r="Q15" s="1"/>
      <c r="R15" s="1"/>
      <c r="S15" s="149"/>
      <c r="T15" s="150"/>
      <c r="U15" s="150"/>
      <c r="V15" s="151"/>
      <c r="AE15" s="107"/>
      <c r="AF15" s="129"/>
      <c r="AG15" s="129"/>
      <c r="AH15" s="9">
        <v>2</v>
      </c>
      <c r="AI15" s="9">
        <v>0.9</v>
      </c>
      <c r="AJ15" s="10">
        <v>2.6</v>
      </c>
      <c r="AL15" s="149"/>
      <c r="AM15" s="150"/>
      <c r="AN15" s="150"/>
      <c r="AO15" s="150"/>
      <c r="AP15" s="150"/>
      <c r="AQ15" s="150"/>
      <c r="AR15" s="150"/>
      <c r="AS15" s="150"/>
      <c r="AT15" s="150"/>
      <c r="AU15" s="150"/>
      <c r="AV15" s="151"/>
      <c r="BD15" s="149"/>
      <c r="BE15" s="150"/>
      <c r="BF15" s="150"/>
      <c r="BG15" s="150"/>
      <c r="BH15" s="150"/>
      <c r="BI15" s="151"/>
    </row>
    <row r="16" spans="1:61" ht="15" thickBot="1" x14ac:dyDescent="0.4">
      <c r="L16" s="1"/>
      <c r="M16" s="1"/>
      <c r="N16" s="1"/>
      <c r="O16" s="1"/>
      <c r="P16" s="1"/>
      <c r="Q16" s="1"/>
      <c r="R16" s="1"/>
      <c r="S16" s="149"/>
      <c r="T16" s="150"/>
      <c r="U16" s="150"/>
      <c r="V16" s="151"/>
      <c r="AE16" s="107"/>
      <c r="AF16" s="129"/>
      <c r="AG16" s="129"/>
      <c r="AH16" s="9">
        <v>3</v>
      </c>
      <c r="AI16" s="22">
        <v>1</v>
      </c>
      <c r="AJ16" s="10">
        <v>2.7</v>
      </c>
      <c r="AL16" s="149"/>
      <c r="AM16" s="150"/>
      <c r="AN16" s="150"/>
      <c r="AO16" s="150"/>
      <c r="AP16" s="150"/>
      <c r="AQ16" s="150"/>
      <c r="AR16" s="150"/>
      <c r="AS16" s="150"/>
      <c r="AT16" s="150"/>
      <c r="AU16" s="150"/>
      <c r="AV16" s="151"/>
      <c r="BA16" s="80"/>
      <c r="BD16" s="152"/>
      <c r="BE16" s="153"/>
      <c r="BF16" s="153"/>
      <c r="BG16" s="153"/>
      <c r="BH16" s="153"/>
      <c r="BI16" s="154"/>
    </row>
    <row r="17" spans="12:48" ht="15" thickBot="1" x14ac:dyDescent="0.4">
      <c r="L17" s="1"/>
      <c r="M17" s="1"/>
      <c r="N17" s="1"/>
      <c r="O17" s="1"/>
      <c r="P17" s="1"/>
      <c r="Q17" s="1"/>
      <c r="R17" s="1"/>
      <c r="S17" s="149"/>
      <c r="T17" s="150"/>
      <c r="U17" s="150"/>
      <c r="V17" s="151"/>
      <c r="AE17" s="107"/>
      <c r="AF17" s="129"/>
      <c r="AG17" s="129"/>
      <c r="AH17" s="9">
        <v>4</v>
      </c>
      <c r="AI17" s="22">
        <v>1</v>
      </c>
      <c r="AJ17" s="10">
        <v>2.7</v>
      </c>
      <c r="AL17" s="152"/>
      <c r="AM17" s="153"/>
      <c r="AN17" s="153"/>
      <c r="AO17" s="153"/>
      <c r="AP17" s="153"/>
      <c r="AQ17" s="153"/>
      <c r="AR17" s="153"/>
      <c r="AS17" s="153"/>
      <c r="AT17" s="153"/>
      <c r="AU17" s="153"/>
      <c r="AV17" s="154"/>
    </row>
    <row r="18" spans="12:48" ht="15" thickBot="1" x14ac:dyDescent="0.4">
      <c r="L18" s="1"/>
      <c r="M18" s="1"/>
      <c r="N18" s="1"/>
      <c r="O18" s="1"/>
      <c r="P18" s="1"/>
      <c r="Q18" s="1"/>
      <c r="R18" s="1"/>
      <c r="S18" s="152"/>
      <c r="T18" s="153"/>
      <c r="U18" s="153"/>
      <c r="V18" s="154"/>
      <c r="AE18" s="108"/>
      <c r="AF18" s="142"/>
      <c r="AG18" s="142"/>
      <c r="AH18" s="16">
        <v>5</v>
      </c>
      <c r="AI18" s="23">
        <v>1</v>
      </c>
      <c r="AJ18" s="17">
        <v>2.7</v>
      </c>
    </row>
    <row r="19" spans="12:48" ht="15" thickBot="1" x14ac:dyDescent="0.4">
      <c r="L19" s="1"/>
      <c r="M19" s="1"/>
      <c r="N19" s="1"/>
      <c r="O19" s="1"/>
      <c r="AE19" s="87">
        <v>4</v>
      </c>
      <c r="AF19" s="146">
        <v>270</v>
      </c>
      <c r="AG19" s="146">
        <v>230</v>
      </c>
      <c r="AH19" s="5">
        <v>1</v>
      </c>
      <c r="AI19" s="5">
        <v>0.7</v>
      </c>
      <c r="AJ19" s="6">
        <v>2.2000000000000002</v>
      </c>
    </row>
    <row r="20" spans="12:48" x14ac:dyDescent="0.35">
      <c r="L20" s="1"/>
      <c r="M20" s="1"/>
      <c r="N20" s="1"/>
      <c r="O20" s="1"/>
      <c r="AE20" s="88"/>
      <c r="AF20" s="147"/>
      <c r="AG20" s="147"/>
      <c r="AH20" s="9">
        <v>2</v>
      </c>
      <c r="AI20" s="9">
        <v>0.7</v>
      </c>
      <c r="AJ20" s="10">
        <v>2.2000000000000002</v>
      </c>
      <c r="AU20" s="130"/>
      <c r="AV20" s="131"/>
    </row>
    <row r="21" spans="12:48" x14ac:dyDescent="0.35">
      <c r="L21" s="1"/>
      <c r="M21" s="1"/>
      <c r="N21" s="1"/>
      <c r="O21" s="1"/>
      <c r="AE21" s="88"/>
      <c r="AF21" s="147"/>
      <c r="AG21" s="147"/>
      <c r="AH21" s="9">
        <v>3</v>
      </c>
      <c r="AI21" s="9">
        <v>0.8</v>
      </c>
      <c r="AJ21" s="10">
        <v>2.2999999999999998</v>
      </c>
      <c r="AU21" s="96"/>
      <c r="AV21" s="98"/>
    </row>
    <row r="22" spans="12:48" x14ac:dyDescent="0.35">
      <c r="AE22" s="88"/>
      <c r="AF22" s="147"/>
      <c r="AG22" s="147"/>
      <c r="AH22" s="9">
        <v>4</v>
      </c>
      <c r="AI22" s="9">
        <v>0.9</v>
      </c>
      <c r="AJ22" s="10">
        <v>2.4</v>
      </c>
      <c r="AU22" s="71">
        <f>$AY$4+$AY$3*AM4</f>
        <v>-3.0628442273282375E-2</v>
      </c>
      <c r="AV22" s="72"/>
    </row>
    <row r="23" spans="12:48" ht="15" thickBot="1" x14ac:dyDescent="0.4">
      <c r="AE23" s="89"/>
      <c r="AF23" s="148"/>
      <c r="AG23" s="148"/>
      <c r="AH23" s="16">
        <v>5</v>
      </c>
      <c r="AI23" s="16">
        <v>0.8</v>
      </c>
      <c r="AJ23" s="17">
        <v>2.2999999999999998</v>
      </c>
      <c r="AU23" s="71">
        <f>$AY$4+$AY$3*AM5</f>
        <v>0.10220624333199274</v>
      </c>
      <c r="AV23" s="72"/>
    </row>
    <row r="24" spans="12:48" x14ac:dyDescent="0.35">
      <c r="AE24" s="87">
        <v>5</v>
      </c>
      <c r="AF24" s="146">
        <v>280</v>
      </c>
      <c r="AG24" s="146">
        <v>230</v>
      </c>
      <c r="AH24" s="5">
        <v>1</v>
      </c>
      <c r="AI24" s="5">
        <v>0.6</v>
      </c>
      <c r="AJ24" s="6">
        <v>1.9</v>
      </c>
      <c r="AU24" s="71">
        <f>$AY$4+$AY$3*AM6</f>
        <v>0.23504092893726791</v>
      </c>
      <c r="AV24" s="72"/>
    </row>
    <row r="25" spans="12:48" x14ac:dyDescent="0.35">
      <c r="AE25" s="88"/>
      <c r="AF25" s="147"/>
      <c r="AG25" s="147"/>
      <c r="AH25" s="9">
        <v>2</v>
      </c>
      <c r="AI25" s="9">
        <v>0.6</v>
      </c>
      <c r="AJ25" s="10">
        <v>1.9</v>
      </c>
      <c r="AU25" s="71">
        <f>$AY$4+$AY$3*AM7</f>
        <v>0.36787561454254297</v>
      </c>
      <c r="AV25" s="72"/>
    </row>
    <row r="26" spans="12:48" ht="15" thickBot="1" x14ac:dyDescent="0.4">
      <c r="AE26" s="88"/>
      <c r="AF26" s="147"/>
      <c r="AG26" s="147"/>
      <c r="AH26" s="9">
        <v>3</v>
      </c>
      <c r="AI26" s="9">
        <v>0.6</v>
      </c>
      <c r="AJ26" s="10">
        <v>1.9</v>
      </c>
      <c r="AU26" s="73">
        <f>$AY$4+$AY$3*AM8</f>
        <v>0.50071030014781814</v>
      </c>
      <c r="AV26" s="74"/>
    </row>
    <row r="27" spans="12:48" x14ac:dyDescent="0.35">
      <c r="AE27" s="88"/>
      <c r="AF27" s="147"/>
      <c r="AG27" s="147"/>
      <c r="AH27" s="9">
        <v>4</v>
      </c>
      <c r="AI27" s="9">
        <v>0.7</v>
      </c>
      <c r="AJ27" s="15">
        <v>2</v>
      </c>
      <c r="AU27" s="130"/>
      <c r="AV27" s="131"/>
    </row>
    <row r="28" spans="12:48" ht="15" thickBot="1" x14ac:dyDescent="0.4">
      <c r="AE28" s="89"/>
      <c r="AF28" s="148"/>
      <c r="AG28" s="148"/>
      <c r="AH28" s="16">
        <v>5</v>
      </c>
      <c r="AI28" s="16">
        <v>0.7</v>
      </c>
      <c r="AJ28" s="24">
        <v>2</v>
      </c>
      <c r="AU28" s="96"/>
      <c r="AV28" s="98"/>
    </row>
    <row r="29" spans="12:48" x14ac:dyDescent="0.35">
      <c r="AE29" s="138"/>
      <c r="AF29" s="139"/>
      <c r="AG29" s="139"/>
      <c r="AH29" s="139"/>
      <c r="AI29" s="139"/>
      <c r="AJ29" s="139"/>
      <c r="AU29" s="71">
        <f>AU4*AM4</f>
        <v>3.3716187384319766E-4</v>
      </c>
      <c r="AV29" s="72"/>
    </row>
    <row r="30" spans="12:48" x14ac:dyDescent="0.35">
      <c r="AE30" s="140"/>
      <c r="AF30" s="140"/>
      <c r="AG30" s="140"/>
      <c r="AH30" s="140"/>
      <c r="AI30" s="140"/>
      <c r="AJ30" s="140"/>
      <c r="AU30" s="71">
        <f>AM5</f>
        <v>2.564102564102564E-2</v>
      </c>
      <c r="AV30" s="72"/>
    </row>
    <row r="31" spans="12:48" x14ac:dyDescent="0.35">
      <c r="AE31" s="140"/>
      <c r="AF31" s="140"/>
      <c r="AG31" s="140"/>
      <c r="AH31" s="140"/>
      <c r="AI31" s="140"/>
      <c r="AJ31" s="140"/>
      <c r="AU31" s="71">
        <f>AM6</f>
        <v>3.8461538461538464E-2</v>
      </c>
      <c r="AV31" s="72"/>
    </row>
    <row r="32" spans="12:48" x14ac:dyDescent="0.35">
      <c r="AU32" s="71">
        <f>AM7</f>
        <v>5.128205128205128E-2</v>
      </c>
      <c r="AV32" s="72"/>
    </row>
    <row r="33" spans="47:48" ht="15" thickBot="1" x14ac:dyDescent="0.4">
      <c r="AU33" s="73">
        <f>AM8</f>
        <v>6.4102564102564097E-2</v>
      </c>
      <c r="AV33" s="74"/>
    </row>
  </sheetData>
  <mergeCells count="57">
    <mergeCell ref="BD8:BI16"/>
    <mergeCell ref="BD2:BI2"/>
    <mergeCell ref="AL13:AV17"/>
    <mergeCell ref="AL9:AV12"/>
    <mergeCell ref="L3:L5"/>
    <mergeCell ref="S11:V14"/>
    <mergeCell ref="S15:V18"/>
    <mergeCell ref="AX2:BB2"/>
    <mergeCell ref="AX5:BB14"/>
    <mergeCell ref="AU20:AV21"/>
    <mergeCell ref="AU27:AV28"/>
    <mergeCell ref="AL2:AP2"/>
    <mergeCell ref="A2:E2"/>
    <mergeCell ref="AE29:AJ31"/>
    <mergeCell ref="AF4:AF8"/>
    <mergeCell ref="AG9:AG13"/>
    <mergeCell ref="AG4:AG8"/>
    <mergeCell ref="AF9:AF13"/>
    <mergeCell ref="AE2:AJ2"/>
    <mergeCell ref="AF14:AF18"/>
    <mergeCell ref="AF19:AF23"/>
    <mergeCell ref="AF24:AF28"/>
    <mergeCell ref="AG24:AG28"/>
    <mergeCell ref="AG19:AG23"/>
    <mergeCell ref="AG14:AG18"/>
    <mergeCell ref="G2:J2"/>
    <mergeCell ref="M3:P3"/>
    <mergeCell ref="Q3:R3"/>
    <mergeCell ref="G6:J6"/>
    <mergeCell ref="S4:S5"/>
    <mergeCell ref="S2:V3"/>
    <mergeCell ref="T4:T5"/>
    <mergeCell ref="U4:U5"/>
    <mergeCell ref="V4:V5"/>
    <mergeCell ref="L2:R2"/>
    <mergeCell ref="R4:R5"/>
    <mergeCell ref="Q4:Q5"/>
    <mergeCell ref="P4:P5"/>
    <mergeCell ref="O4:O5"/>
    <mergeCell ref="N4:N5"/>
    <mergeCell ref="M4:M5"/>
    <mergeCell ref="AE24:AE28"/>
    <mergeCell ref="AE19:AE23"/>
    <mergeCell ref="X4:X5"/>
    <mergeCell ref="Y4:Y5"/>
    <mergeCell ref="X2:Y3"/>
    <mergeCell ref="X7:X12"/>
    <mergeCell ref="Y7:Y12"/>
    <mergeCell ref="AA7:AA12"/>
    <mergeCell ref="AB7:AB12"/>
    <mergeCell ref="AA2:AB3"/>
    <mergeCell ref="AA4:AA5"/>
    <mergeCell ref="AE4:AE8"/>
    <mergeCell ref="AE9:AE13"/>
    <mergeCell ref="AE14:AE18"/>
    <mergeCell ref="AB4:AB5"/>
    <mergeCell ref="AC4:AC5"/>
  </mergeCells>
  <phoneticPr fontId="6" type="noConversion"/>
  <pageMargins left="0.7" right="0.7" top="0.75" bottom="0.75" header="0.3" footer="0.3"/>
  <pageSetup paperSize="9" orientation="portrait" horizontalDpi="300" verticalDpi="300" r:id="rId1"/>
  <ignoredErrors>
    <ignoredError sqref="AQ4:AR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Синюта</dc:creator>
  <cp:lastModifiedBy>Анастасия Синюта</cp:lastModifiedBy>
  <dcterms:created xsi:type="dcterms:W3CDTF">2015-06-05T18:19:34Z</dcterms:created>
  <dcterms:modified xsi:type="dcterms:W3CDTF">2022-04-22T18:56:11Z</dcterms:modified>
</cp:coreProperties>
</file>