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f96f50cf7f041/Рабочий стол/itmo/Физика/1.2 sem/ЛР1.04_гр.2М_N3149_СинютаА.А/"/>
    </mc:Choice>
  </mc:AlternateContent>
  <xr:revisionPtr revIDLastSave="1894" documentId="8_{2F1D41F3-77DF-496A-B818-0B8390D2F4D2}" xr6:coauthVersionLast="47" xr6:coauthVersionMax="47" xr10:uidLastSave="{52F14AA5-452C-4E60-B71A-CB8964541B85}"/>
  <bookViews>
    <workbookView xWindow="-110" yWindow="-110" windowWidth="19420" windowHeight="10300" firstSheet="2" activeTab="5" xr2:uid="{C8186BE0-04F7-40BC-A935-6089FE2A5FD9}"/>
  </bookViews>
  <sheets>
    <sheet name="Данные об установке" sheetId="3" r:id="rId1"/>
    <sheet name="Задания 2-7 (Измерения)" sheetId="1" r:id="rId2"/>
    <sheet name="Задания 8-9" sheetId="4" r:id="rId3"/>
    <sheet name="Задания 10-11 (МНК)" sheetId="6" r:id="rId4"/>
    <sheet name="Задания 12-13" sheetId="7" r:id="rId5"/>
    <sheet name="Задания 14-15 (МНК)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8" l="1"/>
  <c r="W6" i="8" s="1"/>
  <c r="R5" i="8"/>
  <c r="S6" i="8" s="1"/>
  <c r="S4" i="8"/>
  <c r="T4" i="8"/>
  <c r="U4" i="8"/>
  <c r="V4" i="8"/>
  <c r="W4" i="8"/>
  <c r="R4" i="8"/>
  <c r="S3" i="8"/>
  <c r="T3" i="8"/>
  <c r="U3" i="8"/>
  <c r="V3" i="8"/>
  <c r="W3" i="8"/>
  <c r="R3" i="8"/>
  <c r="R2" i="8"/>
  <c r="L4" i="6"/>
  <c r="C17" i="4"/>
  <c r="D17" i="4"/>
  <c r="E17" i="4"/>
  <c r="F17" i="4"/>
  <c r="G17" i="4"/>
  <c r="B17" i="4"/>
  <c r="C13" i="4"/>
  <c r="D13" i="4"/>
  <c r="E13" i="4"/>
  <c r="F13" i="4"/>
  <c r="G13" i="4"/>
  <c r="B13" i="4"/>
  <c r="C9" i="4"/>
  <c r="D9" i="4"/>
  <c r="E9" i="4"/>
  <c r="F9" i="4"/>
  <c r="G9" i="4"/>
  <c r="B9" i="4"/>
  <c r="G5" i="4"/>
  <c r="F5" i="4"/>
  <c r="E5" i="4"/>
  <c r="D5" i="4"/>
  <c r="C5" i="4"/>
  <c r="B5" i="4" l="1"/>
  <c r="C4" i="6" s="1"/>
  <c r="C6" i="8"/>
  <c r="D4" i="7"/>
  <c r="B12" i="7"/>
  <c r="C4" i="7" s="1"/>
  <c r="B4" i="4"/>
  <c r="B3" i="4"/>
  <c r="B4" i="7" l="1"/>
  <c r="B5" i="7" s="1"/>
  <c r="C3" i="8" l="1"/>
  <c r="C4" i="8" s="1"/>
  <c r="B14" i="7"/>
  <c r="B13" i="7"/>
  <c r="D5" i="7"/>
  <c r="E3" i="8" s="1"/>
  <c r="E4" i="8" s="1"/>
  <c r="C13" i="6"/>
  <c r="G10" i="6"/>
  <c r="F7" i="6"/>
  <c r="H13" i="6"/>
  <c r="F13" i="6"/>
  <c r="E13" i="6"/>
  <c r="N4" i="6" s="1"/>
  <c r="D13" i="6"/>
  <c r="H12" i="6"/>
  <c r="G12" i="6"/>
  <c r="F12" i="6"/>
  <c r="E12" i="6"/>
  <c r="D12" i="6"/>
  <c r="C12" i="6"/>
  <c r="H10" i="6"/>
  <c r="F10" i="6"/>
  <c r="E10" i="6"/>
  <c r="D10" i="6"/>
  <c r="C10" i="6"/>
  <c r="H9" i="6"/>
  <c r="G9" i="6"/>
  <c r="F9" i="6"/>
  <c r="E9" i="6"/>
  <c r="N3" i="6"/>
  <c r="D9" i="6"/>
  <c r="C9" i="6"/>
  <c r="H7" i="6"/>
  <c r="E7" i="6"/>
  <c r="D7" i="6"/>
  <c r="C7" i="6"/>
  <c r="H6" i="6"/>
  <c r="G6" i="6"/>
  <c r="F6" i="6"/>
  <c r="E6" i="6"/>
  <c r="D6" i="6"/>
  <c r="C6" i="6"/>
  <c r="H4" i="6"/>
  <c r="G4" i="6"/>
  <c r="F4" i="6"/>
  <c r="E4" i="6"/>
  <c r="D4" i="6"/>
  <c r="H3" i="6"/>
  <c r="Q3" i="6"/>
  <c r="G3" i="6"/>
  <c r="F3" i="6"/>
  <c r="E3" i="6"/>
  <c r="D3" i="6"/>
  <c r="E15" i="4"/>
  <c r="C11" i="4"/>
  <c r="C12" i="4"/>
  <c r="G7" i="4"/>
  <c r="G8" i="4"/>
  <c r="E7" i="4"/>
  <c r="E8" i="4"/>
  <c r="B2" i="4"/>
  <c r="K4" i="4"/>
  <c r="K3" i="1"/>
  <c r="E14" i="4"/>
  <c r="E18" i="1"/>
  <c r="D14" i="4"/>
  <c r="D15" i="4"/>
  <c r="F18" i="1"/>
  <c r="G18" i="1"/>
  <c r="F14" i="4"/>
  <c r="F15" i="4"/>
  <c r="H18" i="1"/>
  <c r="G14" i="4"/>
  <c r="G15" i="4"/>
  <c r="E14" i="1"/>
  <c r="D10" i="4"/>
  <c r="D11" i="4"/>
  <c r="F14" i="1"/>
  <c r="E10" i="4"/>
  <c r="E11" i="4"/>
  <c r="G14" i="1"/>
  <c r="F10" i="4"/>
  <c r="F11" i="4"/>
  <c r="H14" i="1"/>
  <c r="G10" i="4"/>
  <c r="G11" i="4"/>
  <c r="E10" i="1"/>
  <c r="D6" i="4"/>
  <c r="D7" i="4"/>
  <c r="F10" i="1"/>
  <c r="E6" i="4"/>
  <c r="G10" i="1"/>
  <c r="F6" i="4"/>
  <c r="F7" i="4"/>
  <c r="H10" i="1"/>
  <c r="G6" i="4"/>
  <c r="E6" i="1"/>
  <c r="D2" i="4"/>
  <c r="D3" i="4"/>
  <c r="F6" i="1"/>
  <c r="E2" i="4"/>
  <c r="E3" i="4"/>
  <c r="G6" i="1"/>
  <c r="F2" i="4"/>
  <c r="F3" i="4"/>
  <c r="H6" i="1"/>
  <c r="G2" i="4"/>
  <c r="G3" i="4"/>
  <c r="D18" i="1"/>
  <c r="C14" i="4"/>
  <c r="C15" i="4"/>
  <c r="D14" i="1"/>
  <c r="C10" i="4"/>
  <c r="D10" i="1"/>
  <c r="C6" i="4"/>
  <c r="C7" i="4"/>
  <c r="D6" i="1"/>
  <c r="C2" i="4"/>
  <c r="C3" i="4"/>
  <c r="C18" i="1"/>
  <c r="B14" i="4"/>
  <c r="B15" i="4"/>
  <c r="C14" i="1"/>
  <c r="B10" i="4"/>
  <c r="B11" i="4"/>
  <c r="C10" i="1"/>
  <c r="B6" i="4"/>
  <c r="B7" i="4"/>
  <c r="C6" i="1"/>
  <c r="M3" i="6"/>
  <c r="P3" i="6"/>
  <c r="O3" i="6"/>
  <c r="G4" i="7"/>
  <c r="G5" i="7" s="1"/>
  <c r="H3" i="8" s="1"/>
  <c r="H4" i="8" s="1"/>
  <c r="C5" i="7"/>
  <c r="D3" i="8" s="1"/>
  <c r="D4" i="8" s="1"/>
  <c r="F4" i="7"/>
  <c r="F5" i="7" s="1"/>
  <c r="G3" i="8" s="1"/>
  <c r="G4" i="8" s="1"/>
  <c r="E4" i="7"/>
  <c r="E5" i="7" s="1"/>
  <c r="F3" i="8" s="1"/>
  <c r="F4" i="8" s="1"/>
  <c r="G13" i="6"/>
  <c r="G7" i="6"/>
  <c r="B8" i="4"/>
  <c r="C8" i="4"/>
  <c r="F4" i="4"/>
  <c r="F8" i="4"/>
  <c r="F12" i="4"/>
  <c r="F16" i="4"/>
  <c r="B12" i="4"/>
  <c r="E4" i="4"/>
  <c r="E12" i="4"/>
  <c r="K8" i="4"/>
  <c r="K5" i="4"/>
  <c r="B16" i="4"/>
  <c r="C16" i="4"/>
  <c r="D4" i="4"/>
  <c r="D8" i="4"/>
  <c r="D12" i="4"/>
  <c r="D16" i="4"/>
  <c r="K6" i="4"/>
  <c r="K10" i="4" s="1"/>
  <c r="C4" i="4"/>
  <c r="G4" i="4"/>
  <c r="G12" i="4"/>
  <c r="G16" i="4"/>
  <c r="E16" i="4"/>
  <c r="C3" i="6"/>
  <c r="L3" i="6" s="1"/>
  <c r="K9" i="4"/>
  <c r="P4" i="6" l="1"/>
  <c r="Q4" i="6"/>
  <c r="O4" i="6"/>
  <c r="C15" i="8"/>
  <c r="E6" i="8" s="1"/>
  <c r="M4" i="6"/>
  <c r="N5" i="6" l="1"/>
  <c r="D6" i="7" s="1"/>
  <c r="E5" i="8" s="1"/>
  <c r="M5" i="6"/>
  <c r="L5" i="6"/>
  <c r="B6" i="7" s="1"/>
  <c r="C5" i="8" s="1"/>
  <c r="F6" i="8"/>
  <c r="D6" i="8"/>
  <c r="H6" i="8"/>
  <c r="G6" i="8"/>
  <c r="Q5" i="6"/>
  <c r="Q6" i="6" s="1"/>
  <c r="H14" i="6" s="1"/>
  <c r="P5" i="6"/>
  <c r="O5" i="6"/>
  <c r="N6" i="6" l="1"/>
  <c r="E8" i="6" s="1"/>
  <c r="C9" i="8"/>
  <c r="H8" i="6"/>
  <c r="G6" i="7"/>
  <c r="H5" i="8" s="1"/>
  <c r="H5" i="6"/>
  <c r="H11" i="6"/>
  <c r="L6" i="6"/>
  <c r="E14" i="6"/>
  <c r="E11" i="6"/>
  <c r="P6" i="6"/>
  <c r="F6" i="7"/>
  <c r="G5" i="8" s="1"/>
  <c r="M6" i="6"/>
  <c r="C6" i="7"/>
  <c r="D5" i="8" s="1"/>
  <c r="E6" i="7"/>
  <c r="F5" i="8" s="1"/>
  <c r="O6" i="6"/>
  <c r="E5" i="6" l="1"/>
  <c r="C14" i="6"/>
  <c r="C8" i="6"/>
  <c r="C11" i="6"/>
  <c r="C5" i="6"/>
  <c r="C14" i="8"/>
  <c r="D7" i="8" s="1"/>
  <c r="D8" i="8" s="1"/>
  <c r="G11" i="6"/>
  <c r="G8" i="6"/>
  <c r="G14" i="6"/>
  <c r="G5" i="6"/>
  <c r="D11" i="6"/>
  <c r="D14" i="6"/>
  <c r="D5" i="6"/>
  <c r="D8" i="6"/>
  <c r="F5" i="6"/>
  <c r="F14" i="6"/>
  <c r="F8" i="6"/>
  <c r="F11" i="6"/>
  <c r="E7" i="8" l="1"/>
  <c r="E8" i="8" s="1"/>
  <c r="F7" i="8"/>
  <c r="F8" i="8" s="1"/>
  <c r="G7" i="8"/>
  <c r="G8" i="8" s="1"/>
  <c r="H7" i="8"/>
  <c r="H8" i="8" s="1"/>
  <c r="C7" i="8"/>
  <c r="C8" i="8" s="1"/>
  <c r="D9" i="8"/>
  <c r="G9" i="8"/>
  <c r="H9" i="8"/>
  <c r="F9" i="8"/>
  <c r="C16" i="8" l="1"/>
  <c r="C17" i="8" s="1"/>
  <c r="E9" i="8"/>
  <c r="G10" i="8" l="1"/>
  <c r="D10" i="8" l="1"/>
  <c r="E10" i="8"/>
  <c r="C10" i="8"/>
  <c r="F10" i="8"/>
  <c r="H10" i="8"/>
</calcChain>
</file>

<file path=xl/sharedStrings.xml><?xml version="1.0" encoding="utf-8"?>
<sst xmlns="http://schemas.openxmlformats.org/spreadsheetml/2006/main" count="200" uniqueCount="108">
  <si>
    <t>Масса груза, г</t>
  </si>
  <si>
    <t>1.риска</t>
  </si>
  <si>
    <t>2.риска</t>
  </si>
  <si>
    <t>3.риска</t>
  </si>
  <si>
    <t>4.риска</t>
  </si>
  <si>
    <t>5.риска</t>
  </si>
  <si>
    <t>6.риска</t>
  </si>
  <si>
    <t>Положение утяжелителей</t>
  </si>
  <si>
    <r>
      <t>t</t>
    </r>
    <r>
      <rPr>
        <sz val="8"/>
        <color theme="1"/>
        <rFont val="Calibri"/>
        <family val="2"/>
        <charset val="204"/>
        <scheme val="minor"/>
      </rPr>
      <t>1</t>
    </r>
  </si>
  <si>
    <r>
      <t>t</t>
    </r>
    <r>
      <rPr>
        <sz val="8"/>
        <color theme="1"/>
        <rFont val="Calibri"/>
        <family val="2"/>
        <charset val="204"/>
        <scheme val="minor"/>
      </rPr>
      <t>2</t>
    </r>
  </si>
  <si>
    <r>
      <t>t</t>
    </r>
    <r>
      <rPr>
        <sz val="8"/>
        <color theme="1"/>
        <rFont val="Calibri"/>
        <family val="2"/>
        <charset val="204"/>
        <scheme val="minor"/>
      </rPr>
      <t>3</t>
    </r>
  </si>
  <si>
    <r>
      <t>t</t>
    </r>
    <r>
      <rPr>
        <sz val="8"/>
        <color theme="1"/>
        <rFont val="Calibri"/>
        <family val="2"/>
        <charset val="204"/>
        <scheme val="minor"/>
      </rPr>
      <t>ср</t>
    </r>
  </si>
  <si>
    <r>
      <t>m</t>
    </r>
    <r>
      <rPr>
        <sz val="8"/>
        <color theme="1"/>
        <rFont val="Calibri"/>
        <family val="2"/>
        <charset val="204"/>
        <scheme val="minor"/>
      </rPr>
      <t>1</t>
    </r>
  </si>
  <si>
    <r>
      <t>m</t>
    </r>
    <r>
      <rPr>
        <sz val="8"/>
        <color theme="1"/>
        <rFont val="Calibri"/>
        <family val="2"/>
        <charset val="204"/>
        <scheme val="minor"/>
      </rPr>
      <t>2</t>
    </r>
  </si>
  <si>
    <r>
      <t>m</t>
    </r>
    <r>
      <rPr>
        <sz val="8"/>
        <color theme="1"/>
        <rFont val="Calibri"/>
        <family val="2"/>
        <charset val="204"/>
        <scheme val="minor"/>
      </rPr>
      <t>3</t>
    </r>
  </si>
  <si>
    <r>
      <t>m</t>
    </r>
    <r>
      <rPr>
        <sz val="8"/>
        <color theme="1"/>
        <rFont val="Calibri"/>
        <family val="2"/>
        <charset val="204"/>
        <scheme val="minor"/>
      </rPr>
      <t>4</t>
    </r>
  </si>
  <si>
    <t>t</t>
  </si>
  <si>
    <t>a</t>
  </si>
  <si>
    <t>M</t>
  </si>
  <si>
    <t>0,062 ± 0,000</t>
  </si>
  <si>
    <t>2,679 ± 0,029</t>
  </si>
  <si>
    <t>0,060 ± 0,001</t>
  </si>
  <si>
    <t>Ɛ</t>
  </si>
  <si>
    <t>Наименование</t>
  </si>
  <si>
    <t>Значение</t>
  </si>
  <si>
    <t>Погрешность</t>
  </si>
  <si>
    <t>Единицы измерения</t>
  </si>
  <si>
    <t>Масса каретки</t>
  </si>
  <si>
    <t>Масса шайбы</t>
  </si>
  <si>
    <t>Масса грузов на крестовине</t>
  </si>
  <si>
    <t>Расстояние первой риски от оси</t>
  </si>
  <si>
    <t>Расстояние между рисками</t>
  </si>
  <si>
    <t>Диаметр ступницы</t>
  </si>
  <si>
    <t>Диаметр груза на крестовине</t>
  </si>
  <si>
    <t>Высота груза на крестовине</t>
  </si>
  <si>
    <r>
      <t>t</t>
    </r>
    <r>
      <rPr>
        <sz val="8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 xml:space="preserve"> = (t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t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t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)/3</t>
    </r>
  </si>
  <si>
    <t>Δt =</t>
  </si>
  <si>
    <r>
      <t>Формула для t</t>
    </r>
    <r>
      <rPr>
        <sz val="8"/>
        <color theme="1"/>
        <rFont val="Calibri"/>
        <family val="2"/>
        <charset val="204"/>
        <scheme val="minor"/>
      </rPr>
      <t>ср</t>
    </r>
  </si>
  <si>
    <r>
      <t>Вычисление погрешности для t</t>
    </r>
    <r>
      <rPr>
        <sz val="8"/>
        <color theme="1"/>
        <rFont val="Calibri"/>
        <family val="2"/>
        <charset val="204"/>
        <scheme val="minor"/>
      </rPr>
      <t>ср</t>
    </r>
  </si>
  <si>
    <t>Секундомер</t>
  </si>
  <si>
    <t>-</t>
  </si>
  <si>
    <t>с</t>
  </si>
  <si>
    <t>Высота каретки</t>
  </si>
  <si>
    <t>м</t>
  </si>
  <si>
    <t>кг</t>
  </si>
  <si>
    <t>Ускорение свободного падения</t>
  </si>
  <si>
    <t>м/с^2</t>
  </si>
  <si>
    <t>εa</t>
  </si>
  <si>
    <t>Абсолютная погрешность</t>
  </si>
  <si>
    <t>Относительная погрешность</t>
  </si>
  <si>
    <t>Доверительный интервал</t>
  </si>
  <si>
    <t>Вычисления погрешностей для первых значений a, Ɛ, M</t>
  </si>
  <si>
    <t xml:space="preserve">a = </t>
  </si>
  <si>
    <t xml:space="preserve">Ɛ = </t>
  </si>
  <si>
    <t xml:space="preserve">M = </t>
  </si>
  <si>
    <t xml:space="preserve">εM = </t>
  </si>
  <si>
    <t xml:space="preserve">εƐ = </t>
  </si>
  <si>
    <t xml:space="preserve">ΔM = </t>
  </si>
  <si>
    <t xml:space="preserve">ΔƐ = </t>
  </si>
  <si>
    <t xml:space="preserve">Δa = </t>
  </si>
  <si>
    <t>m1</t>
  </si>
  <si>
    <t>m2</t>
  </si>
  <si>
    <t>m3</t>
  </si>
  <si>
    <t>m4</t>
  </si>
  <si>
    <t>x_</t>
  </si>
  <si>
    <t>y_</t>
  </si>
  <si>
    <t>Mтр + IƐ</t>
  </si>
  <si>
    <r>
      <t xml:space="preserve"> </t>
    </r>
    <r>
      <rPr>
        <b/>
        <i/>
        <sz val="11"/>
        <color theme="1"/>
        <rFont val="Aparajita"/>
        <family val="1"/>
      </rPr>
      <t>l</t>
    </r>
    <r>
      <rPr>
        <b/>
        <i/>
        <sz val="8"/>
        <color theme="1"/>
        <rFont val="Aparajita"/>
        <family val="1"/>
      </rPr>
      <t>1</t>
    </r>
  </si>
  <si>
    <r>
      <t xml:space="preserve"> </t>
    </r>
    <r>
      <rPr>
        <b/>
        <i/>
        <sz val="11"/>
        <color theme="1"/>
        <rFont val="Aparajita"/>
        <family val="1"/>
      </rPr>
      <t>n</t>
    </r>
  </si>
  <si>
    <r>
      <t xml:space="preserve"> </t>
    </r>
    <r>
      <rPr>
        <b/>
        <i/>
        <sz val="11"/>
        <color theme="1"/>
        <rFont val="Aparajita"/>
        <family val="1"/>
      </rPr>
      <t>l</t>
    </r>
    <r>
      <rPr>
        <b/>
        <i/>
        <sz val="8"/>
        <color theme="1"/>
        <rFont val="Aparajita"/>
        <family val="1"/>
      </rPr>
      <t>0</t>
    </r>
  </si>
  <si>
    <r>
      <t xml:space="preserve"> </t>
    </r>
    <r>
      <rPr>
        <b/>
        <i/>
        <sz val="11"/>
        <color theme="1"/>
        <rFont val="Aparajita"/>
        <family val="1"/>
      </rPr>
      <t>b</t>
    </r>
  </si>
  <si>
    <r>
      <t xml:space="preserve"> </t>
    </r>
    <r>
      <rPr>
        <b/>
        <i/>
        <sz val="11"/>
        <color theme="1"/>
        <rFont val="Aparajita"/>
        <family val="1"/>
      </rPr>
      <t>R</t>
    </r>
  </si>
  <si>
    <r>
      <t xml:space="preserve"> </t>
    </r>
    <r>
      <rPr>
        <b/>
        <i/>
        <sz val="11"/>
        <color theme="1"/>
        <rFont val="Aparajita"/>
        <family val="1"/>
      </rPr>
      <t>R^2</t>
    </r>
  </si>
  <si>
    <t>I</t>
  </si>
  <si>
    <t>y = a + bx ~</t>
  </si>
  <si>
    <t xml:space="preserve"> M = Mтр + IƐ</t>
  </si>
  <si>
    <t>Mтр</t>
  </si>
  <si>
    <t xml:space="preserve">a ~ </t>
  </si>
  <si>
    <t xml:space="preserve">y ~ </t>
  </si>
  <si>
    <t xml:space="preserve">x ~ </t>
  </si>
  <si>
    <t xml:space="preserve">b ~ </t>
  </si>
  <si>
    <t>b</t>
  </si>
  <si>
    <t>Ɛ_</t>
  </si>
  <si>
    <t>M_</t>
  </si>
  <si>
    <r>
      <t>I</t>
    </r>
    <r>
      <rPr>
        <sz val="8"/>
        <color theme="1"/>
        <rFont val="Calibri"/>
        <family val="2"/>
        <charset val="204"/>
        <scheme val="minor"/>
      </rPr>
      <t>0</t>
    </r>
  </si>
  <si>
    <r>
      <t>m</t>
    </r>
    <r>
      <rPr>
        <sz val="8"/>
        <color theme="1"/>
        <rFont val="Calibri"/>
        <family val="2"/>
        <charset val="204"/>
        <scheme val="minor"/>
      </rPr>
      <t>ут</t>
    </r>
  </si>
  <si>
    <r>
      <t>I = I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+ 4*m</t>
    </r>
    <r>
      <rPr>
        <sz val="8"/>
        <color theme="1"/>
        <rFont val="Calibri"/>
        <family val="2"/>
        <charset val="204"/>
        <scheme val="minor"/>
      </rPr>
      <t>ут</t>
    </r>
    <r>
      <rPr>
        <sz val="11"/>
        <color theme="1"/>
        <rFont val="Calibri"/>
        <family val="2"/>
        <charset val="204"/>
        <scheme val="minor"/>
      </rPr>
      <t>*R^2</t>
    </r>
  </si>
  <si>
    <t>y ~</t>
  </si>
  <si>
    <t>a ~</t>
  </si>
  <si>
    <t>b ~</t>
  </si>
  <si>
    <t>x ~</t>
  </si>
  <si>
    <t>4*R^2</t>
  </si>
  <si>
    <t>I_</t>
  </si>
  <si>
    <t>4*R^2_</t>
  </si>
  <si>
    <r>
      <t>x</t>
    </r>
    <r>
      <rPr>
        <sz val="8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-x_</t>
    </r>
  </si>
  <si>
    <r>
      <t>y</t>
    </r>
    <r>
      <rPr>
        <sz val="8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-y_</t>
    </r>
  </si>
  <si>
    <r>
      <t>(x</t>
    </r>
    <r>
      <rPr>
        <sz val="8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-x_)^2</t>
    </r>
  </si>
  <si>
    <r>
      <t>I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+ 4*m</t>
    </r>
    <r>
      <rPr>
        <sz val="8"/>
        <color theme="1"/>
        <rFont val="Calibri"/>
        <family val="2"/>
        <charset val="204"/>
        <scheme val="minor"/>
      </rPr>
      <t>ут</t>
    </r>
    <r>
      <rPr>
        <sz val="11"/>
        <color theme="1"/>
        <rFont val="Calibri"/>
        <family val="2"/>
        <charset val="204"/>
        <scheme val="minor"/>
      </rPr>
      <t>*R^2</t>
    </r>
  </si>
  <si>
    <r>
      <t>ΔI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</si>
  <si>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r>
      <t>Δm</t>
    </r>
    <r>
      <rPr>
        <sz val="8"/>
        <color theme="1"/>
        <rFont val="Calibri"/>
        <family val="2"/>
        <charset val="204"/>
        <scheme val="minor"/>
      </rPr>
      <t>ут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</si>
  <si>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r>
      <t xml:space="preserve"> 4 * </t>
    </r>
    <r>
      <rPr>
        <b/>
        <i/>
        <sz val="11"/>
        <color theme="1"/>
        <rFont val="Aparajita"/>
        <family val="1"/>
      </rPr>
      <t>R^2</t>
    </r>
  </si>
  <si>
    <r>
      <t>Расчет погрешности для m</t>
    </r>
    <r>
      <rPr>
        <sz val="8"/>
        <color theme="1"/>
        <rFont val="Calibri"/>
        <family val="2"/>
        <charset val="204"/>
        <scheme val="minor"/>
      </rPr>
      <t>ут</t>
    </r>
    <r>
      <rPr>
        <sz val="11"/>
        <color theme="1"/>
        <rFont val="Calibri"/>
        <family val="2"/>
        <charset val="204"/>
        <scheme val="minor"/>
      </rPr>
      <t xml:space="preserve"> и I</t>
    </r>
    <r>
      <rPr>
        <sz val="8"/>
        <color theme="1"/>
        <rFont val="Calibri"/>
        <family val="2"/>
        <charset val="204"/>
        <scheme val="minor"/>
      </rPr>
      <t>0</t>
    </r>
  </si>
  <si>
    <t xml:space="preserve">di = </t>
  </si>
  <si>
    <t xml:space="preserve">D = </t>
  </si>
  <si>
    <t xml:space="preserve">Δb = </t>
  </si>
  <si>
    <t xml:space="preserve">di^2 = </t>
  </si>
  <si>
    <t xml:space="preserve">Sb2 = </t>
  </si>
  <si>
    <t xml:space="preserve">Sa2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</si>
</sst>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00"/>
  </numFmts>
  <fonts count="7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Aparajita"/>
      <family val="1"/>
    </font>
    <font>
      <b/>
      <i/>
      <sz val="8"/>
      <color theme="1"/>
      <name val="Aparajita"/>
      <family val="1"/>
    </font>
  </fonts>
  <fills count="2">
    <fill>
      <patternFill patternType="none"/>
    </fill>
    <fill>
      <patternFill patternType="gray125"/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505050"/>
      </left>
      <right style="thin">
        <color indexed="64"/>
      </right>
      <top style="medium">
        <color rgb="FF505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505050"/>
      </top>
      <bottom style="thin">
        <color indexed="64"/>
      </bottom>
      <diagonal/>
    </border>
    <border>
      <left style="thin">
        <color indexed="64"/>
      </left>
      <right style="medium">
        <color rgb="FF505050"/>
      </right>
      <top style="medium">
        <color rgb="FF505050"/>
      </top>
      <bottom style="thin">
        <color indexed="64"/>
      </bottom>
      <diagonal/>
    </border>
    <border>
      <left style="medium">
        <color rgb="FF505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505050"/>
      </right>
      <top style="thin">
        <color indexed="64"/>
      </top>
      <bottom style="thin">
        <color indexed="64"/>
      </bottom>
      <diagonal/>
    </border>
    <border>
      <left style="medium">
        <color rgb="FF505050"/>
      </left>
      <right style="thin">
        <color indexed="64"/>
      </right>
      <top style="thin">
        <color indexed="64"/>
      </top>
      <bottom style="medium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505050"/>
      </bottom>
      <diagonal/>
    </border>
    <border>
      <left style="thin">
        <color indexed="64"/>
      </left>
      <right style="medium">
        <color rgb="FF505050"/>
      </right>
      <top style="thin">
        <color indexed="64"/>
      </top>
      <bottom style="medium">
        <color rgb="FF50505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5">
    <xf numFmtId="0" fontId="0" fillId="0" borderId="0" xfId="0"/>
    <xf numFmtId="2" fontId="0" fillId="0" borderId="8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23" xfId="0" applyBorder="1"/>
    <xf numFmtId="0" fontId="0" fillId="0" borderId="24" xfId="0" applyBorder="1"/>
    <xf numFmtId="164" fontId="0" fillId="0" borderId="1" xfId="0" applyNumberFormat="1" applyBorder="1" applyAlignment="1">
      <alignment vertical="center"/>
    </xf>
    <xf numFmtId="0" fontId="0" fillId="0" borderId="25" xfId="0" applyBorder="1"/>
    <xf numFmtId="164" fontId="0" fillId="0" borderId="27" xfId="0" applyNumberFormat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3" fillId="0" borderId="29" xfId="0" applyFont="1" applyBorder="1"/>
    <xf numFmtId="0" fontId="0" fillId="0" borderId="30" xfId="0" applyBorder="1" applyAlignment="1">
      <alignment vertical="center"/>
    </xf>
    <xf numFmtId="2" fontId="0" fillId="0" borderId="26" xfId="0" applyNumberFormat="1" applyBorder="1"/>
    <xf numFmtId="2" fontId="0" fillId="0" borderId="11" xfId="0" applyNumberFormat="1" applyBorder="1"/>
    <xf numFmtId="0" fontId="0" fillId="0" borderId="31" xfId="0" applyBorder="1" applyAlignment="1">
      <alignment vertical="center"/>
    </xf>
    <xf numFmtId="2" fontId="0" fillId="0" borderId="32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33" xfId="0" applyNumberFormat="1" applyBorder="1" applyAlignment="1">
      <alignment vertical="center"/>
    </xf>
    <xf numFmtId="2" fontId="0" fillId="0" borderId="12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/>
    <xf numFmtId="166" fontId="0" fillId="0" borderId="1" xfId="0" applyNumberFormat="1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164" fontId="0" fillId="0" borderId="39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0" xfId="0" applyBorder="1" applyAlignment="1"/>
    <xf numFmtId="0" fontId="0" fillId="0" borderId="0" xfId="0" applyBorder="1"/>
    <xf numFmtId="165" fontId="0" fillId="0" borderId="0" xfId="0" applyNumberFormat="1"/>
    <xf numFmtId="0" fontId="0" fillId="0" borderId="14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46" xfId="0" applyBorder="1"/>
    <xf numFmtId="0" fontId="0" fillId="0" borderId="47" xfId="0" applyBorder="1"/>
    <xf numFmtId="164" fontId="0" fillId="0" borderId="0" xfId="0" applyNumberFormat="1" applyBorder="1"/>
    <xf numFmtId="164" fontId="0" fillId="0" borderId="17" xfId="0" applyNumberFormat="1" applyBorder="1"/>
    <xf numFmtId="164" fontId="0" fillId="0" borderId="11" xfId="0" applyNumberFormat="1" applyBorder="1"/>
    <xf numFmtId="164" fontId="0" fillId="0" borderId="6" xfId="0" applyNumberFormat="1" applyBorder="1"/>
    <xf numFmtId="0" fontId="0" fillId="0" borderId="36" xfId="0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12" xfId="0" applyNumberFormat="1" applyBorder="1"/>
    <xf numFmtId="0" fontId="0" fillId="0" borderId="37" xfId="0" applyBorder="1"/>
    <xf numFmtId="0" fontId="0" fillId="0" borderId="35" xfId="0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10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0" fontId="0" fillId="0" borderId="48" xfId="0" applyBorder="1"/>
    <xf numFmtId="0" fontId="0" fillId="0" borderId="7" xfId="0" applyBorder="1" applyAlignment="1"/>
    <xf numFmtId="2" fontId="0" fillId="0" borderId="0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4" xfId="0" applyBorder="1"/>
    <xf numFmtId="1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/>
    <xf numFmtId="0" fontId="0" fillId="0" borderId="27" xfId="0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0" fillId="0" borderId="32" xfId="0" applyBorder="1" applyAlignment="1">
      <alignment horizontal="right"/>
    </xf>
    <xf numFmtId="164" fontId="0" fillId="0" borderId="13" xfId="0" applyNumberFormat="1" applyBorder="1" applyAlignment="1">
      <alignment horizontal="center"/>
    </xf>
    <xf numFmtId="0" fontId="0" fillId="0" borderId="6" xfId="0" applyBorder="1" applyAlignment="1"/>
    <xf numFmtId="164" fontId="0" fillId="0" borderId="18" xfId="0" applyNumberForma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5" xfId="0" applyBorder="1" applyAlignment="1"/>
    <xf numFmtId="0" fontId="3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17" xfId="0" applyBorder="1" applyAlignment="1"/>
    <xf numFmtId="0" fontId="0" fillId="0" borderId="50" xfId="0" applyBorder="1"/>
    <xf numFmtId="0" fontId="0" fillId="0" borderId="51" xfId="0" applyBorder="1"/>
    <xf numFmtId="0" fontId="0" fillId="0" borderId="49" xfId="0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8" xfId="0" applyBorder="1" applyAlignment="1">
      <alignment horizontal="right"/>
    </xf>
    <xf numFmtId="0" fontId="3" fillId="0" borderId="41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38" xfId="0" applyBorder="1" applyAlignment="1"/>
    <xf numFmtId="0" fontId="0" fillId="0" borderId="36" xfId="0" applyBorder="1" applyAlignment="1"/>
    <xf numFmtId="0" fontId="0" fillId="0" borderId="37" xfId="0" applyBorder="1" applyAlignment="1"/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/>
    <xf numFmtId="0" fontId="0" fillId="0" borderId="3" xfId="0" applyBorder="1"/>
    <xf numFmtId="164" fontId="0" fillId="0" borderId="4" xfId="0" applyNumberFormat="1" applyBorder="1" applyAlignment="1"/>
    <xf numFmtId="164" fontId="0" fillId="0" borderId="5" xfId="0" applyNumberFormat="1" applyBorder="1" applyAlignment="1"/>
    <xf numFmtId="164" fontId="0" fillId="0" borderId="6" xfId="0" applyNumberFormat="1" applyBorder="1" applyAlignment="1"/>
    <xf numFmtId="164" fontId="0" fillId="0" borderId="6" xfId="0" applyNumberFormat="1" applyBorder="1" applyAlignment="1">
      <alignment horizontal="center"/>
    </xf>
    <xf numFmtId="0" fontId="0" fillId="0" borderId="6" xfId="0" applyBorder="1"/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0" fontId="0" fillId="0" borderId="0" xfId="1" applyNumberFormat="1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0" fillId="0" borderId="56" xfId="0" applyNumberForma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2" fontId="0" fillId="0" borderId="58" xfId="0" applyNumberFormat="1" applyBorder="1" applyAlignment="1">
      <alignment horizontal="center" vertical="center"/>
    </xf>
    <xf numFmtId="2" fontId="0" fillId="0" borderId="59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6" xfId="0" applyNumberFormat="1" applyBorder="1" applyAlignment="1">
      <alignment horizontal="left" vertical="center"/>
    </xf>
    <xf numFmtId="164" fontId="0" fillId="0" borderId="8" xfId="0" applyNumberFormat="1" applyBorder="1" applyAlignment="1">
      <alignment horizontal="left" vertical="center"/>
    </xf>
    <xf numFmtId="164" fontId="0" fillId="0" borderId="9" xfId="0" applyNumberFormat="1" applyBorder="1" applyAlignment="1">
      <alignment horizontal="left" vertical="center"/>
    </xf>
    <xf numFmtId="10" fontId="0" fillId="0" borderId="1" xfId="1" applyNumberFormat="1" applyFont="1" applyBorder="1" applyAlignment="1">
      <alignment horizontal="left" vertical="center"/>
    </xf>
    <xf numFmtId="10" fontId="0" fillId="0" borderId="6" xfId="1" applyNumberFormat="1" applyFont="1" applyBorder="1" applyAlignment="1">
      <alignment horizontal="left" vertical="center"/>
    </xf>
    <xf numFmtId="10" fontId="0" fillId="0" borderId="8" xfId="1" applyNumberFormat="1" applyFont="1" applyBorder="1" applyAlignment="1">
      <alignment horizontal="left" vertical="center"/>
    </xf>
    <xf numFmtId="10" fontId="0" fillId="0" borderId="9" xfId="1" applyNumberFormat="1" applyFont="1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1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51" xfId="0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32" xfId="0" applyNumberFormat="1" applyBorder="1"/>
    <xf numFmtId="0" fontId="0" fillId="0" borderId="15" xfId="0" applyBorder="1"/>
    <xf numFmtId="0" fontId="0" fillId="0" borderId="16" xfId="0" applyBorder="1"/>
    <xf numFmtId="164" fontId="0" fillId="0" borderId="51" xfId="0" applyNumberFormat="1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50" xfId="0" applyBorder="1" applyAlignment="1">
      <alignment horizontal="left"/>
    </xf>
    <xf numFmtId="0" fontId="0" fillId="0" borderId="49" xfId="0" applyBorder="1" applyAlignment="1">
      <alignment horizontal="right" vertical="center"/>
    </xf>
    <xf numFmtId="0" fontId="0" fillId="0" borderId="51" xfId="0" applyBorder="1" applyAlignment="1">
      <alignment horizontal="center" vertical="center"/>
    </xf>
    <xf numFmtId="0" fontId="0" fillId="0" borderId="50" xfId="0" applyBorder="1" applyAlignment="1">
      <alignment horizontal="left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M(Ɛ)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1.риска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('Задания 8-9'!$B$4,'Задания 8-9'!$B$8,'Задания 8-9'!$B$12,'Задания 8-9'!$B$16)</c:f>
              <c:numCache>
                <c:formatCode>0.000</c:formatCode>
                <c:ptCount val="4"/>
                <c:pt idx="0">
                  <c:v>2.6789871727542751</c:v>
                </c:pt>
                <c:pt idx="1">
                  <c:v>4.7493496783333313</c:v>
                </c:pt>
                <c:pt idx="2">
                  <c:v>7.0421543358544252</c:v>
                </c:pt>
                <c:pt idx="3">
                  <c:v>8.9813297400411116</c:v>
                </c:pt>
              </c:numCache>
            </c:numRef>
          </c:xVal>
          <c:yVal>
            <c:numRef>
              <c:f>('Задания 8-9'!$B$5,'Задания 8-9'!$B$9,'Задания 8-9'!$B$13,'Задания 8-9'!$B$17)</c:f>
              <c:numCache>
                <c:formatCode>0.000</c:formatCode>
                <c:ptCount val="4"/>
                <c:pt idx="0">
                  <c:v>5.9803411814758678E-2</c:v>
                </c:pt>
                <c:pt idx="1">
                  <c:v>0.10854625828781873</c:v>
                </c:pt>
                <c:pt idx="2">
                  <c:v>0.15672401315192744</c:v>
                </c:pt>
                <c:pt idx="3">
                  <c:v>0.20454150857808942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87-42E1-B07E-A9DF9C227264}"/>
            </c:ext>
          </c:extLst>
        </c:ser>
        <c:ser>
          <c:idx val="1"/>
          <c:order val="1"/>
          <c:tx>
            <c:v>2.риска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('Задания 8-9'!$C$4,'Задания 8-9'!$C$8,'Задания 8-9'!$C$12,'Задания 8-9'!$C$16)</c:f>
              <c:numCache>
                <c:formatCode>0.000</c:formatCode>
                <c:ptCount val="4"/>
                <c:pt idx="0">
                  <c:v>1.9203633546937178</c:v>
                </c:pt>
                <c:pt idx="1">
                  <c:v>3.0969873195574746</c:v>
                </c:pt>
                <c:pt idx="2">
                  <c:v>4.7759939440396781</c:v>
                </c:pt>
                <c:pt idx="3">
                  <c:v>6.1999330800873889</c:v>
                </c:pt>
              </c:numCache>
            </c:numRef>
          </c:xVal>
          <c:yVal>
            <c:numRef>
              <c:f>('Задания 8-9'!$C$5,'Задания 8-9'!$C$9,'Задания 8-9'!$C$13,'Задания 8-9'!$C$17)</c:f>
              <c:numCache>
                <c:formatCode>0.000</c:formatCode>
                <c:ptCount val="4"/>
                <c:pt idx="0">
                  <c:v>5.9910562118693007E-2</c:v>
                </c:pt>
                <c:pt idx="1">
                  <c:v>0.10897194483577365</c:v>
                </c:pt>
                <c:pt idx="2">
                  <c:v>0.15757156393694735</c:v>
                </c:pt>
                <c:pt idx="3">
                  <c:v>0.20590545821638753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87-42E1-B07E-A9DF9C227264}"/>
            </c:ext>
          </c:extLst>
        </c:ser>
        <c:ser>
          <c:idx val="2"/>
          <c:order val="2"/>
          <c:tx>
            <c:v>3.риска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('Задания 8-9'!$D$4,'Задания 8-9'!$D$8,'Задания 8-9'!$D$12,'Задания 8-9'!$D$16)</c:f>
              <c:numCache>
                <c:formatCode>0.000</c:formatCode>
                <c:ptCount val="4"/>
                <c:pt idx="0">
                  <c:v>1.4318746757826626</c:v>
                </c:pt>
                <c:pt idx="1">
                  <c:v>2.4909235982925479</c:v>
                </c:pt>
                <c:pt idx="2">
                  <c:v>4.2153438516198971</c:v>
                </c:pt>
                <c:pt idx="3">
                  <c:v>4.9126392382321242</c:v>
                </c:pt>
              </c:numCache>
            </c:numRef>
          </c:xVal>
          <c:yVal>
            <c:numRef>
              <c:f>('Задания 8-9'!$D$5,'Задания 8-9'!$D$9,'Задания 8-9'!$D$13,'Задания 8-9'!$D$17)</c:f>
              <c:numCache>
                <c:formatCode>0.000</c:formatCode>
                <c:ptCount val="4"/>
                <c:pt idx="0">
                  <c:v>5.9979557725168442E-2</c:v>
                </c:pt>
                <c:pt idx="1">
                  <c:v>0.10912808078983709</c:v>
                </c:pt>
                <c:pt idx="2">
                  <c:v>0.15778124875346264</c:v>
                </c:pt>
                <c:pt idx="3">
                  <c:v>0.20653672523243805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7-42E1-B07E-A9DF9C227264}"/>
            </c:ext>
          </c:extLst>
        </c:ser>
        <c:ser>
          <c:idx val="0"/>
          <c:order val="3"/>
          <c:tx>
            <c:v>4.риска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('Задания 8-9'!$E$4,'Задания 8-9'!$E$8,'Задания 8-9'!$E$12,'Задания 8-9'!$E$16)</c:f>
              <c:numCache>
                <c:formatCode>0.000</c:formatCode>
                <c:ptCount val="4"/>
                <c:pt idx="0">
                  <c:v>1.0612704087353269</c:v>
                </c:pt>
                <c:pt idx="1">
                  <c:v>2.0568489544155253</c:v>
                </c:pt>
                <c:pt idx="2">
                  <c:v>2.4909235982925479</c:v>
                </c:pt>
                <c:pt idx="3">
                  <c:v>3.2818420990120298</c:v>
                </c:pt>
              </c:numCache>
            </c:numRef>
          </c:xVal>
          <c:yVal>
            <c:numRef>
              <c:f>('Задания 8-9'!$E$5,'Задания 8-9'!$E$9,'Задания 8-9'!$E$13,'Задания 8-9'!$E$17)</c:f>
              <c:numCache>
                <c:formatCode>0.000</c:formatCode>
                <c:ptCount val="4"/>
                <c:pt idx="0">
                  <c:v>6.0031902983659007E-2</c:v>
                </c:pt>
                <c:pt idx="1">
                  <c:v>0.1092399084018166</c:v>
                </c:pt>
                <c:pt idx="2">
                  <c:v>0.15842618710146783</c:v>
                </c:pt>
                <c:pt idx="3">
                  <c:v>0.20733644042596019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E8-4DF0-8768-FB107E86B80D}"/>
            </c:ext>
          </c:extLst>
        </c:ser>
        <c:ser>
          <c:idx val="4"/>
          <c:order val="4"/>
          <c:tx>
            <c:v>5.риска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('Задания 8-9'!$F$4,'Задания 8-9'!$F$8,'Задания 8-9'!$F$12,'Задания 8-9'!$F$16)</c:f>
              <c:numCache>
                <c:formatCode>0.000</c:formatCode>
                <c:ptCount val="4"/>
                <c:pt idx="0">
                  <c:v>0.84050650603066435</c:v>
                </c:pt>
                <c:pt idx="1">
                  <c:v>1.6198665993573524</c:v>
                </c:pt>
                <c:pt idx="2">
                  <c:v>2.2000305489956222</c:v>
                </c:pt>
                <c:pt idx="3">
                  <c:v>2.8070483737086773</c:v>
                </c:pt>
              </c:numCache>
            </c:numRef>
          </c:xVal>
          <c:yVal>
            <c:numRef>
              <c:f>('Задания 8-9'!$F$5,'Задания 8-9'!$F$9,'Задания 8-9'!$F$13,'Задания 8-9'!$F$17)</c:f>
              <c:numCache>
                <c:formatCode>0.000</c:formatCode>
                <c:ptCount val="4"/>
                <c:pt idx="0">
                  <c:v>6.0063084339568723E-2</c:v>
                </c:pt>
                <c:pt idx="1">
                  <c:v>0.10935248510707377</c:v>
                </c:pt>
                <c:pt idx="2">
                  <c:v>0.15853498197458402</c:v>
                </c:pt>
                <c:pt idx="3">
                  <c:v>0.20756927119735563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87-42E1-B07E-A9DF9C227264}"/>
            </c:ext>
          </c:extLst>
        </c:ser>
        <c:ser>
          <c:idx val="5"/>
          <c:order val="5"/>
          <c:tx>
            <c:v>6.риска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('Задания 8-9'!$G$4,'Задания 8-9'!$G$8,'Задания 8-9'!$G$12,'Задания 8-9'!$G$16)</c:f>
              <c:numCache>
                <c:formatCode>0.000</c:formatCode>
                <c:ptCount val="4"/>
                <c:pt idx="0">
                  <c:v>0.67921306159060924</c:v>
                </c:pt>
                <c:pt idx="1">
                  <c:v>1.2922008306123363</c:v>
                </c:pt>
                <c:pt idx="2">
                  <c:v>1.7929156268704658</c:v>
                </c:pt>
                <c:pt idx="3">
                  <c:v>2.393122075987058</c:v>
                </c:pt>
              </c:numCache>
            </c:numRef>
          </c:xVal>
          <c:yVal>
            <c:numRef>
              <c:f>('Задания 8-9'!$G$5,'Задания 8-9'!$G$9,'Задания 8-9'!$G$13,'Задания 8-9'!$G$17)</c:f>
              <c:numCache>
                <c:formatCode>0.000</c:formatCode>
                <c:ptCount val="4"/>
                <c:pt idx="0">
                  <c:v>6.008586590954177E-2</c:v>
                </c:pt>
                <c:pt idx="1">
                  <c:v>0.10943689934541517</c:v>
                </c:pt>
                <c:pt idx="2">
                  <c:v>0.15868724417680358</c:v>
                </c:pt>
                <c:pt idx="3">
                  <c:v>0.20777225361701124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87-42E1-B07E-A9DF9C227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629695"/>
        <c:axId val="2023630943"/>
      </c:scatterChart>
      <c:valAx>
        <c:axId val="20236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Ɛ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3630943"/>
        <c:crosses val="autoZero"/>
        <c:crossBetween val="midCat"/>
      </c:valAx>
      <c:valAx>
        <c:axId val="20236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362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 = M</a:t>
            </a:r>
            <a:r>
              <a:rPr lang="ru-RU"/>
              <a:t>тр + </a:t>
            </a:r>
            <a:r>
              <a:rPr lang="en-US"/>
              <a:t>IƐ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1.риска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('Задания 10-11 (МНК)'!$C$5,'Задания 10-11 (МНК)'!$C$8,'Задания 10-11 (МНК)'!$C$11,'Задания 10-11 (МНК)'!$C$14)</c:f>
              <c:numCache>
                <c:formatCode>General</c:formatCode>
                <c:ptCount val="4"/>
                <c:pt idx="0">
                  <c:v>6.0017972131776801E-2</c:v>
                </c:pt>
                <c:pt idx="1">
                  <c:v>0.1070865660842439</c:v>
                </c:pt>
                <c:pt idx="2">
                  <c:v>0.15921226443241893</c:v>
                </c:pt>
                <c:pt idx="3">
                  <c:v>0.20329838918415463</c:v>
                </c:pt>
              </c:numCache>
            </c:numRef>
          </c:xVal>
          <c:yVal>
            <c:numRef>
              <c:f>('Задания 10-11 (МНК)'!$C$5,'Задания 10-11 (МНК)'!$C$8,'Задания 10-11 (МНК)'!$C$11,'Задания 10-11 (МНК)'!$C$14)</c:f>
              <c:numCache>
                <c:formatCode>General</c:formatCode>
                <c:ptCount val="4"/>
                <c:pt idx="0">
                  <c:v>6.0017972131776801E-2</c:v>
                </c:pt>
                <c:pt idx="1">
                  <c:v>0.1070865660842439</c:v>
                </c:pt>
                <c:pt idx="2">
                  <c:v>0.15921226443241893</c:v>
                </c:pt>
                <c:pt idx="3">
                  <c:v>0.20329838918415463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B-4F14-9D5D-91CB229DC80C}"/>
            </c:ext>
          </c:extLst>
        </c:ser>
        <c:ser>
          <c:idx val="1"/>
          <c:order val="1"/>
          <c:tx>
            <c:v>2.риска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('Задания 10-11 (МНК)'!$D$5,'Задания 10-11 (МНК)'!$D$8,'Задания 10-11 (МНК)'!$D$11,'Задания 10-11 (МНК)'!$D$14)</c:f>
              <c:numCache>
                <c:formatCode>General</c:formatCode>
                <c:ptCount val="4"/>
                <c:pt idx="0">
                  <c:v>0.10355897509861353</c:v>
                </c:pt>
                <c:pt idx="1">
                  <c:v>0.1202805861054604</c:v>
                </c:pt>
                <c:pt idx="2">
                  <c:v>0.1441418166182703</c:v>
                </c:pt>
                <c:pt idx="3">
                  <c:v>0.16437815128545724</c:v>
                </c:pt>
              </c:numCache>
            </c:numRef>
          </c:xVal>
          <c:yVal>
            <c:numRef>
              <c:f>('Задания 10-11 (МНК)'!$D$4,'Задания 10-11 (МНК)'!$D$7,'Задания 10-11 (МНК)'!$D$10,'Задания 10-11 (МНК)'!$D$13)</c:f>
              <c:numCache>
                <c:formatCode>0.000</c:formatCode>
                <c:ptCount val="4"/>
                <c:pt idx="0">
                  <c:v>5.9910562118693007E-2</c:v>
                </c:pt>
                <c:pt idx="1">
                  <c:v>0.10897194483577365</c:v>
                </c:pt>
                <c:pt idx="2">
                  <c:v>0.15757156393694735</c:v>
                </c:pt>
                <c:pt idx="3">
                  <c:v>0.20590545821638753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3-4D50-865C-F6E11B20F558}"/>
            </c:ext>
          </c:extLst>
        </c:ser>
        <c:ser>
          <c:idx val="2"/>
          <c:order val="2"/>
          <c:tx>
            <c:v>3.риска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('Задания 10-11 (МНК)'!$E$5,'Задания 10-11 (МНК)'!$E$8,'Задания 10-11 (МНК)'!$E$11,'Задания 10-11 (МНК)'!$E$14)</c:f>
              <c:numCache>
                <c:formatCode>General</c:formatCode>
                <c:ptCount val="4"/>
                <c:pt idx="0">
                  <c:v>0.11817259475361062</c:v>
                </c:pt>
                <c:pt idx="1">
                  <c:v>0.12695575751838492</c:v>
                </c:pt>
                <c:pt idx="2">
                  <c:v>0.14125714004937565</c:v>
                </c:pt>
                <c:pt idx="3">
                  <c:v>0.14704012017953508</c:v>
                </c:pt>
              </c:numCache>
            </c:numRef>
          </c:xVal>
          <c:yVal>
            <c:numRef>
              <c:f>('Задания 10-11 (МНК)'!$E$4,'Задания 10-11 (МНК)'!$E$7,'Задания 10-11 (МНК)'!$E$10,'Задания 10-11 (МНК)'!$E$13)</c:f>
              <c:numCache>
                <c:formatCode>0.000</c:formatCode>
                <c:ptCount val="4"/>
                <c:pt idx="0">
                  <c:v>5.9979557725168442E-2</c:v>
                </c:pt>
                <c:pt idx="1">
                  <c:v>0.10912808078983709</c:v>
                </c:pt>
                <c:pt idx="2">
                  <c:v>0.15778124875346264</c:v>
                </c:pt>
                <c:pt idx="3">
                  <c:v>0.20653672523243805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53-4D50-865C-F6E11B20F558}"/>
            </c:ext>
          </c:extLst>
        </c:ser>
        <c:ser>
          <c:idx val="3"/>
          <c:order val="3"/>
          <c:tx>
            <c:v>4.риска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('Задания 10-11 (МНК)'!$F$5,'Задания 10-11 (МНК)'!$F$8,'Задания 10-11 (МНК)'!$F$11,'Задания 10-11 (МНК)'!$F$14)</c:f>
              <c:numCache>
                <c:formatCode>General</c:formatCode>
                <c:ptCount val="4"/>
                <c:pt idx="0">
                  <c:v>0.13052948805030606</c:v>
                </c:pt>
                <c:pt idx="1">
                  <c:v>0.13329744353139455</c:v>
                </c:pt>
                <c:pt idx="2">
                  <c:v>0.13450427878807442</c:v>
                </c:pt>
                <c:pt idx="3">
                  <c:v>0.13670322854312869</c:v>
                </c:pt>
              </c:numCache>
            </c:numRef>
          </c:xVal>
          <c:yVal>
            <c:numRef>
              <c:f>('Задания 10-11 (МНК)'!$F$4,'Задания 10-11 (МНК)'!$F$7,'Задания 10-11 (МНК)'!$F$10,'Задания 10-11 (МНК)'!$F$13)</c:f>
              <c:numCache>
                <c:formatCode>0.000</c:formatCode>
                <c:ptCount val="4"/>
                <c:pt idx="0">
                  <c:v>6.0031902983659007E-2</c:v>
                </c:pt>
                <c:pt idx="1">
                  <c:v>0.1092399084018166</c:v>
                </c:pt>
                <c:pt idx="2">
                  <c:v>0.15842618710146783</c:v>
                </c:pt>
                <c:pt idx="3">
                  <c:v>0.20733644042596019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53-4D50-865C-F6E11B20F558}"/>
            </c:ext>
          </c:extLst>
        </c:ser>
        <c:ser>
          <c:idx val="4"/>
          <c:order val="4"/>
          <c:tx>
            <c:v>5.риска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('Задания 10-11 (МНК)'!$G$5,'Задания 10-11 (МНК)'!$G$8,'Задания 10-11 (МНК)'!$G$11,'Задания 10-11 (МНК)'!$G$14)</c:f>
              <c:numCache>
                <c:formatCode>General</c:formatCode>
                <c:ptCount val="4"/>
                <c:pt idx="0">
                  <c:v>0.13176887748709504</c:v>
                </c:pt>
                <c:pt idx="1">
                  <c:v>0.13337191705092225</c:v>
                </c:pt>
                <c:pt idx="2">
                  <c:v>0.1345652367663398</c:v>
                </c:pt>
                <c:pt idx="3">
                  <c:v>0.13581379131422511</c:v>
                </c:pt>
              </c:numCache>
            </c:numRef>
          </c:xVal>
          <c:yVal>
            <c:numRef>
              <c:f>('Задания 10-11 (МНК)'!$G$4,'Задания 10-11 (МНК)'!$G$7,'Задания 10-11 (МНК)'!$G$10,'Задания 10-11 (МНК)'!$G$13)</c:f>
              <c:numCache>
                <c:formatCode>0.000</c:formatCode>
                <c:ptCount val="4"/>
                <c:pt idx="0">
                  <c:v>6.0063084339568723E-2</c:v>
                </c:pt>
                <c:pt idx="1">
                  <c:v>0.10935248510707377</c:v>
                </c:pt>
                <c:pt idx="2">
                  <c:v>0.15853498197458402</c:v>
                </c:pt>
                <c:pt idx="3">
                  <c:v>0.20756927119735563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53-4D50-865C-F6E11B20F558}"/>
            </c:ext>
          </c:extLst>
        </c:ser>
        <c:ser>
          <c:idx val="5"/>
          <c:order val="5"/>
          <c:tx>
            <c:v>6.риска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('Задания 10-11 (МНК)'!$H$5,'Задания 10-11 (МНК)'!$H$8,'Задания 10-11 (МНК)'!$H$11,'Задания 10-11 (МНК)'!$H$14)</c:f>
              <c:numCache>
                <c:formatCode>General</c:formatCode>
                <c:ptCount val="4"/>
                <c:pt idx="0">
                  <c:v>0.13274125924126526</c:v>
                </c:pt>
                <c:pt idx="1">
                  <c:v>0.13363514368174662</c:v>
                </c:pt>
                <c:pt idx="2">
                  <c:v>0.13436530697066221</c:v>
                </c:pt>
                <c:pt idx="3">
                  <c:v>0.13524055315509767</c:v>
                </c:pt>
              </c:numCache>
            </c:numRef>
          </c:xVal>
          <c:yVal>
            <c:numRef>
              <c:f>('Задания 10-11 (МНК)'!$H$4,'Задания 10-11 (МНК)'!$H$7,'Задания 10-11 (МНК)'!$H$10,'Задания 10-11 (МНК)'!$H$13)</c:f>
              <c:numCache>
                <c:formatCode>0.000</c:formatCode>
                <c:ptCount val="4"/>
                <c:pt idx="0">
                  <c:v>6.008586590954177E-2</c:v>
                </c:pt>
                <c:pt idx="1">
                  <c:v>0.10943689934541517</c:v>
                </c:pt>
                <c:pt idx="2">
                  <c:v>0.15868724417680358</c:v>
                </c:pt>
                <c:pt idx="3">
                  <c:v>0.20777225361701124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53-4D50-865C-F6E11B20F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58560"/>
        <c:axId val="559557728"/>
      </c:scatterChart>
      <c:valAx>
        <c:axId val="559558560"/>
        <c:scaling>
          <c:orientation val="minMax"/>
          <c:max val="0.21000000000000002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557728"/>
        <c:crosses val="autoZero"/>
        <c:crossBetween val="midCat"/>
      </c:valAx>
      <c:valAx>
        <c:axId val="5595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55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I(R^2 )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'Задания 12-13'!$B$5:$G$5</c:f>
              <c:numCache>
                <c:formatCode>0.000</c:formatCode>
                <c:ptCount val="6"/>
                <c:pt idx="0">
                  <c:v>5.9290000000000002E-3</c:v>
                </c:pt>
                <c:pt idx="1">
                  <c:v>1.0404000000000002E-2</c:v>
                </c:pt>
                <c:pt idx="2">
                  <c:v>1.6129000000000001E-2</c:v>
                </c:pt>
                <c:pt idx="3">
                  <c:v>2.3104E-2</c:v>
                </c:pt>
                <c:pt idx="4">
                  <c:v>3.1328999999999996E-2</c:v>
                </c:pt>
                <c:pt idx="5">
                  <c:v>4.0803999999999993E-2</c:v>
                </c:pt>
              </c:numCache>
            </c:numRef>
          </c:xVal>
          <c:yVal>
            <c:numRef>
              <c:f>'Задания 12-13'!$B$6:$G$6</c:f>
              <c:numCache>
                <c:formatCode>0.000</c:formatCode>
                <c:ptCount val="6"/>
                <c:pt idx="0">
                  <c:v>2.2734469845560962E-2</c:v>
                </c:pt>
                <c:pt idx="1">
                  <c:v>1.4211516598493804E-2</c:v>
                </c:pt>
                <c:pt idx="2">
                  <c:v>8.2934438420075082E-3</c:v>
                </c:pt>
                <c:pt idx="3">
                  <c:v>2.780248221597986E-3</c:v>
                </c:pt>
                <c:pt idx="4">
                  <c:v>2.0568663671046536E-3</c:v>
                </c:pt>
                <c:pt idx="5">
                  <c:v>1.4582418861438455E-3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1-4F97-BA85-D912C75C8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447648"/>
        <c:axId val="1424717728"/>
      </c:scatterChart>
      <c:valAx>
        <c:axId val="13484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717728"/>
        <c:crosses val="autoZero"/>
        <c:crossBetween val="midCat"/>
      </c:valAx>
      <c:valAx>
        <c:axId val="14247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84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= I0 + 4*m</a:t>
            </a:r>
            <a:r>
              <a:rPr lang="ru-RU"/>
              <a:t>ут*</a:t>
            </a:r>
            <a:r>
              <a:rPr lang="en-US"/>
              <a:t>R^2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'Задания 14-15 (МНК)'!$C$10:$H$10</c:f>
              <c:numCache>
                <c:formatCode>0.000</c:formatCode>
                <c:ptCount val="6"/>
                <c:pt idx="0">
                  <c:v>-1.9250018885691922E-4</c:v>
                </c:pt>
                <c:pt idx="1">
                  <c:v>2.366922343852715E-3</c:v>
                </c:pt>
                <c:pt idx="2">
                  <c:v>5.6412673717326361E-3</c:v>
                </c:pt>
                <c:pt idx="3">
                  <c:v>9.6305348947828447E-3</c:v>
                </c:pt>
                <c:pt idx="4">
                  <c:v>1.4334724913003343E-2</c:v>
                </c:pt>
                <c:pt idx="5">
                  <c:v>1.9753837426394128E-2</c:v>
                </c:pt>
              </c:numCache>
            </c:numRef>
          </c:xVal>
          <c:yVal>
            <c:numRef>
              <c:f>'Задания 14-15 (МНК)'!$C$5:$H$5</c:f>
              <c:numCache>
                <c:formatCode>0.000</c:formatCode>
                <c:ptCount val="6"/>
                <c:pt idx="0">
                  <c:v>2.2734469845560962E-2</c:v>
                </c:pt>
                <c:pt idx="1">
                  <c:v>1.4211516598493804E-2</c:v>
                </c:pt>
                <c:pt idx="2">
                  <c:v>8.2934438420075082E-3</c:v>
                </c:pt>
                <c:pt idx="3">
                  <c:v>2.780248221597986E-3</c:v>
                </c:pt>
                <c:pt idx="4">
                  <c:v>2.0568663671046536E-3</c:v>
                </c:pt>
                <c:pt idx="5">
                  <c:v>1.4582418861438455E-3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C-47FF-8AC0-D27679315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086144"/>
        <c:axId val="1546080320"/>
      </c:scatterChart>
      <c:valAx>
        <c:axId val="15460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080320"/>
        <c:crosses val="autoZero"/>
        <c:crossBetween val="midCat"/>
      </c:valAx>
      <c:valAx>
        <c:axId val="15460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08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chart" Target="../charts/chart2.xml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6.png"/><Relationship Id="rId7" Type="http://schemas.openxmlformats.org/officeDocument/2006/relationships/image" Target="../media/image12.png"/><Relationship Id="rId2" Type="http://schemas.openxmlformats.org/officeDocument/2006/relationships/image" Target="../media/image5.png"/><Relationship Id="rId1" Type="http://schemas.openxmlformats.org/officeDocument/2006/relationships/image" Target="../media/image10.png"/><Relationship Id="rId6" Type="http://schemas.openxmlformats.org/officeDocument/2006/relationships/image" Target="../media/image11.png"/><Relationship Id="rId5" Type="http://schemas.openxmlformats.org/officeDocument/2006/relationships/chart" Target="../charts/chart4.xml"/><Relationship Id="rId4" Type="http://schemas.openxmlformats.org/officeDocument/2006/relationships/image" Target="../media/image7.png"/><Relationship Id="rId9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234950</xdr:colOff>
      <xdr:row>17</xdr:row>
      <xdr:rowOff>88900</xdr:rowOff>
    </xdr:from>
    <xdr:ext cx="755689" cy="406400"/>
    <xdr:pic>
      <xdr:nvPicPr>
        <xdr:cNvPr id="2" name="Рисунок 1">
          <a:extLst>
            <a:ext uri="{FF2B5EF4-FFF2-40B4-BE49-F238E27FC236}">
              <a16:creationId xmlns:a16="http://schemas.microsoft.com/office/drawing/2014/main" id="{9446C2F6-5BCE-45D0-A2A5-C6DD82CF52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941" b="11769"/>
        <a:stretch/>
      </xdr:blipFill>
      <xdr:spPr>
        <a:xfrm>
          <a:off x="6616700" y="3625850"/>
          <a:ext cx="755689" cy="406400"/>
        </a:xfrm>
        <a:prstGeom prst="rect">
          <a:avLst/>
        </a:prstGeom>
      </xdr:spPr>
    </xdr:pic>
    <xdr:clientData/>
  </xdr:oneCellAnchor>
  <xdr:oneCellAnchor>
    <xdr:from>
      <xdr:col>2</xdr:col>
      <xdr:colOff>361950</xdr:colOff>
      <xdr:row>17</xdr:row>
      <xdr:rowOff>44450</xdr:rowOff>
    </xdr:from>
    <xdr:ext cx="1409772" cy="508026"/>
    <xdr:pic>
      <xdr:nvPicPr>
        <xdr:cNvPr id="3" name="Рисунок 2">
          <a:extLst>
            <a:ext uri="{FF2B5EF4-FFF2-40B4-BE49-F238E27FC236}">
              <a16:creationId xmlns:a16="http://schemas.microsoft.com/office/drawing/2014/main" id="{F85B33C8-57CA-415E-9975-044B1B9E3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53300" y="3581400"/>
          <a:ext cx="1409772" cy="508026"/>
        </a:xfrm>
        <a:prstGeom prst="rect">
          <a:avLst/>
        </a:prstGeom>
      </xdr:spPr>
    </xdr:pic>
    <xdr:clientData/>
  </xdr:oneCellAnchor>
  <xdr:oneCellAnchor>
    <xdr:from>
      <xdr:col>0</xdr:col>
      <xdr:colOff>127000</xdr:colOff>
      <xdr:row>17</xdr:row>
      <xdr:rowOff>95250</xdr:rowOff>
    </xdr:from>
    <xdr:ext cx="673135" cy="438173"/>
    <xdr:pic>
      <xdr:nvPicPr>
        <xdr:cNvPr id="4" name="Рисунок 3">
          <a:extLst>
            <a:ext uri="{FF2B5EF4-FFF2-40B4-BE49-F238E27FC236}">
              <a16:creationId xmlns:a16="http://schemas.microsoft.com/office/drawing/2014/main" id="{2912F7D8-2215-4CF0-A28A-44F9BCED7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99150" y="3632200"/>
          <a:ext cx="673135" cy="438173"/>
        </a:xfrm>
        <a:prstGeom prst="rect">
          <a:avLst/>
        </a:prstGeom>
      </xdr:spPr>
    </xdr:pic>
    <xdr:clientData/>
  </xdr:oneCellAnchor>
  <xdr:twoCellAnchor>
    <xdr:from>
      <xdr:col>12</xdr:col>
      <xdr:colOff>208643</xdr:colOff>
      <xdr:row>0</xdr:row>
      <xdr:rowOff>157943</xdr:rowOff>
    </xdr:from>
    <xdr:to>
      <xdr:col>21</xdr:col>
      <xdr:colOff>395941</xdr:colOff>
      <xdr:row>17</xdr:row>
      <xdr:rowOff>171823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9E0D306C-71B2-483D-AB44-47E7572A6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14</xdr:row>
      <xdr:rowOff>91621</xdr:rowOff>
    </xdr:from>
    <xdr:ext cx="1022403" cy="228612"/>
    <xdr:pic>
      <xdr:nvPicPr>
        <xdr:cNvPr id="2" name="Рисунок 1">
          <a:extLst>
            <a:ext uri="{FF2B5EF4-FFF2-40B4-BE49-F238E27FC236}">
              <a16:creationId xmlns:a16="http://schemas.microsoft.com/office/drawing/2014/main" id="{A5B52A6F-9D9A-4A9D-89C0-34E64891F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236" y="2704192"/>
          <a:ext cx="1022403" cy="228612"/>
        </a:xfrm>
        <a:prstGeom prst="rect">
          <a:avLst/>
        </a:prstGeom>
      </xdr:spPr>
    </xdr:pic>
    <xdr:clientData/>
  </xdr:oneCellAnchor>
  <xdr:twoCellAnchor editAs="oneCell">
    <xdr:from>
      <xdr:col>12</xdr:col>
      <xdr:colOff>209175</xdr:colOff>
      <xdr:row>6</xdr:row>
      <xdr:rowOff>109818</xdr:rowOff>
    </xdr:from>
    <xdr:to>
      <xdr:col>13</xdr:col>
      <xdr:colOff>533073</xdr:colOff>
      <xdr:row>9</xdr:row>
      <xdr:rowOff>78095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B2C234B-AEDF-487E-8E5A-AEFF4CD21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19999" y="1260289"/>
          <a:ext cx="936486" cy="536041"/>
        </a:xfrm>
        <a:prstGeom prst="rect">
          <a:avLst/>
        </a:prstGeom>
      </xdr:spPr>
    </xdr:pic>
    <xdr:clientData/>
  </xdr:twoCellAnchor>
  <xdr:twoCellAnchor editAs="oneCell">
    <xdr:from>
      <xdr:col>9</xdr:col>
      <xdr:colOff>321236</xdr:colOff>
      <xdr:row>6</xdr:row>
      <xdr:rowOff>110191</xdr:rowOff>
    </xdr:from>
    <xdr:to>
      <xdr:col>11</xdr:col>
      <xdr:colOff>102024</xdr:colOff>
      <xdr:row>9</xdr:row>
      <xdr:rowOff>34016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7D6983D-FED2-46BD-A4BF-9C304FF92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94295" y="1260662"/>
          <a:ext cx="974588" cy="491589"/>
        </a:xfrm>
        <a:prstGeom prst="rect">
          <a:avLst/>
        </a:prstGeom>
      </xdr:spPr>
    </xdr:pic>
    <xdr:clientData/>
  </xdr:twoCellAnchor>
  <xdr:twoCellAnchor editAs="oneCell">
    <xdr:from>
      <xdr:col>14</xdr:col>
      <xdr:colOff>177800</xdr:colOff>
      <xdr:row>6</xdr:row>
      <xdr:rowOff>94503</xdr:rowOff>
    </xdr:from>
    <xdr:to>
      <xdr:col>18</xdr:col>
      <xdr:colOff>28013</xdr:colOff>
      <xdr:row>9</xdr:row>
      <xdr:rowOff>20577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72EEE85-1109-4735-97A5-90EE9592E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13800" y="1244974"/>
          <a:ext cx="2405154" cy="493838"/>
        </a:xfrm>
        <a:prstGeom prst="rect">
          <a:avLst/>
        </a:prstGeom>
      </xdr:spPr>
    </xdr:pic>
    <xdr:clientData/>
  </xdr:twoCellAnchor>
  <xdr:twoCellAnchor>
    <xdr:from>
      <xdr:col>8</xdr:col>
      <xdr:colOff>592417</xdr:colOff>
      <xdr:row>10</xdr:row>
      <xdr:rowOff>154640</xdr:rowOff>
    </xdr:from>
    <xdr:to>
      <xdr:col>21</xdr:col>
      <xdr:colOff>527050</xdr:colOff>
      <xdr:row>29</xdr:row>
      <xdr:rowOff>171450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03428D6-CA26-47F3-AE2B-B71DC5B98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6</xdr:row>
      <xdr:rowOff>50800</xdr:rowOff>
    </xdr:from>
    <xdr:to>
      <xdr:col>2</xdr:col>
      <xdr:colOff>400131</xdr:colOff>
      <xdr:row>7</xdr:row>
      <xdr:rowOff>152415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C949462-98A1-4F00-B66A-DC1C6FA9E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1231900"/>
          <a:ext cx="1568531" cy="28576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63501</xdr:colOff>
      <xdr:row>7</xdr:row>
      <xdr:rowOff>88901</xdr:rowOff>
    </xdr:from>
    <xdr:to>
      <xdr:col>6</xdr:col>
      <xdr:colOff>419101</xdr:colOff>
      <xdr:row>10</xdr:row>
      <xdr:rowOff>144777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30C3465-686D-46A0-A477-0812565FD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40301" y="279401"/>
          <a:ext cx="4013200" cy="608326"/>
        </a:xfrm>
        <a:prstGeom prst="rect">
          <a:avLst/>
        </a:prstGeom>
      </xdr:spPr>
    </xdr:pic>
    <xdr:clientData/>
  </xdr:twoCellAnchor>
  <xdr:twoCellAnchor>
    <xdr:from>
      <xdr:col>7</xdr:col>
      <xdr:colOff>269875</xdr:colOff>
      <xdr:row>0</xdr:row>
      <xdr:rowOff>82550</xdr:rowOff>
    </xdr:from>
    <xdr:to>
      <xdr:col>14</xdr:col>
      <xdr:colOff>574675</xdr:colOff>
      <xdr:row>14</xdr:row>
      <xdr:rowOff>101600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4766C45-85CF-4C64-AF73-5B683AA7F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10</xdr:row>
      <xdr:rowOff>69850</xdr:rowOff>
    </xdr:from>
    <xdr:to>
      <xdr:col>1</xdr:col>
      <xdr:colOff>419100</xdr:colOff>
      <xdr:row>11</xdr:row>
      <xdr:rowOff>129002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3F05206-2CDC-457D-ADE1-DF9929F26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200150"/>
          <a:ext cx="895350" cy="243301"/>
        </a:xfrm>
        <a:prstGeom prst="rect">
          <a:avLst/>
        </a:prstGeom>
      </xdr:spPr>
    </xdr:pic>
    <xdr:clientData/>
  </xdr:twoCellAnchor>
  <xdr:twoCellAnchor editAs="oneCell">
    <xdr:from>
      <xdr:col>3</xdr:col>
      <xdr:colOff>247275</xdr:colOff>
      <xdr:row>10</xdr:row>
      <xdr:rowOff>65368</xdr:rowOff>
    </xdr:from>
    <xdr:to>
      <xdr:col>4</xdr:col>
      <xdr:colOff>254000</xdr:colOff>
      <xdr:row>12</xdr:row>
      <xdr:rowOff>45062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C9713B3-2EDE-47EB-A66B-8805A9634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6075" y="1373468"/>
          <a:ext cx="616325" cy="347993"/>
        </a:xfrm>
        <a:prstGeom prst="rect">
          <a:avLst/>
        </a:prstGeom>
      </xdr:spPr>
    </xdr:pic>
    <xdr:clientData/>
  </xdr:twoCellAnchor>
  <xdr:twoCellAnchor editAs="oneCell">
    <xdr:from>
      <xdr:col>1</xdr:col>
      <xdr:colOff>537136</xdr:colOff>
      <xdr:row>10</xdr:row>
      <xdr:rowOff>78442</xdr:rowOff>
    </xdr:from>
    <xdr:to>
      <xdr:col>3</xdr:col>
      <xdr:colOff>12700</xdr:colOff>
      <xdr:row>12</xdr:row>
      <xdr:rowOff>56453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2602FED-36D8-41E8-BEA9-DD7AE6BDF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6736" y="1386542"/>
          <a:ext cx="694764" cy="346310"/>
        </a:xfrm>
        <a:prstGeom prst="rect">
          <a:avLst/>
        </a:prstGeom>
      </xdr:spPr>
    </xdr:pic>
    <xdr:clientData/>
  </xdr:twoCellAnchor>
  <xdr:twoCellAnchor editAs="oneCell">
    <xdr:from>
      <xdr:col>4</xdr:col>
      <xdr:colOff>374651</xdr:colOff>
      <xdr:row>10</xdr:row>
      <xdr:rowOff>69103</xdr:rowOff>
    </xdr:from>
    <xdr:to>
      <xdr:col>7</xdr:col>
      <xdr:colOff>279401</xdr:colOff>
      <xdr:row>12</xdr:row>
      <xdr:rowOff>51537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DF7B724-63A2-40BC-BCF2-4B122A5FE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13051" y="1377203"/>
          <a:ext cx="1733550" cy="350733"/>
        </a:xfrm>
        <a:prstGeom prst="rect">
          <a:avLst/>
        </a:prstGeom>
      </xdr:spPr>
    </xdr:pic>
    <xdr:clientData/>
  </xdr:twoCellAnchor>
  <xdr:twoCellAnchor>
    <xdr:from>
      <xdr:col>8</xdr:col>
      <xdr:colOff>15875</xdr:colOff>
      <xdr:row>6</xdr:row>
      <xdr:rowOff>19050</xdr:rowOff>
    </xdr:from>
    <xdr:to>
      <xdr:col>13</xdr:col>
      <xdr:colOff>539750</xdr:colOff>
      <xdr:row>21</xdr:row>
      <xdr:rowOff>114300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9B564AC-28EB-405B-85C8-364D8D1A0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52294</xdr:colOff>
      <xdr:row>6</xdr:row>
      <xdr:rowOff>44823</xdr:rowOff>
    </xdr:from>
    <xdr:to>
      <xdr:col>21</xdr:col>
      <xdr:colOff>405829</xdr:colOff>
      <xdr:row>8</xdr:row>
      <xdr:rowOff>164756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6D256FA-724C-4D5D-8FD6-1E60F54238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6444"/>
        <a:stretch/>
      </xdr:blipFill>
      <xdr:spPr>
        <a:xfrm>
          <a:off x="10765118" y="1232647"/>
          <a:ext cx="3416476" cy="493462"/>
        </a:xfrm>
        <a:prstGeom prst="rect">
          <a:avLst/>
        </a:prstGeom>
      </xdr:spPr>
    </xdr:pic>
    <xdr:clientData/>
  </xdr:twoCellAnchor>
  <xdr:twoCellAnchor editAs="oneCell">
    <xdr:from>
      <xdr:col>16</xdr:col>
      <xdr:colOff>82177</xdr:colOff>
      <xdr:row>8</xdr:row>
      <xdr:rowOff>119529</xdr:rowOff>
    </xdr:from>
    <xdr:to>
      <xdr:col>22</xdr:col>
      <xdr:colOff>159691</xdr:colOff>
      <xdr:row>12</xdr:row>
      <xdr:rowOff>107988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CF1812D-03AE-4184-AEBE-88E275F6D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95001" y="1680882"/>
          <a:ext cx="3753043" cy="742988"/>
        </a:xfrm>
        <a:prstGeom prst="rect">
          <a:avLst/>
        </a:prstGeom>
      </xdr:spPr>
    </xdr:pic>
    <xdr:clientData/>
  </xdr:twoCellAnchor>
  <xdr:twoCellAnchor editAs="oneCell">
    <xdr:from>
      <xdr:col>16</xdr:col>
      <xdr:colOff>149412</xdr:colOff>
      <xdr:row>11</xdr:row>
      <xdr:rowOff>179293</xdr:rowOff>
    </xdr:from>
    <xdr:to>
      <xdr:col>17</xdr:col>
      <xdr:colOff>273462</xdr:colOff>
      <xdr:row>13</xdr:row>
      <xdr:rowOff>160262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31D59C89-76BB-445B-8406-E586ECD3B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2236" y="2308411"/>
          <a:ext cx="736638" cy="361969"/>
        </a:xfrm>
        <a:prstGeom prst="rect">
          <a:avLst/>
        </a:prstGeom>
      </xdr:spPr>
    </xdr:pic>
    <xdr:clientData/>
  </xdr:twoCellAnchor>
  <xdr:twoCellAnchor editAs="oneCell">
    <xdr:from>
      <xdr:col>17</xdr:col>
      <xdr:colOff>410882</xdr:colOff>
      <xdr:row>12</xdr:row>
      <xdr:rowOff>29883</xdr:rowOff>
    </xdr:from>
    <xdr:to>
      <xdr:col>18</xdr:col>
      <xdr:colOff>528582</xdr:colOff>
      <xdr:row>13</xdr:row>
      <xdr:rowOff>134112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C42E898F-3D1F-46AB-A24C-627C0EAC3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736294" y="2345765"/>
          <a:ext cx="730288" cy="298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0EC1-CC12-491F-A871-906ACF7FF256}">
  <dimension ref="A1:D12"/>
  <sheetViews>
    <sheetView workbookViewId="0">
      <selection activeCell="B7" sqref="B7"/>
    </sheetView>
  </sheetViews>
  <sheetFormatPr defaultRowHeight="14.5" x14ac:dyDescent="0.35"/>
  <cols>
    <col min="1" max="1" width="29.36328125" customWidth="1"/>
    <col min="2" max="2" width="11" customWidth="1"/>
    <col min="3" max="3" width="12.54296875" customWidth="1"/>
    <col min="4" max="4" width="11.81640625" customWidth="1"/>
  </cols>
  <sheetData>
    <row r="1" spans="1:4" ht="29.15" customHeight="1" x14ac:dyDescent="0.35">
      <c r="A1" s="7" t="s">
        <v>23</v>
      </c>
      <c r="B1" s="7" t="s">
        <v>24</v>
      </c>
      <c r="C1" s="7" t="s">
        <v>25</v>
      </c>
      <c r="D1" s="43" t="s">
        <v>26</v>
      </c>
    </row>
    <row r="2" spans="1:4" ht="14.5" customHeight="1" x14ac:dyDescent="0.35">
      <c r="A2" s="44" t="s">
        <v>27</v>
      </c>
      <c r="B2" s="7">
        <v>4.7E-2</v>
      </c>
      <c r="C2" s="7">
        <v>5.0000000000000001E-4</v>
      </c>
      <c r="D2" s="7" t="s">
        <v>44</v>
      </c>
    </row>
    <row r="3" spans="1:4" ht="14.5" customHeight="1" x14ac:dyDescent="0.35">
      <c r="A3" s="44" t="s">
        <v>28</v>
      </c>
      <c r="B3" s="7">
        <v>0.22</v>
      </c>
      <c r="C3" s="7">
        <v>5.0000000000000001E-4</v>
      </c>
      <c r="D3" s="7" t="s">
        <v>44</v>
      </c>
    </row>
    <row r="4" spans="1:4" ht="14.5" customHeight="1" x14ac:dyDescent="0.35">
      <c r="A4" s="45" t="s">
        <v>29</v>
      </c>
      <c r="B4" s="7">
        <v>0.40799999999999997</v>
      </c>
      <c r="C4" s="7">
        <v>5.0000000000000001E-4</v>
      </c>
      <c r="D4" s="7" t="s">
        <v>44</v>
      </c>
    </row>
    <row r="5" spans="1:4" ht="14.5" customHeight="1" x14ac:dyDescent="0.35">
      <c r="A5" s="45" t="s">
        <v>30</v>
      </c>
      <c r="B5" s="7">
        <v>5.7000000000000002E-2</v>
      </c>
      <c r="C5" s="7">
        <v>5.0000000000000001E-4</v>
      </c>
      <c r="D5" s="7" t="s">
        <v>43</v>
      </c>
    </row>
    <row r="6" spans="1:4" ht="14.5" customHeight="1" x14ac:dyDescent="0.35">
      <c r="A6" s="45" t="s">
        <v>31</v>
      </c>
      <c r="B6" s="7">
        <v>2.5000000000000001E-2</v>
      </c>
      <c r="C6" s="7">
        <v>5.0000000000000001E-4</v>
      </c>
      <c r="D6" s="7" t="s">
        <v>43</v>
      </c>
    </row>
    <row r="7" spans="1:4" ht="14.5" customHeight="1" x14ac:dyDescent="0.35">
      <c r="A7" s="45" t="s">
        <v>32</v>
      </c>
      <c r="B7" s="7">
        <v>4.5999999999999999E-2</v>
      </c>
      <c r="C7" s="7">
        <v>5.0000000000000001E-4</v>
      </c>
      <c r="D7" s="7" t="s">
        <v>43</v>
      </c>
    </row>
    <row r="8" spans="1:4" ht="14.5" customHeight="1" x14ac:dyDescent="0.35">
      <c r="A8" s="45" t="s">
        <v>33</v>
      </c>
      <c r="B8" s="7">
        <v>0.04</v>
      </c>
      <c r="C8" s="7">
        <v>5.0000000000000001E-4</v>
      </c>
      <c r="D8" s="7" t="s">
        <v>43</v>
      </c>
    </row>
    <row r="9" spans="1:4" ht="14.5" customHeight="1" x14ac:dyDescent="0.35">
      <c r="A9" s="45" t="s">
        <v>34</v>
      </c>
      <c r="B9" s="7">
        <v>0.04</v>
      </c>
      <c r="C9" s="7">
        <v>5.0000000000000001E-4</v>
      </c>
      <c r="D9" s="7" t="s">
        <v>43</v>
      </c>
    </row>
    <row r="10" spans="1:4" ht="14.5" customHeight="1" x14ac:dyDescent="0.35">
      <c r="A10" s="48" t="s">
        <v>39</v>
      </c>
      <c r="B10" s="7" t="s">
        <v>40</v>
      </c>
      <c r="C10" s="49">
        <v>1E-3</v>
      </c>
      <c r="D10" s="49" t="s">
        <v>41</v>
      </c>
    </row>
    <row r="11" spans="1:4" ht="14.5" customHeight="1" x14ac:dyDescent="0.35">
      <c r="A11" s="48" t="s">
        <v>42</v>
      </c>
      <c r="B11" s="7">
        <v>0.7</v>
      </c>
      <c r="C11" s="49">
        <v>5.0000000000000001E-4</v>
      </c>
      <c r="D11" s="49" t="s">
        <v>43</v>
      </c>
    </row>
    <row r="12" spans="1:4" ht="14.5" customHeight="1" x14ac:dyDescent="0.35">
      <c r="A12" s="48" t="s">
        <v>45</v>
      </c>
      <c r="B12" s="7">
        <v>9.8000000000000007</v>
      </c>
      <c r="C12" s="49">
        <v>2.9000000000000001E-2</v>
      </c>
      <c r="D12" s="49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ACEF0-C34B-4826-A72A-62937278D49D}">
  <dimension ref="A1:V20"/>
  <sheetViews>
    <sheetView zoomScaleNormal="100" workbookViewId="0">
      <selection sqref="A1:A2"/>
    </sheetView>
  </sheetViews>
  <sheetFormatPr defaultRowHeight="14.5" x14ac:dyDescent="0.35"/>
  <cols>
    <col min="1" max="2" width="9.90625" customWidth="1"/>
    <col min="3" max="3" width="10.1796875" bestFit="1" customWidth="1"/>
    <col min="10" max="10" width="17.36328125" customWidth="1"/>
    <col min="11" max="11" width="16.36328125" customWidth="1"/>
  </cols>
  <sheetData>
    <row r="1" spans="1:22" x14ac:dyDescent="0.35">
      <c r="A1" s="175" t="s">
        <v>0</v>
      </c>
      <c r="B1" s="170" t="s">
        <v>16</v>
      </c>
      <c r="C1" s="168" t="s">
        <v>7</v>
      </c>
      <c r="D1" s="168"/>
      <c r="E1" s="168"/>
      <c r="F1" s="168"/>
      <c r="G1" s="168"/>
      <c r="H1" s="169"/>
      <c r="I1" s="15"/>
      <c r="J1" s="167" t="s">
        <v>38</v>
      </c>
      <c r="K1" s="167"/>
    </row>
    <row r="2" spans="1:22" ht="15" thickBot="1" x14ac:dyDescent="0.4">
      <c r="A2" s="176"/>
      <c r="B2" s="171"/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4" t="s">
        <v>6</v>
      </c>
      <c r="I2" s="15"/>
      <c r="J2" s="47" t="s">
        <v>37</v>
      </c>
      <c r="K2" s="7" t="s">
        <v>35</v>
      </c>
      <c r="R2" s="17"/>
      <c r="T2" s="21"/>
      <c r="U2" s="21"/>
      <c r="V2" s="21"/>
    </row>
    <row r="3" spans="1:22" x14ac:dyDescent="0.35">
      <c r="A3" s="177" t="s">
        <v>12</v>
      </c>
      <c r="B3" s="12" t="s">
        <v>8</v>
      </c>
      <c r="C3" s="8">
        <v>4.93</v>
      </c>
      <c r="D3" s="8">
        <v>5.6</v>
      </c>
      <c r="E3" s="8">
        <v>6.52</v>
      </c>
      <c r="F3" s="8">
        <v>7.59</v>
      </c>
      <c r="G3" s="8">
        <v>8.51</v>
      </c>
      <c r="H3" s="9">
        <v>9.48</v>
      </c>
      <c r="I3" s="15"/>
      <c r="J3" s="46" t="s">
        <v>36</v>
      </c>
      <c r="K3" s="51">
        <f>SQRT(('Данные об установке'!C10/3)^2+('Данные об установке'!C10/3)^2+('Данные об установке'!C10/3)^2)</f>
        <v>5.773502691896258E-4</v>
      </c>
      <c r="T3" s="21"/>
      <c r="U3" s="21"/>
      <c r="V3" s="21"/>
    </row>
    <row r="4" spans="1:22" ht="14.5" customHeight="1" x14ac:dyDescent="0.35">
      <c r="A4" s="178"/>
      <c r="B4" s="7" t="s">
        <v>9</v>
      </c>
      <c r="C4" s="3">
        <v>4.87</v>
      </c>
      <c r="D4" s="3">
        <v>5.62</v>
      </c>
      <c r="E4" s="3">
        <v>6.54</v>
      </c>
      <c r="F4" s="3">
        <v>7.57</v>
      </c>
      <c r="G4" s="3">
        <v>8.5299999999999994</v>
      </c>
      <c r="H4" s="5">
        <v>9.42</v>
      </c>
      <c r="I4" s="15"/>
      <c r="T4" s="21"/>
      <c r="U4" s="21"/>
      <c r="V4" s="21"/>
    </row>
    <row r="5" spans="1:22" x14ac:dyDescent="0.35">
      <c r="A5" s="178"/>
      <c r="B5" s="7" t="s">
        <v>10</v>
      </c>
      <c r="C5" s="3">
        <v>4.5</v>
      </c>
      <c r="D5" s="3">
        <v>5.67</v>
      </c>
      <c r="E5" s="3">
        <v>6.5</v>
      </c>
      <c r="F5" s="3">
        <v>7.56</v>
      </c>
      <c r="G5" s="3">
        <v>8.49</v>
      </c>
      <c r="H5" s="5">
        <v>9.5</v>
      </c>
      <c r="I5" s="15"/>
      <c r="T5" s="21"/>
      <c r="U5" s="21"/>
      <c r="V5" s="21"/>
    </row>
    <row r="6" spans="1:22" ht="15" thickBot="1" x14ac:dyDescent="0.4">
      <c r="A6" s="179"/>
      <c r="B6" s="11" t="s">
        <v>11</v>
      </c>
      <c r="C6" s="1">
        <f>AVERAGE(C3:C5)</f>
        <v>4.7666666666666666</v>
      </c>
      <c r="D6" s="1">
        <f>AVERAGE(D3:D5)</f>
        <v>5.63</v>
      </c>
      <c r="E6" s="1">
        <f t="shared" ref="E6:H6" si="0">AVERAGE(E3:E5)</f>
        <v>6.52</v>
      </c>
      <c r="F6" s="1">
        <f t="shared" si="0"/>
        <v>7.5733333333333333</v>
      </c>
      <c r="G6" s="1">
        <f t="shared" si="0"/>
        <v>8.51</v>
      </c>
      <c r="H6" s="6">
        <f t="shared" si="0"/>
        <v>9.4666666666666668</v>
      </c>
      <c r="I6" s="15"/>
      <c r="T6" s="21"/>
      <c r="U6" s="21"/>
      <c r="V6" s="21"/>
    </row>
    <row r="7" spans="1:22" x14ac:dyDescent="0.35">
      <c r="A7" s="177" t="s">
        <v>13</v>
      </c>
      <c r="B7" s="10" t="s">
        <v>8</v>
      </c>
      <c r="C7" s="8">
        <v>3.57</v>
      </c>
      <c r="D7" s="8">
        <v>4.45</v>
      </c>
      <c r="E7" s="8">
        <v>4.96</v>
      </c>
      <c r="F7" s="8">
        <v>5.43</v>
      </c>
      <c r="G7" s="8">
        <v>6.15</v>
      </c>
      <c r="H7" s="9">
        <v>6.9</v>
      </c>
      <c r="T7" s="21"/>
      <c r="U7" s="21"/>
      <c r="V7" s="21"/>
    </row>
    <row r="8" spans="1:22" x14ac:dyDescent="0.35">
      <c r="A8" s="178"/>
      <c r="B8" s="7" t="s">
        <v>9</v>
      </c>
      <c r="C8" s="3">
        <v>3.49</v>
      </c>
      <c r="D8" s="3">
        <v>4.42</v>
      </c>
      <c r="E8" s="3">
        <v>4.92</v>
      </c>
      <c r="F8" s="3">
        <v>5.47</v>
      </c>
      <c r="G8" s="3">
        <v>6.07</v>
      </c>
      <c r="H8" s="5">
        <v>6.85</v>
      </c>
      <c r="T8" s="21"/>
      <c r="U8" s="21"/>
      <c r="V8" s="21"/>
    </row>
    <row r="9" spans="1:22" x14ac:dyDescent="0.35">
      <c r="A9" s="178"/>
      <c r="B9" s="7" t="s">
        <v>10</v>
      </c>
      <c r="C9" s="3">
        <v>3.68</v>
      </c>
      <c r="D9" s="3">
        <v>4.43</v>
      </c>
      <c r="E9" s="3">
        <v>4.95</v>
      </c>
      <c r="F9" s="3">
        <v>5.42</v>
      </c>
      <c r="G9" s="3">
        <v>6.17</v>
      </c>
      <c r="H9" s="5">
        <v>6.84</v>
      </c>
      <c r="T9" s="21"/>
      <c r="U9" s="21"/>
      <c r="V9" s="21"/>
    </row>
    <row r="10" spans="1:22" ht="15" thickBot="1" x14ac:dyDescent="0.4">
      <c r="A10" s="179"/>
      <c r="B10" s="11" t="s">
        <v>11</v>
      </c>
      <c r="C10" s="1">
        <f>AVERAGE(C7:C9)</f>
        <v>3.58</v>
      </c>
      <c r="D10" s="1">
        <f>AVERAGE(D7:D9)</f>
        <v>4.4333333333333336</v>
      </c>
      <c r="E10" s="1">
        <f t="shared" ref="E10:H10" si="1">AVERAGE(E7:E9)</f>
        <v>4.9433333333333325</v>
      </c>
      <c r="F10" s="1">
        <f t="shared" si="1"/>
        <v>5.44</v>
      </c>
      <c r="G10" s="1">
        <f t="shared" si="1"/>
        <v>6.13</v>
      </c>
      <c r="H10" s="6">
        <f t="shared" si="1"/>
        <v>6.8633333333333333</v>
      </c>
      <c r="T10" s="21"/>
      <c r="U10" s="21"/>
      <c r="V10" s="21"/>
    </row>
    <row r="11" spans="1:22" x14ac:dyDescent="0.35">
      <c r="A11" s="180" t="s">
        <v>14</v>
      </c>
      <c r="B11" s="10" t="s">
        <v>8</v>
      </c>
      <c r="C11" s="2">
        <v>2.94</v>
      </c>
      <c r="D11" s="2">
        <v>3.57</v>
      </c>
      <c r="E11" s="2">
        <v>3.9</v>
      </c>
      <c r="F11" s="2">
        <v>4.96</v>
      </c>
      <c r="G11" s="2">
        <v>5.25</v>
      </c>
      <c r="H11" s="4">
        <v>5.82</v>
      </c>
    </row>
    <row r="12" spans="1:22" x14ac:dyDescent="0.35">
      <c r="A12" s="178"/>
      <c r="B12" s="7" t="s">
        <v>9</v>
      </c>
      <c r="C12" s="3">
        <v>2.95</v>
      </c>
      <c r="D12" s="3">
        <v>3.58</v>
      </c>
      <c r="E12" s="3">
        <v>3.8</v>
      </c>
      <c r="F12" s="3">
        <v>4.92</v>
      </c>
      <c r="G12" s="3">
        <v>5.28</v>
      </c>
      <c r="H12" s="5">
        <v>5.85</v>
      </c>
    </row>
    <row r="13" spans="1:22" x14ac:dyDescent="0.35">
      <c r="A13" s="178"/>
      <c r="B13" s="7" t="s">
        <v>10</v>
      </c>
      <c r="C13" s="3">
        <v>2.93</v>
      </c>
      <c r="D13" s="3">
        <v>3.56</v>
      </c>
      <c r="E13" s="3">
        <v>3.7</v>
      </c>
      <c r="F13" s="3">
        <v>4.95</v>
      </c>
      <c r="G13" s="3">
        <v>5.25</v>
      </c>
      <c r="H13" s="5">
        <v>5.81</v>
      </c>
    </row>
    <row r="14" spans="1:22" ht="15" thickBot="1" x14ac:dyDescent="0.4">
      <c r="A14" s="181"/>
      <c r="B14" s="150" t="s">
        <v>11</v>
      </c>
      <c r="C14" s="158">
        <f>AVERAGE(C11:C13)</f>
        <v>2.94</v>
      </c>
      <c r="D14" s="158">
        <f>AVERAGE(D11:D13)</f>
        <v>3.5700000000000003</v>
      </c>
      <c r="E14" s="158">
        <f t="shared" ref="E14:H14" si="2">AVERAGE(E11:E13)</f>
        <v>3.7999999999999994</v>
      </c>
      <c r="F14" s="158">
        <f t="shared" si="2"/>
        <v>4.9433333333333325</v>
      </c>
      <c r="G14" s="158">
        <f t="shared" si="2"/>
        <v>5.2600000000000007</v>
      </c>
      <c r="H14" s="159">
        <f t="shared" si="2"/>
        <v>5.8266666666666671</v>
      </c>
    </row>
    <row r="15" spans="1:22" x14ac:dyDescent="0.35">
      <c r="A15" s="172" t="s">
        <v>15</v>
      </c>
      <c r="B15" s="151" t="s">
        <v>8</v>
      </c>
      <c r="C15" s="152">
        <v>2.63</v>
      </c>
      <c r="D15" s="152">
        <v>3.14</v>
      </c>
      <c r="E15" s="152">
        <v>3.53</v>
      </c>
      <c r="F15" s="152">
        <v>4.29</v>
      </c>
      <c r="G15" s="152">
        <v>4.66</v>
      </c>
      <c r="H15" s="153">
        <v>5.03</v>
      </c>
    </row>
    <row r="16" spans="1:22" x14ac:dyDescent="0.35">
      <c r="A16" s="173"/>
      <c r="B16" s="7" t="s">
        <v>9</v>
      </c>
      <c r="C16" s="3">
        <v>2.6</v>
      </c>
      <c r="D16" s="3">
        <v>3.15</v>
      </c>
      <c r="E16" s="3">
        <v>3.52</v>
      </c>
      <c r="F16" s="3">
        <v>4.3099999999999996</v>
      </c>
      <c r="G16" s="3">
        <v>4.68</v>
      </c>
      <c r="H16" s="154">
        <v>5.05</v>
      </c>
    </row>
    <row r="17" spans="1:8" x14ac:dyDescent="0.35">
      <c r="A17" s="173"/>
      <c r="B17" s="7" t="s">
        <v>10</v>
      </c>
      <c r="C17" s="3">
        <v>2.58</v>
      </c>
      <c r="D17" s="3">
        <v>3.11</v>
      </c>
      <c r="E17" s="3">
        <v>3.51</v>
      </c>
      <c r="F17" s="3">
        <v>4.32</v>
      </c>
      <c r="G17" s="3">
        <v>4.63</v>
      </c>
      <c r="H17" s="154">
        <v>5.05</v>
      </c>
    </row>
    <row r="18" spans="1:8" ht="15" thickBot="1" x14ac:dyDescent="0.4">
      <c r="A18" s="174"/>
      <c r="B18" s="155" t="s">
        <v>11</v>
      </c>
      <c r="C18" s="156">
        <f>AVERAGE(C15:C17)</f>
        <v>2.6033333333333335</v>
      </c>
      <c r="D18" s="156">
        <f>AVERAGE(D15:D17)</f>
        <v>3.1333333333333333</v>
      </c>
      <c r="E18" s="156">
        <f t="shared" ref="E18:H18" si="3">AVERAGE(E15:E17)</f>
        <v>3.5199999999999996</v>
      </c>
      <c r="F18" s="156">
        <f t="shared" si="3"/>
        <v>4.3066666666666666</v>
      </c>
      <c r="G18" s="156">
        <f t="shared" si="3"/>
        <v>4.6566666666666663</v>
      </c>
      <c r="H18" s="157">
        <f t="shared" si="3"/>
        <v>5.043333333333333</v>
      </c>
    </row>
    <row r="19" spans="1:8" x14ac:dyDescent="0.35">
      <c r="A19" s="58"/>
      <c r="B19" s="149"/>
    </row>
    <row r="20" spans="1:8" x14ac:dyDescent="0.35">
      <c r="A20" s="58"/>
      <c r="B20" s="58"/>
    </row>
  </sheetData>
  <mergeCells count="8">
    <mergeCell ref="J1:K1"/>
    <mergeCell ref="C1:H1"/>
    <mergeCell ref="B1:B2"/>
    <mergeCell ref="A15:A18"/>
    <mergeCell ref="A1:A2"/>
    <mergeCell ref="A3:A6"/>
    <mergeCell ref="A7:A10"/>
    <mergeCell ref="A11:A1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7CD8-3C25-432D-9867-B38AC48F898A}">
  <dimension ref="A1:W20"/>
  <sheetViews>
    <sheetView zoomScale="85" zoomScaleNormal="85" workbookViewId="0">
      <selection activeCell="B5" sqref="B5"/>
    </sheetView>
  </sheetViews>
  <sheetFormatPr defaultRowHeight="14.5" x14ac:dyDescent="0.35"/>
  <cols>
    <col min="10" max="10" width="9.6328125" bestFit="1" customWidth="1"/>
    <col min="13" max="15" width="8.7265625" customWidth="1"/>
  </cols>
  <sheetData>
    <row r="1" spans="1:23" ht="15" thickBot="1" x14ac:dyDescent="0.4">
      <c r="A1" s="27"/>
      <c r="B1" s="25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3" t="s">
        <v>6</v>
      </c>
      <c r="I1" s="189" t="s">
        <v>51</v>
      </c>
      <c r="J1" s="170"/>
      <c r="K1" s="170"/>
      <c r="L1" s="190"/>
      <c r="M1" s="42"/>
      <c r="N1" s="42"/>
      <c r="O1" s="42"/>
      <c r="P1" s="57"/>
      <c r="Q1" s="57"/>
      <c r="R1" s="57"/>
      <c r="S1" s="57"/>
      <c r="T1" s="57"/>
      <c r="U1" s="57"/>
      <c r="V1" s="57"/>
      <c r="W1" s="58"/>
    </row>
    <row r="2" spans="1:23" ht="15" thickBot="1" x14ac:dyDescent="0.4">
      <c r="A2" s="34" t="s">
        <v>11</v>
      </c>
      <c r="B2" s="35">
        <f>'Задания 2-7 (Измерения)'!C6</f>
        <v>4.7666666666666666</v>
      </c>
      <c r="C2" s="36">
        <f>'Задания 2-7 (Измерения)'!D6</f>
        <v>5.63</v>
      </c>
      <c r="D2" s="36">
        <f>'Задания 2-7 (Измерения)'!E6</f>
        <v>6.52</v>
      </c>
      <c r="E2" s="36">
        <f>'Задания 2-7 (Измерения)'!F6</f>
        <v>7.5733333333333333</v>
      </c>
      <c r="F2" s="36">
        <f>'Задания 2-7 (Измерения)'!G6</f>
        <v>8.51</v>
      </c>
      <c r="G2" s="37">
        <f>'Задания 2-7 (Измерения)'!H6</f>
        <v>9.4666666666666668</v>
      </c>
      <c r="I2" s="191"/>
      <c r="J2" s="171"/>
      <c r="K2" s="171"/>
      <c r="L2" s="192"/>
      <c r="M2" s="42"/>
      <c r="N2" s="42"/>
      <c r="O2" s="42"/>
      <c r="P2" s="57"/>
      <c r="Q2" s="57"/>
      <c r="R2" s="57"/>
      <c r="S2" s="57"/>
      <c r="T2" s="57"/>
      <c r="U2" s="57"/>
      <c r="V2" s="57"/>
      <c r="W2" s="58"/>
    </row>
    <row r="3" spans="1:23" x14ac:dyDescent="0.35">
      <c r="A3" s="29" t="s">
        <v>17</v>
      </c>
      <c r="B3" s="26">
        <f>(2*'Данные об установке'!$B$11)/(B2^2)</f>
        <v>6.1616704973348327E-2</v>
      </c>
      <c r="C3" s="26">
        <f>(2*'Данные об установке'!$B$11)/(C2^2)</f>
        <v>4.4168357157955508E-2</v>
      </c>
      <c r="D3" s="26">
        <f>(2*'Данные об установке'!$B$11)/(D2^2)</f>
        <v>3.2933117543001239E-2</v>
      </c>
      <c r="E3" s="26">
        <f>(2*'Данные об установке'!$B$11)/(E2^2)</f>
        <v>2.4409219400912518E-2</v>
      </c>
      <c r="F3" s="26">
        <f>(2*'Данные об установке'!$B$11)/(F2^2)</f>
        <v>1.9331649638705279E-2</v>
      </c>
      <c r="G3" s="54">
        <f>(2*'Данные об установке'!$B$11)/(G2^2)</f>
        <v>1.5621900416584011E-2</v>
      </c>
      <c r="I3" s="180" t="s">
        <v>48</v>
      </c>
      <c r="J3" s="193"/>
      <c r="K3" s="193"/>
      <c r="L3" s="194"/>
      <c r="N3" s="57"/>
      <c r="O3" s="57"/>
      <c r="P3" s="57"/>
      <c r="Q3" s="57"/>
      <c r="R3" s="57"/>
      <c r="S3" s="57"/>
      <c r="T3" s="57"/>
      <c r="U3" s="57"/>
      <c r="V3" s="57"/>
      <c r="W3" s="58"/>
    </row>
    <row r="4" spans="1:23" x14ac:dyDescent="0.35">
      <c r="A4" s="30" t="s">
        <v>22</v>
      </c>
      <c r="B4" s="26">
        <f>2*B3/'Данные об установке'!$B$7</f>
        <v>2.6789871727542751</v>
      </c>
      <c r="C4" s="26">
        <f>2*C3/'Данные об установке'!$B$7</f>
        <v>1.9203633546937178</v>
      </c>
      <c r="D4" s="26">
        <f>2*D3/'Данные об установке'!$B$7</f>
        <v>1.4318746757826626</v>
      </c>
      <c r="E4" s="26">
        <f>2*E3/'Данные об установке'!$B$7</f>
        <v>1.0612704087353269</v>
      </c>
      <c r="F4" s="26">
        <f>2*F3/'Данные об установке'!$B$7</f>
        <v>0.84050650603066435</v>
      </c>
      <c r="G4" s="54">
        <f>2*G3/'Данные об установке'!$B$7</f>
        <v>0.67921306159060924</v>
      </c>
      <c r="I4" s="195" t="s">
        <v>59</v>
      </c>
      <c r="J4" s="196"/>
      <c r="K4" s="203">
        <f>SQRT(((2/(B2^2))*'Данные об установке'!C10)^2+((-4*'Данные об установке'!B11/B2^2)*'Данные об установке'!C11)^2)</f>
        <v>1.0744681944506169E-4</v>
      </c>
      <c r="L4" s="204"/>
      <c r="N4" s="57"/>
      <c r="O4" s="57"/>
      <c r="P4" s="57"/>
      <c r="Q4" s="57"/>
      <c r="R4" s="57"/>
      <c r="S4" s="57"/>
      <c r="T4" s="57"/>
      <c r="U4" s="57"/>
      <c r="V4" s="57"/>
      <c r="W4" s="58"/>
    </row>
    <row r="5" spans="1:23" ht="15" thickBot="1" x14ac:dyDescent="0.4">
      <c r="A5" s="31" t="s">
        <v>18</v>
      </c>
      <c r="B5" s="39">
        <f>('Данные об установке'!$B$2+'Данные об установке'!$B$3)*'Данные об установке'!$B$7*('Данные об установке'!$B$12-'Задания 8-9'!B3)/2</f>
        <v>5.9803411814758678E-2</v>
      </c>
      <c r="C5" s="39">
        <f>('Данные об установке'!$B$2+'Данные об установке'!$B$3)*'Данные об установке'!$B$7*('Данные об установке'!$B$12-'Задания 8-9'!C3)/2</f>
        <v>5.9910562118693007E-2</v>
      </c>
      <c r="D5" s="39">
        <f>('Данные об установке'!$B$2+'Данные об установке'!$B$3)*'Данные об установке'!$B$7*('Данные об установке'!$B$12-'Задания 8-9'!D3)/2</f>
        <v>5.9979557725168442E-2</v>
      </c>
      <c r="E5" s="39">
        <f>('Данные об установке'!$B$2+'Данные об установке'!$B$3)*'Данные об установке'!$B$7*('Данные об установке'!$B$12-'Задания 8-9'!E3)/2</f>
        <v>6.0031902983659007E-2</v>
      </c>
      <c r="F5" s="39">
        <f>('Данные об установке'!$B$2+'Данные об установке'!$B$3)*'Данные об установке'!$B$7*('Данные об установке'!$B$12-'Задания 8-9'!F3)/2</f>
        <v>6.0063084339568723E-2</v>
      </c>
      <c r="G5" s="55">
        <f>('Данные об установке'!$B$2+'Данные об установке'!$B$3)*'Данные об установке'!$B$7*('Данные об установке'!$B$12-'Задания 8-9'!G3)/2</f>
        <v>6.008586590954177E-2</v>
      </c>
      <c r="I5" s="195" t="s">
        <v>58</v>
      </c>
      <c r="J5" s="196"/>
      <c r="K5" s="203">
        <f>SQRT((2/'Данные об установке'!B7*K4)^2+((-2*B3/'Данные об установке'!B7^2)*'Данные об установке'!C7)^2)</f>
        <v>2.949177534238025E-2</v>
      </c>
      <c r="L5" s="204"/>
      <c r="N5" s="57"/>
      <c r="O5" s="57"/>
      <c r="P5" s="57"/>
      <c r="Q5" s="57"/>
      <c r="R5" s="57"/>
      <c r="S5" s="57"/>
      <c r="T5" s="57"/>
      <c r="U5" s="57"/>
      <c r="V5" s="57"/>
      <c r="W5" s="58"/>
    </row>
    <row r="6" spans="1:23" ht="15" thickBot="1" x14ac:dyDescent="0.4">
      <c r="A6" s="28" t="s">
        <v>11</v>
      </c>
      <c r="B6" s="32">
        <f>'Задания 2-7 (Измерения)'!C10</f>
        <v>3.58</v>
      </c>
      <c r="C6" s="33">
        <f>'Задания 2-7 (Измерения)'!D10</f>
        <v>4.4333333333333336</v>
      </c>
      <c r="D6" s="33">
        <f>'Задания 2-7 (Измерения)'!E10</f>
        <v>4.9433333333333325</v>
      </c>
      <c r="E6" s="33">
        <f>'Задания 2-7 (Измерения)'!F10</f>
        <v>5.44</v>
      </c>
      <c r="F6" s="33">
        <f>'Задания 2-7 (Измерения)'!G10</f>
        <v>6.13</v>
      </c>
      <c r="G6" s="40">
        <f>'Задания 2-7 (Измерения)'!H10</f>
        <v>6.8633333333333333</v>
      </c>
      <c r="I6" s="211" t="s">
        <v>57</v>
      </c>
      <c r="J6" s="212"/>
      <c r="K6" s="205">
        <f>SQRT(('Данные об установке'!B7*('Данные об установке'!B12-B3)*'Данные об установке'!C2/2)^2+(('Данные об установке'!B2+'Данные об установке'!B3)*('Данные об установке'!B12-B3)*'Данные об установке'!C7/2)^2+(('Данные об установке'!B2+'Данные об установке'!B3)*'Данные об установке'!B7*'Данные об установке'!C12/2)^2+(-('Данные об установке'!B2+'Данные об установке'!B3)*'Данные об установке'!B7*K4/2)^2)</f>
        <v>6.8323232837804479E-4</v>
      </c>
      <c r="L6" s="206"/>
      <c r="P6" s="19"/>
      <c r="Q6" s="20"/>
      <c r="R6" s="18"/>
      <c r="T6" s="57"/>
      <c r="U6" s="57"/>
      <c r="V6" s="57"/>
      <c r="W6" s="58"/>
    </row>
    <row r="7" spans="1:23" x14ac:dyDescent="0.35">
      <c r="A7" s="29" t="s">
        <v>17</v>
      </c>
      <c r="B7" s="26">
        <f>(2*'Данные об установке'!$B$11)/(B6^2)</f>
        <v>0.10923504260166661</v>
      </c>
      <c r="C7" s="26">
        <f>(2*'Данные об установке'!$B$11)/(C6^2)</f>
        <v>7.1230708349821911E-2</v>
      </c>
      <c r="D7" s="26">
        <f>(2*'Данные об установке'!$B$11)/(D6^2)</f>
        <v>5.7291242760728597E-2</v>
      </c>
      <c r="E7" s="26">
        <f>(2*'Данные об установке'!$B$11)/(E6^2)</f>
        <v>4.7307525951557079E-2</v>
      </c>
      <c r="F7" s="26">
        <f>(2*'Данные об установке'!$B$11)/(F6^2)</f>
        <v>3.7256931785219105E-2</v>
      </c>
      <c r="G7" s="54">
        <f>(2*'Данные об установке'!$B$11)/(G6^2)</f>
        <v>2.9720619104083731E-2</v>
      </c>
      <c r="I7" s="180" t="s">
        <v>49</v>
      </c>
      <c r="J7" s="193"/>
      <c r="K7" s="193"/>
      <c r="L7" s="194"/>
      <c r="P7" s="18"/>
      <c r="Q7" s="20"/>
      <c r="R7" s="18"/>
      <c r="T7" s="57"/>
      <c r="U7" s="57"/>
      <c r="V7" s="57"/>
      <c r="W7" s="58"/>
    </row>
    <row r="8" spans="1:23" x14ac:dyDescent="0.35">
      <c r="A8" s="30" t="s">
        <v>22</v>
      </c>
      <c r="B8" s="26">
        <f>2*B7/'Данные об установке'!$B$7</f>
        <v>4.7493496783333313</v>
      </c>
      <c r="C8" s="26">
        <f>2*C7/'Данные об установке'!$B$7</f>
        <v>3.0969873195574746</v>
      </c>
      <c r="D8" s="26">
        <f>2*D7/'Данные об установке'!$B$7</f>
        <v>2.4909235982925479</v>
      </c>
      <c r="E8" s="26">
        <f>2*E7/'Данные об установке'!$B$7</f>
        <v>2.0568489544155253</v>
      </c>
      <c r="F8" s="26">
        <f>2*F7/'Данные об установке'!$B$7</f>
        <v>1.6198665993573524</v>
      </c>
      <c r="G8" s="54">
        <f>2*G7/'Данные об установке'!$B$7</f>
        <v>1.2922008306123363</v>
      </c>
      <c r="I8" s="195" t="s">
        <v>47</v>
      </c>
      <c r="J8" s="196"/>
      <c r="K8" s="207">
        <f>K4/B3</f>
        <v>1.7437936593905292E-3</v>
      </c>
      <c r="L8" s="208"/>
      <c r="P8" s="18"/>
      <c r="Q8" s="20"/>
      <c r="R8" s="18"/>
      <c r="T8" s="57"/>
      <c r="U8" s="57"/>
      <c r="V8" s="57"/>
      <c r="W8" s="58"/>
    </row>
    <row r="9" spans="1:23" ht="15" thickBot="1" x14ac:dyDescent="0.4">
      <c r="A9" s="31" t="s">
        <v>18</v>
      </c>
      <c r="B9" s="39">
        <f>('Данные об установке'!$B$2+2*'Данные об установке'!$B$3)*'Данные об установке'!$B$7*('Данные об установке'!$B$12-'Задания 8-9'!B7)/2</f>
        <v>0.10854625828781873</v>
      </c>
      <c r="C9" s="39">
        <f>('Данные об установке'!$B$2+2*'Данные об установке'!$B$3)*'Данные об установке'!$B$7*('Данные об установке'!$B$12-'Задания 8-9'!C7)/2</f>
        <v>0.10897194483577365</v>
      </c>
      <c r="D9" s="39">
        <f>('Данные об установке'!$B$2+2*'Данные об установке'!$B$3)*'Данные об установке'!$B$7*('Данные об установке'!$B$12-'Задания 8-9'!D7)/2</f>
        <v>0.10912808078983709</v>
      </c>
      <c r="E9" s="39">
        <f>('Данные об установке'!$B$2+2*'Данные об установке'!$B$3)*'Данные об установке'!$B$7*('Данные об установке'!$B$12-'Задания 8-9'!E7)/2</f>
        <v>0.1092399084018166</v>
      </c>
      <c r="F9" s="39">
        <f>('Данные об установке'!$B$2+2*'Данные об установке'!$B$3)*'Данные об установке'!$B$7*('Данные об установке'!$B$12-'Задания 8-9'!F7)/2</f>
        <v>0.10935248510707377</v>
      </c>
      <c r="G9" s="39">
        <f>('Данные об установке'!$B$2+2*'Данные об установке'!$B$3)*'Данные об установке'!$B$7*('Данные об установке'!$B$12-'Задания 8-9'!G7)/2</f>
        <v>0.10943689934541517</v>
      </c>
      <c r="I9" s="195" t="s">
        <v>56</v>
      </c>
      <c r="J9" s="196"/>
      <c r="K9" s="207">
        <f>K5/B4</f>
        <v>1.1008554144012441E-2</v>
      </c>
      <c r="L9" s="208"/>
      <c r="O9" s="20"/>
      <c r="P9" s="18"/>
      <c r="Q9" s="20"/>
      <c r="R9" s="18"/>
      <c r="T9" s="57"/>
      <c r="U9" s="57"/>
      <c r="V9" s="57"/>
      <c r="W9" s="58"/>
    </row>
    <row r="10" spans="1:23" ht="15" thickBot="1" x14ac:dyDescent="0.4">
      <c r="A10" s="34" t="s">
        <v>11</v>
      </c>
      <c r="B10" s="256">
        <f>'Задания 2-7 (Измерения)'!C14</f>
        <v>2.94</v>
      </c>
      <c r="C10" s="52">
        <f>'Задания 2-7 (Измерения)'!D14</f>
        <v>3.5700000000000003</v>
      </c>
      <c r="D10" s="52">
        <f>'Задания 2-7 (Измерения)'!E14</f>
        <v>3.7999999999999994</v>
      </c>
      <c r="E10" s="52">
        <f>'Задания 2-7 (Измерения)'!F14</f>
        <v>4.9433333333333325</v>
      </c>
      <c r="F10" s="52">
        <f>'Задания 2-7 (Измерения)'!G14</f>
        <v>5.2600000000000007</v>
      </c>
      <c r="G10" s="53">
        <f>'Задания 2-7 (Измерения)'!H14</f>
        <v>5.8266666666666671</v>
      </c>
      <c r="I10" s="211" t="s">
        <v>55</v>
      </c>
      <c r="J10" s="212"/>
      <c r="K10" s="209">
        <f>K6/B5</f>
        <v>1.1424637953673275E-2</v>
      </c>
      <c r="L10" s="210"/>
      <c r="O10" s="20"/>
      <c r="P10" s="18"/>
      <c r="Q10" s="20"/>
      <c r="R10" s="18"/>
    </row>
    <row r="11" spans="1:23" x14ac:dyDescent="0.35">
      <c r="A11" s="29" t="s">
        <v>17</v>
      </c>
      <c r="B11" s="26">
        <f>(2*'Данные об установке'!$B$11)/(B10^2)</f>
        <v>0.16196954972465177</v>
      </c>
      <c r="C11" s="24">
        <f>(2*'Данные об установке'!$B$11)/(C10^2)</f>
        <v>0.1098478607129126</v>
      </c>
      <c r="D11" s="24">
        <f>(2*'Данные об установке'!$B$11)/(D10^2)</f>
        <v>9.6952908587257636E-2</v>
      </c>
      <c r="E11" s="24">
        <f>(2*'Данные об установке'!$B$11)/(E10^2)</f>
        <v>5.7291242760728597E-2</v>
      </c>
      <c r="F11" s="24">
        <f>(2*'Данные об установке'!$B$11)/(F10^2)</f>
        <v>5.0600702626899315E-2</v>
      </c>
      <c r="G11" s="38">
        <f>(2*'Данные об установке'!$B$11)/(G10^2)</f>
        <v>4.1237059418020715E-2</v>
      </c>
      <c r="I11" s="177" t="s">
        <v>50</v>
      </c>
      <c r="J11" s="197"/>
      <c r="K11" s="197"/>
      <c r="L11" s="198"/>
    </row>
    <row r="12" spans="1:23" x14ac:dyDescent="0.35">
      <c r="A12" s="30" t="s">
        <v>22</v>
      </c>
      <c r="B12" s="26">
        <f>2*B11/'Данные об установке'!$B$7</f>
        <v>7.0421543358544252</v>
      </c>
      <c r="C12" s="24">
        <f>2*C11/'Данные об установке'!$B$7</f>
        <v>4.7759939440396781</v>
      </c>
      <c r="D12" s="24">
        <f>2*D11/'Данные об установке'!$B$7</f>
        <v>4.2153438516198971</v>
      </c>
      <c r="E12" s="24">
        <f>2*E11/'Данные об установке'!$B$7</f>
        <v>2.4909235982925479</v>
      </c>
      <c r="F12" s="24">
        <f>2*F11/'Данные об установке'!$B$7</f>
        <v>2.2000305489956222</v>
      </c>
      <c r="G12" s="38">
        <f>2*G11/'Данные об установке'!$B$7</f>
        <v>1.7929156268704658</v>
      </c>
      <c r="I12" s="195" t="s">
        <v>52</v>
      </c>
      <c r="J12" s="196"/>
      <c r="K12" s="199" t="s">
        <v>19</v>
      </c>
      <c r="L12" s="200"/>
    </row>
    <row r="13" spans="1:23" ht="15" thickBot="1" x14ac:dyDescent="0.4">
      <c r="A13" s="31" t="s">
        <v>18</v>
      </c>
      <c r="B13" s="39">
        <f>('Данные об установке'!$B$2+3*'Данные об установке'!$B$3)*'Данные об установке'!$B$7*('Данные об установке'!$B$12-'Задания 8-9'!B11)/2</f>
        <v>0.15672401315192744</v>
      </c>
      <c r="C13" s="39">
        <f>('Данные об установке'!$B$2+3*'Данные об установке'!$B$3)*'Данные об установке'!$B$7*('Данные об установке'!$B$12-'Задания 8-9'!C11)/2</f>
        <v>0.15757156393694735</v>
      </c>
      <c r="D13" s="39">
        <f>('Данные об установке'!$B$2+3*'Данные об установке'!$B$3)*'Данные об установке'!$B$7*('Данные об установке'!$B$12-'Задания 8-9'!D11)/2</f>
        <v>0.15778124875346264</v>
      </c>
      <c r="E13" s="39">
        <f>('Данные об установке'!$B$2+3*'Данные об установке'!$B$3)*'Данные об установке'!$B$7*('Данные об установке'!$B$12-'Задания 8-9'!E11)/2</f>
        <v>0.15842618710146783</v>
      </c>
      <c r="F13" s="39">
        <f>('Данные об установке'!$B$2+3*'Данные об установке'!$B$3)*'Данные об установке'!$B$7*('Данные об установке'!$B$12-'Задания 8-9'!F11)/2</f>
        <v>0.15853498197458402</v>
      </c>
      <c r="G13" s="39">
        <f>('Данные об установке'!$B$2+3*'Данные об установке'!$B$3)*'Данные об установке'!$B$7*('Данные об установке'!$B$12-'Задания 8-9'!G11)/2</f>
        <v>0.15868724417680358</v>
      </c>
      <c r="I13" s="195" t="s">
        <v>53</v>
      </c>
      <c r="J13" s="196"/>
      <c r="K13" s="199" t="s">
        <v>20</v>
      </c>
      <c r="L13" s="200"/>
    </row>
    <row r="14" spans="1:23" ht="15" thickBot="1" x14ac:dyDescent="0.4">
      <c r="A14" s="34" t="s">
        <v>11</v>
      </c>
      <c r="B14" s="256">
        <f>'Задания 2-7 (Измерения)'!C18</f>
        <v>2.6033333333333335</v>
      </c>
      <c r="C14" s="52">
        <f>'Задания 2-7 (Измерения)'!D18</f>
        <v>3.1333333333333333</v>
      </c>
      <c r="D14" s="52">
        <f>'Задания 2-7 (Измерения)'!E18</f>
        <v>3.5199999999999996</v>
      </c>
      <c r="E14" s="52">
        <f>'Задания 2-7 (Измерения)'!F18</f>
        <v>4.3066666666666666</v>
      </c>
      <c r="F14" s="52">
        <f>'Задания 2-7 (Измерения)'!G18</f>
        <v>4.6566666666666663</v>
      </c>
      <c r="G14" s="53">
        <f>'Задания 2-7 (Измерения)'!H18</f>
        <v>5.043333333333333</v>
      </c>
      <c r="I14" s="211" t="s">
        <v>54</v>
      </c>
      <c r="J14" s="212"/>
      <c r="K14" s="201" t="s">
        <v>21</v>
      </c>
      <c r="L14" s="202"/>
    </row>
    <row r="15" spans="1:23" x14ac:dyDescent="0.35">
      <c r="A15" s="29" t="s">
        <v>17</v>
      </c>
      <c r="B15" s="26">
        <f>(2*'Данные об установке'!$B$11)/(B14^2)</f>
        <v>0.20657058402094558</v>
      </c>
      <c r="C15" s="24">
        <f>(2*'Данные об установке'!$B$11)/(C14^2)</f>
        <v>0.14259846084200994</v>
      </c>
      <c r="D15" s="24">
        <f>(2*'Данные об установке'!$B$11)/(D14^2)</f>
        <v>0.11299070247933886</v>
      </c>
      <c r="E15" s="24">
        <f>(2*'Данные об установке'!$B$11)/(E14^2)</f>
        <v>7.5482368277276682E-2</v>
      </c>
      <c r="F15" s="24">
        <f>(2*'Данные об установке'!$B$11)/(F14^2)</f>
        <v>6.4562112595299578E-2</v>
      </c>
      <c r="G15" s="38">
        <f>(2*'Данные об установке'!$B$11)/(G14^2)</f>
        <v>5.5041807747702336E-2</v>
      </c>
      <c r="J15" s="18"/>
      <c r="K15" s="18"/>
      <c r="L15" s="18"/>
    </row>
    <row r="16" spans="1:23" x14ac:dyDescent="0.35">
      <c r="A16" s="30" t="s">
        <v>22</v>
      </c>
      <c r="B16" s="26">
        <f>2*B15/'Данные об установке'!$B$7</f>
        <v>8.9813297400411116</v>
      </c>
      <c r="C16" s="24">
        <f>2*C15/'Данные об установке'!$B$7</f>
        <v>6.1999330800873889</v>
      </c>
      <c r="D16" s="24">
        <f>2*D15/'Данные об установке'!$B$7</f>
        <v>4.9126392382321242</v>
      </c>
      <c r="E16" s="24">
        <f>2*E15/'Данные об установке'!$B$7</f>
        <v>3.2818420990120298</v>
      </c>
      <c r="F16" s="24">
        <f>2*F15/'Данные об установке'!$B$7</f>
        <v>2.8070483737086773</v>
      </c>
      <c r="G16" s="38">
        <f>2*G15/'Данные об установке'!$B$7</f>
        <v>2.393122075987058</v>
      </c>
      <c r="I16" s="59"/>
    </row>
    <row r="17" spans="1:7" ht="15" thickBot="1" x14ac:dyDescent="0.4">
      <c r="A17" s="31" t="s">
        <v>18</v>
      </c>
      <c r="B17" s="39">
        <f>('Данные об установке'!$B$2+4*'Данные об установке'!$B$3)*'Данные об установке'!$B$7*('Данные об установке'!$B$12-'Задания 8-9'!B15)/2</f>
        <v>0.20454150857808942</v>
      </c>
      <c r="C17" s="39">
        <f>('Данные об установке'!$B$2+4*'Данные об установке'!$B$3)*'Данные об установке'!$B$7*('Данные об установке'!$B$12-'Задания 8-9'!C15)/2</f>
        <v>0.20590545821638753</v>
      </c>
      <c r="D17" s="39">
        <f>('Данные об установке'!$B$2+4*'Данные об установке'!$B$3)*'Данные об установке'!$B$7*('Данные об установке'!$B$12-'Задания 8-9'!D15)/2</f>
        <v>0.20653672523243805</v>
      </c>
      <c r="E17" s="39">
        <f>('Данные об установке'!$B$2+4*'Данные об установке'!$B$3)*'Данные об установке'!$B$7*('Данные об установке'!$B$12-'Задания 8-9'!E15)/2</f>
        <v>0.20733644042596019</v>
      </c>
      <c r="F17" s="39">
        <f>('Данные об установке'!$B$2+4*'Данные об установке'!$B$3)*'Данные об установке'!$B$7*('Данные об установке'!$B$12-'Задания 8-9'!F15)/2</f>
        <v>0.20756927119735563</v>
      </c>
      <c r="G17" s="39">
        <f>('Данные об установке'!$B$2+4*'Данные об установке'!$B$3)*'Данные об установке'!$B$7*('Данные об установке'!$B$12-'Задания 8-9'!G15)/2</f>
        <v>0.20777225361701124</v>
      </c>
    </row>
    <row r="18" spans="1:7" x14ac:dyDescent="0.35">
      <c r="A18" s="182"/>
      <c r="B18" s="183"/>
      <c r="C18" s="183"/>
      <c r="D18" s="183"/>
      <c r="E18" s="183"/>
      <c r="F18" s="183"/>
      <c r="G18" s="184"/>
    </row>
    <row r="19" spans="1:7" x14ac:dyDescent="0.35">
      <c r="A19" s="185"/>
      <c r="B19" s="183"/>
      <c r="C19" s="183"/>
      <c r="D19" s="183"/>
      <c r="E19" s="183"/>
      <c r="F19" s="183"/>
      <c r="G19" s="184"/>
    </row>
    <row r="20" spans="1:7" ht="15" thickBot="1" x14ac:dyDescent="0.4">
      <c r="A20" s="186"/>
      <c r="B20" s="187"/>
      <c r="C20" s="187"/>
      <c r="D20" s="187"/>
      <c r="E20" s="187"/>
      <c r="F20" s="187"/>
      <c r="G20" s="188"/>
    </row>
  </sheetData>
  <mergeCells count="23">
    <mergeCell ref="I14:J14"/>
    <mergeCell ref="I5:J5"/>
    <mergeCell ref="I6:J6"/>
    <mergeCell ref="I8:J8"/>
    <mergeCell ref="I9:J9"/>
    <mergeCell ref="I10:J10"/>
    <mergeCell ref="I12:J12"/>
    <mergeCell ref="A18:G20"/>
    <mergeCell ref="I1:L2"/>
    <mergeCell ref="I3:L3"/>
    <mergeCell ref="I4:J4"/>
    <mergeCell ref="I7:L7"/>
    <mergeCell ref="I11:L11"/>
    <mergeCell ref="K12:L12"/>
    <mergeCell ref="K13:L13"/>
    <mergeCell ref="K14:L14"/>
    <mergeCell ref="K4:L4"/>
    <mergeCell ref="K5:L5"/>
    <mergeCell ref="K6:L6"/>
    <mergeCell ref="K8:L8"/>
    <mergeCell ref="K9:L9"/>
    <mergeCell ref="K10:L10"/>
    <mergeCell ref="I13:J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B016-3B32-46D8-A27B-85E8F6988517}">
  <dimension ref="A1:S18"/>
  <sheetViews>
    <sheetView zoomScale="98" zoomScaleNormal="100" workbookViewId="0">
      <selection activeCell="C4" sqref="C4"/>
    </sheetView>
  </sheetViews>
  <sheetFormatPr defaultRowHeight="14.5" x14ac:dyDescent="0.35"/>
  <cols>
    <col min="2" max="2" width="9.6328125" customWidth="1"/>
    <col min="10" max="10" width="12.6328125" customWidth="1"/>
    <col min="11" max="11" width="4.26953125" customWidth="1"/>
    <col min="18" max="18" width="10.1796875" customWidth="1"/>
    <col min="19" max="19" width="12.81640625" customWidth="1"/>
  </cols>
  <sheetData>
    <row r="1" spans="1:19" ht="15" thickBot="1" x14ac:dyDescent="0.4">
      <c r="J1" s="58"/>
      <c r="K1" s="58"/>
      <c r="L1" s="58"/>
      <c r="M1" s="58"/>
      <c r="N1" s="58"/>
      <c r="O1" s="58"/>
      <c r="P1" s="58"/>
      <c r="Q1" s="58"/>
      <c r="R1" s="58"/>
      <c r="S1" s="58"/>
    </row>
    <row r="2" spans="1:19" ht="15" thickBot="1" x14ac:dyDescent="0.4">
      <c r="A2" s="60"/>
      <c r="B2" s="64"/>
      <c r="C2" s="82" t="s">
        <v>1</v>
      </c>
      <c r="D2" s="65" t="s">
        <v>2</v>
      </c>
      <c r="E2" s="65" t="s">
        <v>3</v>
      </c>
      <c r="F2" s="65" t="s">
        <v>4</v>
      </c>
      <c r="G2" s="65" t="s">
        <v>5</v>
      </c>
      <c r="H2" s="66" t="s">
        <v>6</v>
      </c>
      <c r="I2" s="58"/>
      <c r="J2" s="213"/>
      <c r="K2" s="214"/>
      <c r="L2" s="122" t="s">
        <v>1</v>
      </c>
      <c r="M2" s="122" t="s">
        <v>2</v>
      </c>
      <c r="N2" s="122" t="s">
        <v>3</v>
      </c>
      <c r="O2" s="122" t="s">
        <v>4</v>
      </c>
      <c r="P2" s="122" t="s">
        <v>5</v>
      </c>
      <c r="Q2" s="122" t="s">
        <v>6</v>
      </c>
      <c r="R2" s="123" t="s">
        <v>74</v>
      </c>
      <c r="S2" s="121" t="s">
        <v>75</v>
      </c>
    </row>
    <row r="3" spans="1:19" x14ac:dyDescent="0.35">
      <c r="A3" s="226" t="s">
        <v>60</v>
      </c>
      <c r="B3" s="127" t="s">
        <v>22</v>
      </c>
      <c r="C3" s="77">
        <f>'Задания 8-9'!B4</f>
        <v>2.6789871727542751</v>
      </c>
      <c r="D3" s="72">
        <f>'Задания 8-9'!C4</f>
        <v>1.9203633546937178</v>
      </c>
      <c r="E3" s="72">
        <f>'Задания 8-9'!D4</f>
        <v>1.4318746757826626</v>
      </c>
      <c r="F3" s="72">
        <f>'Задания 8-9'!E4</f>
        <v>1.0612704087353269</v>
      </c>
      <c r="G3" s="72">
        <f>'Задания 8-9'!F4</f>
        <v>0.84050650603066435</v>
      </c>
      <c r="H3" s="73">
        <f>'Задания 8-9'!G4</f>
        <v>0.67921306159060924</v>
      </c>
      <c r="I3" s="67"/>
      <c r="J3" s="112" t="s">
        <v>82</v>
      </c>
      <c r="K3" s="117" t="s">
        <v>64</v>
      </c>
      <c r="L3" s="67">
        <f>SUM(C3,C6,C9,C12)/4</f>
        <v>5.8629552317457856</v>
      </c>
      <c r="M3" s="67">
        <f t="shared" ref="M3:Q4" si="0">SUM(D3,D6,D9,D12)/4</f>
        <v>3.9983194245945648</v>
      </c>
      <c r="N3" s="67">
        <f t="shared" si="0"/>
        <v>3.262695340981808</v>
      </c>
      <c r="O3" s="67">
        <f t="shared" si="0"/>
        <v>2.2227212651138575</v>
      </c>
      <c r="P3" s="67">
        <f t="shared" si="0"/>
        <v>1.8668630070230792</v>
      </c>
      <c r="Q3" s="67">
        <f t="shared" si="0"/>
        <v>1.5393628987651171</v>
      </c>
      <c r="R3" s="124" t="s">
        <v>78</v>
      </c>
      <c r="S3" s="68" t="s">
        <v>18</v>
      </c>
    </row>
    <row r="4" spans="1:19" x14ac:dyDescent="0.35">
      <c r="A4" s="227"/>
      <c r="B4" s="106" t="s">
        <v>18</v>
      </c>
      <c r="C4" s="78">
        <f>'Задания 8-9'!B5</f>
        <v>5.9803411814758678E-2</v>
      </c>
      <c r="D4" s="50">
        <f>'Задания 8-9'!C5</f>
        <v>5.9910562118693007E-2</v>
      </c>
      <c r="E4" s="50">
        <f>'Задания 8-9'!D5</f>
        <v>5.9979557725168442E-2</v>
      </c>
      <c r="F4" s="50">
        <f>'Задания 8-9'!E5</f>
        <v>6.0031902983659007E-2</v>
      </c>
      <c r="G4" s="50">
        <f>'Задания 8-9'!F5</f>
        <v>6.0063084339568723E-2</v>
      </c>
      <c r="H4" s="70">
        <f>'Задания 8-9'!G5</f>
        <v>6.008586590954177E-2</v>
      </c>
      <c r="I4" s="67"/>
      <c r="J4" s="112" t="s">
        <v>83</v>
      </c>
      <c r="K4" s="118" t="s">
        <v>65</v>
      </c>
      <c r="L4" s="67">
        <f>SUM(C4,C7,C10,C13)/4</f>
        <v>0.13240379795814855</v>
      </c>
      <c r="M4" s="67">
        <f t="shared" si="0"/>
        <v>0.13308988227695037</v>
      </c>
      <c r="N4" s="67">
        <f t="shared" si="0"/>
        <v>0.13335640312522656</v>
      </c>
      <c r="O4" s="67">
        <f t="shared" si="0"/>
        <v>0.13375860972822592</v>
      </c>
      <c r="P4" s="67">
        <f t="shared" si="0"/>
        <v>0.13387995565464555</v>
      </c>
      <c r="Q4" s="67">
        <f t="shared" si="0"/>
        <v>0.13399556576219293</v>
      </c>
      <c r="R4" s="125" t="s">
        <v>77</v>
      </c>
      <c r="S4" s="68" t="s">
        <v>76</v>
      </c>
    </row>
    <row r="5" spans="1:19" ht="15" thickBot="1" x14ac:dyDescent="0.4">
      <c r="A5" s="228"/>
      <c r="B5" s="107" t="s">
        <v>66</v>
      </c>
      <c r="C5" s="83">
        <f>L$6+L$5*C3</f>
        <v>6.0017972131776801E-2</v>
      </c>
      <c r="D5" s="129">
        <f t="shared" ref="D5:H5" si="1">M$6+M$5*D3</f>
        <v>0.10355897509861353</v>
      </c>
      <c r="E5" s="129">
        <f t="shared" si="1"/>
        <v>0.11817259475361062</v>
      </c>
      <c r="F5" s="129">
        <f t="shared" si="1"/>
        <v>0.13052948805030606</v>
      </c>
      <c r="G5" s="129">
        <f t="shared" si="1"/>
        <v>0.13176887748709504</v>
      </c>
      <c r="H5" s="130">
        <f t="shared" si="1"/>
        <v>0.13274125924126526</v>
      </c>
      <c r="I5" s="57"/>
      <c r="J5" s="105" t="s">
        <v>73</v>
      </c>
      <c r="K5" s="118" t="s">
        <v>81</v>
      </c>
      <c r="L5" s="57">
        <f>SUM((C3-$L$3)*(C4-$L$4),(C6-$L$3)*(C7-$L$4),(C9-$L$3)*(C10-$L$4),(C12-$L$3)*(C13-$L$4))/SUM((C3-$L$3)^2,(C6-$L$3)^2,(C9-$L$3)^2,(C12-$L$3)^2)</f>
        <v>2.2734469845560962E-2</v>
      </c>
      <c r="M5" s="57">
        <f>SUM((D3-$L$3)*(D4-$L$4),(D6-$L$3)*(D7-$L$4),(D9-$L$3)*(D10-$L$4),(D12-$L$3)*(D13-$L$4))/SUM((D3-$L$3)^2,(D6-$L$3)^2,(D9-$L$3)^2,(D12-$L$3)^2)</f>
        <v>1.4211516598493804E-2</v>
      </c>
      <c r="N5" s="57">
        <f t="shared" ref="M5:Q5" si="2">SUM((E3-$L$3)*(E4-$L$4),(E6-$L$3)*(E7-$L$4),(E9-$L$3)*(E10-$L$4),(E12-$L$3)*(E13-$L$4))/SUM((E3-$L$3)^2,(E6-$L$3)^2,(E9-$L$3)^2,(E12-$L$3)^2)</f>
        <v>8.2934438420075082E-3</v>
      </c>
      <c r="O5" s="57">
        <f t="shared" si="2"/>
        <v>2.780248221597986E-3</v>
      </c>
      <c r="P5" s="57">
        <f t="shared" si="2"/>
        <v>2.0568663671046536E-3</v>
      </c>
      <c r="Q5" s="57">
        <f t="shared" si="2"/>
        <v>1.4582418861438455E-3</v>
      </c>
      <c r="R5" s="125" t="s">
        <v>80</v>
      </c>
      <c r="S5" s="120" t="s">
        <v>73</v>
      </c>
    </row>
    <row r="6" spans="1:19" ht="15" thickBot="1" x14ac:dyDescent="0.4">
      <c r="A6" s="229" t="s">
        <v>61</v>
      </c>
      <c r="B6" s="128" t="s">
        <v>22</v>
      </c>
      <c r="C6" s="79">
        <f>'Задания 8-9'!B8</f>
        <v>4.7493496783333313</v>
      </c>
      <c r="D6" s="69">
        <f>'Задания 8-9'!C8</f>
        <v>3.0969873195574746</v>
      </c>
      <c r="E6" s="69">
        <f>'Задания 8-9'!D8</f>
        <v>2.4909235982925479</v>
      </c>
      <c r="F6" s="69">
        <f>'Задания 8-9'!E8</f>
        <v>2.0568489544155253</v>
      </c>
      <c r="G6" s="69">
        <f>'Задания 8-9'!F8</f>
        <v>1.6198665993573524</v>
      </c>
      <c r="H6" s="74">
        <f>'Задания 8-9'!G8</f>
        <v>1.2922008306123363</v>
      </c>
      <c r="I6" s="67"/>
      <c r="J6" s="114" t="s">
        <v>76</v>
      </c>
      <c r="K6" s="119" t="s">
        <v>17</v>
      </c>
      <c r="L6" s="80">
        <f>L4-L5*L3</f>
        <v>-8.8738096384988197E-4</v>
      </c>
      <c r="M6" s="80">
        <f t="shared" ref="M6:P6" si="3">M4-M5*M3</f>
        <v>7.6267699408244516E-2</v>
      </c>
      <c r="N6" s="80">
        <f t="shared" si="3"/>
        <v>0.10629742254121441</v>
      </c>
      <c r="O6" s="80">
        <f t="shared" si="3"/>
        <v>0.1275788928837851</v>
      </c>
      <c r="P6" s="80">
        <f t="shared" si="3"/>
        <v>0.13004006792350792</v>
      </c>
      <c r="Q6" s="80">
        <f>Q4-Q5*Q3</f>
        <v>0.13175080230523784</v>
      </c>
      <c r="R6" s="126" t="s">
        <v>79</v>
      </c>
      <c r="S6" s="81" t="s">
        <v>22</v>
      </c>
    </row>
    <row r="7" spans="1:19" x14ac:dyDescent="0.35">
      <c r="A7" s="227"/>
      <c r="B7" s="106" t="s">
        <v>18</v>
      </c>
      <c r="C7" s="78">
        <f>'Задания 8-9'!B9</f>
        <v>0.10854625828781873</v>
      </c>
      <c r="D7" s="50">
        <f>'Задания 8-9'!C9</f>
        <v>0.10897194483577365</v>
      </c>
      <c r="E7" s="50">
        <f>'Задания 8-9'!D9</f>
        <v>0.10912808078983709</v>
      </c>
      <c r="F7" s="50">
        <f>'Задания 8-9'!E9</f>
        <v>0.1092399084018166</v>
      </c>
      <c r="G7" s="50">
        <f>'Задания 8-9'!F9</f>
        <v>0.10935248510707377</v>
      </c>
      <c r="H7" s="70">
        <f>'Задания 8-9'!G9</f>
        <v>0.10943689934541517</v>
      </c>
      <c r="I7" s="67"/>
      <c r="J7" s="215"/>
      <c r="K7" s="216"/>
      <c r="L7" s="216"/>
      <c r="M7" s="216"/>
      <c r="N7" s="216"/>
      <c r="O7" s="216"/>
      <c r="P7" s="216"/>
      <c r="Q7" s="216"/>
      <c r="R7" s="216"/>
      <c r="S7" s="217"/>
    </row>
    <row r="8" spans="1:19" ht="15" thickBot="1" x14ac:dyDescent="0.4">
      <c r="A8" s="228"/>
      <c r="B8" s="107" t="s">
        <v>66</v>
      </c>
      <c r="C8" s="131">
        <f>L$6+L$5*C6</f>
        <v>0.1070865660842439</v>
      </c>
      <c r="D8" s="132">
        <f t="shared" ref="D8:H8" si="4">M$6+M$5*D6</f>
        <v>0.1202805861054604</v>
      </c>
      <c r="E8" s="132">
        <f t="shared" si="4"/>
        <v>0.12695575751838492</v>
      </c>
      <c r="F8" s="132">
        <f t="shared" si="4"/>
        <v>0.13329744353139455</v>
      </c>
      <c r="G8" s="132">
        <f t="shared" si="4"/>
        <v>0.13337191705092225</v>
      </c>
      <c r="H8" s="133">
        <f t="shared" si="4"/>
        <v>0.13363514368174662</v>
      </c>
      <c r="I8" s="57"/>
      <c r="J8" s="218"/>
      <c r="K8" s="219"/>
      <c r="L8" s="219"/>
      <c r="M8" s="219"/>
      <c r="N8" s="219"/>
      <c r="O8" s="219"/>
      <c r="P8" s="219"/>
      <c r="Q8" s="219"/>
      <c r="R8" s="219"/>
      <c r="S8" s="220"/>
    </row>
    <row r="9" spans="1:19" x14ac:dyDescent="0.35">
      <c r="A9" s="229" t="s">
        <v>62</v>
      </c>
      <c r="B9" s="128" t="s">
        <v>22</v>
      </c>
      <c r="C9" s="77">
        <f>'Задания 8-9'!B12</f>
        <v>7.0421543358544252</v>
      </c>
      <c r="D9" s="72">
        <f>'Задания 8-9'!C12</f>
        <v>4.7759939440396781</v>
      </c>
      <c r="E9" s="72">
        <f>'Задания 8-9'!D12</f>
        <v>4.2153438516198971</v>
      </c>
      <c r="F9" s="72">
        <f>'Задания 8-9'!E12</f>
        <v>2.4909235982925479</v>
      </c>
      <c r="G9" s="72">
        <f>'Задания 8-9'!F12</f>
        <v>2.2000305489956222</v>
      </c>
      <c r="H9" s="73">
        <f>'Задания 8-9'!G12</f>
        <v>1.7929156268704658</v>
      </c>
      <c r="I9" s="67"/>
      <c r="J9" s="218"/>
      <c r="K9" s="219"/>
      <c r="L9" s="219"/>
      <c r="M9" s="219"/>
      <c r="N9" s="219"/>
      <c r="O9" s="219"/>
      <c r="P9" s="219"/>
      <c r="Q9" s="219"/>
      <c r="R9" s="219"/>
      <c r="S9" s="220"/>
    </row>
    <row r="10" spans="1:19" ht="15" thickBot="1" x14ac:dyDescent="0.4">
      <c r="A10" s="227"/>
      <c r="B10" s="106" t="s">
        <v>18</v>
      </c>
      <c r="C10" s="78">
        <f>'Задания 8-9'!B13</f>
        <v>0.15672401315192744</v>
      </c>
      <c r="D10" s="50">
        <f>'Задания 8-9'!C13</f>
        <v>0.15757156393694735</v>
      </c>
      <c r="E10" s="50">
        <f>'Задания 8-9'!D13</f>
        <v>0.15778124875346264</v>
      </c>
      <c r="F10" s="50">
        <f>'Задания 8-9'!E13</f>
        <v>0.15842618710146783</v>
      </c>
      <c r="G10" s="50">
        <f>'Задания 8-9'!F13</f>
        <v>0.15853498197458402</v>
      </c>
      <c r="H10" s="70">
        <f>'Задания 8-9'!G13</f>
        <v>0.15868724417680358</v>
      </c>
      <c r="I10" s="67"/>
      <c r="J10" s="221"/>
      <c r="K10" s="222"/>
      <c r="L10" s="222"/>
      <c r="M10" s="222"/>
      <c r="N10" s="222"/>
      <c r="O10" s="222"/>
      <c r="P10" s="222"/>
      <c r="Q10" s="222"/>
      <c r="R10" s="222"/>
      <c r="S10" s="223"/>
    </row>
    <row r="11" spans="1:19" ht="15" thickBot="1" x14ac:dyDescent="0.4">
      <c r="A11" s="230"/>
      <c r="B11" s="56" t="s">
        <v>66</v>
      </c>
      <c r="C11" s="83">
        <f>L$6+L$5*C9</f>
        <v>0.15921226443241893</v>
      </c>
      <c r="D11" s="129">
        <f t="shared" ref="D11:H11" si="5">M$6+M$5*D9</f>
        <v>0.1441418166182703</v>
      </c>
      <c r="E11" s="129">
        <f t="shared" si="5"/>
        <v>0.14125714004937565</v>
      </c>
      <c r="F11" s="129">
        <f t="shared" si="5"/>
        <v>0.13450427878807442</v>
      </c>
      <c r="G11" s="129">
        <f t="shared" si="5"/>
        <v>0.1345652367663398</v>
      </c>
      <c r="H11" s="130">
        <f t="shared" si="5"/>
        <v>0.13436530697066221</v>
      </c>
      <c r="I11" s="57"/>
      <c r="J11" s="162"/>
      <c r="K11" s="148"/>
      <c r="L11" s="57"/>
      <c r="M11" s="57"/>
      <c r="N11" s="57"/>
      <c r="O11" s="57"/>
      <c r="P11" s="57"/>
      <c r="Q11" s="57"/>
      <c r="R11" s="57"/>
      <c r="S11" s="57"/>
    </row>
    <row r="12" spans="1:19" x14ac:dyDescent="0.35">
      <c r="A12" s="226" t="s">
        <v>63</v>
      </c>
      <c r="B12" s="127" t="s">
        <v>22</v>
      </c>
      <c r="C12" s="79">
        <f>'Задания 8-9'!B16</f>
        <v>8.9813297400411116</v>
      </c>
      <c r="D12" s="69">
        <f>'Задания 8-9'!C16</f>
        <v>6.1999330800873889</v>
      </c>
      <c r="E12" s="69">
        <f>'Задания 8-9'!D16</f>
        <v>4.9126392382321242</v>
      </c>
      <c r="F12" s="69">
        <f>'Задания 8-9'!E16</f>
        <v>3.2818420990120298</v>
      </c>
      <c r="G12" s="69">
        <f>'Задания 8-9'!F16</f>
        <v>2.8070483737086773</v>
      </c>
      <c r="H12" s="74">
        <f>'Задания 8-9'!G16</f>
        <v>2.393122075987058</v>
      </c>
      <c r="I12" s="67"/>
      <c r="J12" s="67"/>
      <c r="K12" s="110"/>
      <c r="L12" s="67"/>
      <c r="M12" s="67"/>
      <c r="N12" s="67"/>
      <c r="O12" s="67"/>
      <c r="P12" s="67"/>
      <c r="Q12" s="67"/>
      <c r="R12" s="67"/>
      <c r="S12" s="67"/>
    </row>
    <row r="13" spans="1:19" x14ac:dyDescent="0.35">
      <c r="A13" s="227"/>
      <c r="B13" s="106" t="s">
        <v>18</v>
      </c>
      <c r="C13" s="78">
        <f>'Задания 8-9'!B17</f>
        <v>0.20454150857808942</v>
      </c>
      <c r="D13" s="50">
        <f>'Задания 8-9'!C17</f>
        <v>0.20590545821638753</v>
      </c>
      <c r="E13" s="50">
        <f>'Задания 8-9'!D17</f>
        <v>0.20653672523243805</v>
      </c>
      <c r="F13" s="50">
        <f>'Задания 8-9'!E17</f>
        <v>0.20733644042596019</v>
      </c>
      <c r="G13" s="50">
        <f>'Задания 8-9'!F17</f>
        <v>0.20756927119735563</v>
      </c>
      <c r="H13" s="70">
        <f>'Задания 8-9'!G17</f>
        <v>0.20777225361701124</v>
      </c>
      <c r="I13" s="67"/>
      <c r="J13" s="67"/>
      <c r="K13" s="41"/>
      <c r="L13" s="67"/>
      <c r="M13" s="67"/>
      <c r="N13" s="67"/>
      <c r="O13" s="67"/>
      <c r="P13" s="67"/>
      <c r="Q13" s="67"/>
      <c r="R13" s="67"/>
      <c r="S13" s="67"/>
    </row>
    <row r="14" spans="1:19" ht="15" thickBot="1" x14ac:dyDescent="0.4">
      <c r="A14" s="228"/>
      <c r="B14" s="107" t="s">
        <v>66</v>
      </c>
      <c r="C14" s="83">
        <f>L$6+L$5*C12</f>
        <v>0.20329838918415463</v>
      </c>
      <c r="D14" s="129">
        <f t="shared" ref="D14:H14" si="6">M$6+M$5*D12</f>
        <v>0.16437815128545724</v>
      </c>
      <c r="E14" s="129">
        <f t="shared" si="6"/>
        <v>0.14704012017953508</v>
      </c>
      <c r="F14" s="129">
        <f t="shared" si="6"/>
        <v>0.13670322854312869</v>
      </c>
      <c r="G14" s="129">
        <f t="shared" si="6"/>
        <v>0.13581379131422511</v>
      </c>
      <c r="H14" s="130">
        <f t="shared" si="6"/>
        <v>0.13524055315509767</v>
      </c>
      <c r="I14" s="57"/>
      <c r="J14" s="57"/>
      <c r="K14" s="41"/>
      <c r="L14" s="57"/>
      <c r="M14" s="57"/>
      <c r="N14" s="57"/>
      <c r="O14" s="57"/>
      <c r="P14" s="57"/>
      <c r="Q14" s="57"/>
      <c r="R14" s="57"/>
      <c r="S14" s="57"/>
    </row>
    <row r="15" spans="1:19" x14ac:dyDescent="0.35">
      <c r="A15" s="177"/>
      <c r="B15" s="197"/>
      <c r="C15" s="197"/>
      <c r="D15" s="197"/>
      <c r="E15" s="197"/>
      <c r="F15" s="197"/>
      <c r="G15" s="197"/>
      <c r="H15" s="198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</row>
    <row r="16" spans="1:19" ht="15" thickBot="1" x14ac:dyDescent="0.4">
      <c r="A16" s="179"/>
      <c r="B16" s="224"/>
      <c r="C16" s="224"/>
      <c r="D16" s="224"/>
      <c r="E16" s="224"/>
      <c r="F16" s="224"/>
      <c r="G16" s="224"/>
      <c r="H16" s="225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</row>
    <row r="18" spans="1:19" x14ac:dyDescent="0.35">
      <c r="A18" s="16"/>
      <c r="B18" s="41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</row>
  </sheetData>
  <mergeCells count="7">
    <mergeCell ref="J2:K2"/>
    <mergeCell ref="J7:S10"/>
    <mergeCell ref="A15:H16"/>
    <mergeCell ref="A12:A14"/>
    <mergeCell ref="A3:A5"/>
    <mergeCell ref="A9:A11"/>
    <mergeCell ref="A6:A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9C368-632A-4C82-912D-F65A6B8D09A2}">
  <dimension ref="A1:G27"/>
  <sheetViews>
    <sheetView workbookViewId="0">
      <selection activeCell="B6" sqref="B6"/>
    </sheetView>
  </sheetViews>
  <sheetFormatPr defaultRowHeight="14.5" x14ac:dyDescent="0.35"/>
  <cols>
    <col min="1" max="1" width="8.7265625" style="87"/>
  </cols>
  <sheetData>
    <row r="1" spans="1:7" ht="15" customHeight="1" x14ac:dyDescent="0.35">
      <c r="A1" s="231"/>
      <c r="B1" s="233" t="s">
        <v>7</v>
      </c>
      <c r="C1" s="168"/>
      <c r="D1" s="168"/>
      <c r="E1" s="168"/>
      <c r="F1" s="168"/>
      <c r="G1" s="169"/>
    </row>
    <row r="2" spans="1:7" ht="15" thickBot="1" x14ac:dyDescent="0.4">
      <c r="A2" s="232"/>
      <c r="B2" s="76" t="s">
        <v>1</v>
      </c>
      <c r="C2" s="71" t="s">
        <v>2</v>
      </c>
      <c r="D2" s="71" t="s">
        <v>3</v>
      </c>
      <c r="E2" s="71" t="s">
        <v>4</v>
      </c>
      <c r="F2" s="71" t="s">
        <v>5</v>
      </c>
      <c r="G2" s="75" t="s">
        <v>6</v>
      </c>
    </row>
    <row r="3" spans="1:7" ht="16" x14ac:dyDescent="0.35">
      <c r="A3" s="102" t="s">
        <v>68</v>
      </c>
      <c r="B3" s="95">
        <v>1</v>
      </c>
      <c r="C3" s="134">
        <v>2</v>
      </c>
      <c r="D3" s="134">
        <v>3</v>
      </c>
      <c r="E3" s="134">
        <v>4</v>
      </c>
      <c r="F3" s="134">
        <v>5</v>
      </c>
      <c r="G3" s="135">
        <v>6</v>
      </c>
    </row>
    <row r="4" spans="1:7" ht="16" x14ac:dyDescent="0.35">
      <c r="A4" s="103" t="s">
        <v>71</v>
      </c>
      <c r="B4" s="96">
        <f>$B$12+(B3-1)*$B$13+$B$14/2</f>
        <v>7.6999999999999999E-2</v>
      </c>
      <c r="C4" s="98">
        <f>$B$12+(C3-1)*$B$13+$B$14/2</f>
        <v>0.10200000000000001</v>
      </c>
      <c r="D4" s="98">
        <f>$B$12+(D3-1)*$B$13+$B$14/2</f>
        <v>0.127</v>
      </c>
      <c r="E4" s="98">
        <f t="shared" ref="C4:G4" si="0">$B$12+(E3-1)*$B$13+$B$14/2</f>
        <v>0.152</v>
      </c>
      <c r="F4" s="98">
        <f t="shared" si="0"/>
        <v>0.17699999999999999</v>
      </c>
      <c r="G4" s="99">
        <f t="shared" si="0"/>
        <v>0.20199999999999999</v>
      </c>
    </row>
    <row r="5" spans="1:7" ht="16" x14ac:dyDescent="0.35">
      <c r="A5" s="103" t="s">
        <v>72</v>
      </c>
      <c r="B5" s="96">
        <f>B4^2</f>
        <v>5.9290000000000002E-3</v>
      </c>
      <c r="C5" s="98">
        <f t="shared" ref="C5:G5" si="1">C4^2</f>
        <v>1.0404000000000002E-2</v>
      </c>
      <c r="D5" s="98">
        <f t="shared" si="1"/>
        <v>1.6129000000000001E-2</v>
      </c>
      <c r="E5" s="98">
        <f t="shared" si="1"/>
        <v>2.3104E-2</v>
      </c>
      <c r="F5" s="98">
        <f t="shared" si="1"/>
        <v>3.1328999999999996E-2</v>
      </c>
      <c r="G5" s="99">
        <f t="shared" si="1"/>
        <v>4.0803999999999993E-2</v>
      </c>
    </row>
    <row r="6" spans="1:7" ht="15" thickBot="1" x14ac:dyDescent="0.4">
      <c r="A6" s="104" t="s">
        <v>73</v>
      </c>
      <c r="B6" s="97">
        <f>'Задания 10-11 (МНК)'!L5</f>
        <v>2.2734469845560962E-2</v>
      </c>
      <c r="C6" s="100">
        <f>'Задания 10-11 (МНК)'!M5</f>
        <v>1.4211516598493804E-2</v>
      </c>
      <c r="D6" s="100">
        <f>'Задания 10-11 (МНК)'!N5</f>
        <v>8.2934438420075082E-3</v>
      </c>
      <c r="E6" s="100">
        <f>'Задания 10-11 (МНК)'!O5</f>
        <v>2.780248221597986E-3</v>
      </c>
      <c r="F6" s="100">
        <f>'Задания 10-11 (МНК)'!P5</f>
        <v>2.0568663671046536E-3</v>
      </c>
      <c r="G6" s="101">
        <f>'Задания 10-11 (МНК)'!Q5</f>
        <v>1.4582418861438455E-3</v>
      </c>
    </row>
    <row r="7" spans="1:7" x14ac:dyDescent="0.35">
      <c r="A7" s="185"/>
      <c r="B7" s="183"/>
      <c r="C7" s="183"/>
      <c r="D7" s="183"/>
      <c r="E7" s="183"/>
      <c r="F7" s="183"/>
      <c r="G7" s="184"/>
    </row>
    <row r="8" spans="1:7" x14ac:dyDescent="0.35">
      <c r="A8" s="185"/>
      <c r="B8" s="183"/>
      <c r="C8" s="183"/>
      <c r="D8" s="183"/>
      <c r="E8" s="183"/>
      <c r="F8" s="183"/>
      <c r="G8" s="184"/>
    </row>
    <row r="9" spans="1:7" x14ac:dyDescent="0.35">
      <c r="A9" s="185"/>
      <c r="B9" s="183"/>
      <c r="C9" s="183"/>
      <c r="D9" s="183"/>
      <c r="E9" s="183"/>
      <c r="F9" s="183"/>
      <c r="G9" s="184"/>
    </row>
    <row r="10" spans="1:7" x14ac:dyDescent="0.35">
      <c r="A10" s="185"/>
      <c r="B10" s="183"/>
      <c r="C10" s="183"/>
      <c r="D10" s="183"/>
      <c r="E10" s="183"/>
      <c r="F10" s="183"/>
      <c r="G10" s="184"/>
    </row>
    <row r="11" spans="1:7" ht="15" thickBot="1" x14ac:dyDescent="0.4">
      <c r="A11" s="186"/>
      <c r="B11" s="187"/>
      <c r="C11" s="187"/>
      <c r="D11" s="187"/>
      <c r="E11" s="187"/>
      <c r="F11" s="187"/>
      <c r="G11" s="188"/>
    </row>
    <row r="12" spans="1:7" ht="16" x14ac:dyDescent="0.35">
      <c r="A12" s="92" t="s">
        <v>67</v>
      </c>
      <c r="B12" s="93">
        <f>'Данные об установке'!$B$5</f>
        <v>5.7000000000000002E-2</v>
      </c>
      <c r="C12" s="58"/>
      <c r="D12" s="58"/>
      <c r="E12" s="58"/>
      <c r="F12" s="58"/>
      <c r="G12" s="61"/>
    </row>
    <row r="13" spans="1:7" ht="16" x14ac:dyDescent="0.35">
      <c r="A13" s="88" t="s">
        <v>69</v>
      </c>
      <c r="B13" s="90">
        <f>'Данные об установке'!B6</f>
        <v>2.5000000000000001E-2</v>
      </c>
      <c r="C13" s="58"/>
      <c r="D13" s="58"/>
      <c r="E13" s="58"/>
      <c r="F13" s="58"/>
      <c r="G13" s="61"/>
    </row>
    <row r="14" spans="1:7" ht="16.5" thickBot="1" x14ac:dyDescent="0.4">
      <c r="A14" s="89" t="s">
        <v>70</v>
      </c>
      <c r="B14" s="91">
        <f>'Данные об установке'!B9</f>
        <v>0.04</v>
      </c>
      <c r="C14" s="62"/>
      <c r="D14" s="62"/>
      <c r="E14" s="62"/>
      <c r="F14" s="62"/>
      <c r="G14" s="63"/>
    </row>
    <row r="15" spans="1:7" x14ac:dyDescent="0.35">
      <c r="A15" s="85"/>
      <c r="B15" s="84"/>
      <c r="C15" s="84"/>
      <c r="D15" s="84"/>
      <c r="E15" s="84"/>
      <c r="F15" s="84"/>
      <c r="G15" s="84"/>
    </row>
    <row r="16" spans="1:7" x14ac:dyDescent="0.35">
      <c r="A16" s="85"/>
      <c r="B16" s="84"/>
      <c r="C16" s="84"/>
      <c r="D16" s="84"/>
      <c r="E16" s="84"/>
      <c r="F16" s="84"/>
      <c r="G16" s="84"/>
    </row>
    <row r="17" spans="1:7" x14ac:dyDescent="0.35">
      <c r="A17" s="85"/>
      <c r="B17" s="84"/>
      <c r="C17" s="84"/>
      <c r="D17" s="84"/>
      <c r="E17" s="84"/>
      <c r="F17" s="84"/>
      <c r="G17" s="84"/>
    </row>
    <row r="18" spans="1:7" x14ac:dyDescent="0.35">
      <c r="A18" s="85"/>
      <c r="B18" s="84"/>
      <c r="C18" s="84"/>
      <c r="D18" s="84"/>
      <c r="E18" s="84"/>
      <c r="F18" s="84"/>
      <c r="G18" s="84"/>
    </row>
    <row r="19" spans="1:7" x14ac:dyDescent="0.35">
      <c r="A19" s="85"/>
      <c r="B19" s="84"/>
      <c r="C19" s="84"/>
      <c r="D19" s="84"/>
      <c r="E19" s="84"/>
      <c r="F19" s="84"/>
      <c r="G19" s="84"/>
    </row>
    <row r="20" spans="1:7" x14ac:dyDescent="0.35">
      <c r="A20" s="85"/>
      <c r="B20" s="84"/>
      <c r="C20" s="84"/>
      <c r="D20" s="84"/>
      <c r="E20" s="84"/>
      <c r="F20" s="84"/>
      <c r="G20" s="84"/>
    </row>
    <row r="21" spans="1:7" x14ac:dyDescent="0.35">
      <c r="A21" s="85"/>
      <c r="B21" s="84"/>
      <c r="C21" s="84"/>
      <c r="D21" s="84"/>
      <c r="E21" s="84"/>
      <c r="F21" s="84"/>
      <c r="G21" s="84"/>
    </row>
    <row r="22" spans="1:7" x14ac:dyDescent="0.35">
      <c r="A22" s="85"/>
      <c r="B22" s="84"/>
      <c r="C22" s="84"/>
      <c r="D22" s="84"/>
      <c r="E22" s="84"/>
      <c r="F22" s="84"/>
      <c r="G22" s="84"/>
    </row>
    <row r="23" spans="1:7" x14ac:dyDescent="0.35">
      <c r="A23" s="85"/>
      <c r="B23" s="84"/>
      <c r="C23" s="84"/>
      <c r="D23" s="84"/>
      <c r="E23" s="84"/>
      <c r="F23" s="84"/>
      <c r="G23" s="84"/>
    </row>
    <row r="24" spans="1:7" x14ac:dyDescent="0.35">
      <c r="A24" s="85"/>
      <c r="B24" s="84"/>
      <c r="C24" s="84"/>
      <c r="D24" s="84"/>
      <c r="E24" s="84"/>
      <c r="F24" s="84"/>
      <c r="G24" s="84"/>
    </row>
    <row r="25" spans="1:7" x14ac:dyDescent="0.35">
      <c r="A25" s="85"/>
      <c r="B25" s="58"/>
      <c r="C25" s="58"/>
      <c r="D25" s="58"/>
      <c r="E25" s="58"/>
      <c r="F25" s="58"/>
      <c r="G25" s="58"/>
    </row>
    <row r="26" spans="1:7" x14ac:dyDescent="0.35">
      <c r="A26" s="85"/>
      <c r="B26" s="58"/>
      <c r="C26" s="58"/>
      <c r="D26" s="58"/>
      <c r="E26" s="58"/>
      <c r="F26" s="58"/>
      <c r="G26" s="58"/>
    </row>
    <row r="27" spans="1:7" x14ac:dyDescent="0.35">
      <c r="A27" s="86"/>
      <c r="B27" s="58"/>
      <c r="C27" s="58"/>
      <c r="D27" s="58"/>
      <c r="E27" s="58"/>
      <c r="F27" s="58"/>
      <c r="G27" s="58"/>
    </row>
  </sheetData>
  <mergeCells count="3">
    <mergeCell ref="A7:G11"/>
    <mergeCell ref="A1:A2"/>
    <mergeCell ref="B1:G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1201-E106-4D9C-B192-877F9335B57F}">
  <dimension ref="A1:X25"/>
  <sheetViews>
    <sheetView tabSelected="1" zoomScale="70" zoomScaleNormal="70" workbookViewId="0">
      <selection activeCell="R21" sqref="R21"/>
    </sheetView>
  </sheetViews>
  <sheetFormatPr defaultRowHeight="14.5" x14ac:dyDescent="0.35"/>
  <cols>
    <col min="9" max="9" width="13.26953125" customWidth="1"/>
    <col min="10" max="10" width="17.36328125" customWidth="1"/>
  </cols>
  <sheetData>
    <row r="1" spans="1:24" ht="15" thickBot="1" x14ac:dyDescent="0.4">
      <c r="A1" s="182"/>
      <c r="B1" s="251"/>
      <c r="C1" s="233" t="s">
        <v>7</v>
      </c>
      <c r="D1" s="168"/>
      <c r="E1" s="168"/>
      <c r="F1" s="168"/>
      <c r="G1" s="168"/>
      <c r="H1" s="169"/>
      <c r="I1" s="111" t="s">
        <v>74</v>
      </c>
      <c r="J1" s="94" t="s">
        <v>86</v>
      </c>
      <c r="L1" s="57"/>
      <c r="M1" s="57"/>
      <c r="N1" s="57"/>
      <c r="O1" s="57"/>
      <c r="Q1" s="213" t="s">
        <v>101</v>
      </c>
      <c r="R1" s="244"/>
      <c r="S1" s="244"/>
      <c r="T1" s="244"/>
      <c r="U1" s="244"/>
      <c r="V1" s="244"/>
      <c r="W1" s="214"/>
    </row>
    <row r="2" spans="1:24" ht="15" customHeight="1" thickBot="1" x14ac:dyDescent="0.4">
      <c r="A2" s="185"/>
      <c r="B2" s="184"/>
      <c r="C2" s="76" t="s">
        <v>1</v>
      </c>
      <c r="D2" s="71" t="s">
        <v>2</v>
      </c>
      <c r="E2" s="71" t="s">
        <v>3</v>
      </c>
      <c r="F2" s="71" t="s">
        <v>4</v>
      </c>
      <c r="G2" s="71" t="s">
        <v>5</v>
      </c>
      <c r="H2" s="75" t="s">
        <v>6</v>
      </c>
      <c r="I2" s="109" t="s">
        <v>87</v>
      </c>
      <c r="J2" s="144" t="s">
        <v>73</v>
      </c>
      <c r="L2" s="16"/>
      <c r="M2" s="16"/>
      <c r="N2" s="16"/>
      <c r="O2" s="16"/>
      <c r="Q2" s="123" t="s">
        <v>103</v>
      </c>
      <c r="R2" s="259">
        <f>SUM(C9:H9)</f>
        <v>1.3855508333333327E-2</v>
      </c>
      <c r="S2" s="122"/>
      <c r="T2" s="122"/>
      <c r="U2" s="122"/>
      <c r="V2" s="122"/>
      <c r="W2" s="121"/>
    </row>
    <row r="3" spans="1:24" ht="16" x14ac:dyDescent="0.35">
      <c r="A3" s="252" t="s">
        <v>72</v>
      </c>
      <c r="B3" s="253"/>
      <c r="C3" s="246">
        <f>'Задания 12-13'!B5</f>
        <v>5.9290000000000002E-3</v>
      </c>
      <c r="D3" s="165">
        <f>'Задания 12-13'!C5</f>
        <v>1.0404000000000002E-2</v>
      </c>
      <c r="E3" s="165">
        <f>'Задания 12-13'!D5</f>
        <v>1.6129000000000001E-2</v>
      </c>
      <c r="F3" s="165">
        <f>'Задания 12-13'!E5</f>
        <v>2.3104E-2</v>
      </c>
      <c r="G3" s="165">
        <f>'Задания 12-13'!F5</f>
        <v>3.1328999999999996E-2</v>
      </c>
      <c r="H3" s="166">
        <f>'Задания 12-13'!G5</f>
        <v>4.0803999999999993E-2</v>
      </c>
      <c r="I3" s="109" t="s">
        <v>88</v>
      </c>
      <c r="J3" s="144" t="s">
        <v>84</v>
      </c>
      <c r="L3" s="16"/>
      <c r="M3" s="16"/>
      <c r="N3" s="163"/>
      <c r="O3" s="163"/>
      <c r="Q3" s="260" t="s">
        <v>102</v>
      </c>
      <c r="R3" s="257">
        <f>C5-($C$17+$C$16*C4)</f>
        <v>2.292697003441788E-2</v>
      </c>
      <c r="S3" s="257">
        <f t="shared" ref="S3:W3" si="0">D5-($C$17+$C$16*D4)</f>
        <v>1.1844594254641089E-2</v>
      </c>
      <c r="T3" s="257">
        <f t="shared" si="0"/>
        <v>2.652176470274872E-3</v>
      </c>
      <c r="U3" s="257">
        <f t="shared" si="0"/>
        <v>-6.8502866731848591E-3</v>
      </c>
      <c r="V3" s="257">
        <f t="shared" si="0"/>
        <v>-1.227785854589869E-2</v>
      </c>
      <c r="W3" s="258">
        <f t="shared" si="0"/>
        <v>-1.8295595540250283E-2</v>
      </c>
    </row>
    <row r="4" spans="1:24" ht="16.5" thickBot="1" x14ac:dyDescent="0.4">
      <c r="A4" s="245" t="s">
        <v>100</v>
      </c>
      <c r="B4" s="254"/>
      <c r="C4" s="247">
        <f>4*C3</f>
        <v>2.3716000000000001E-2</v>
      </c>
      <c r="D4" s="247">
        <f t="shared" ref="D4:H4" si="1">4*D3</f>
        <v>4.1616000000000007E-2</v>
      </c>
      <c r="E4" s="247">
        <f t="shared" si="1"/>
        <v>6.4516000000000004E-2</v>
      </c>
      <c r="F4" s="247">
        <f t="shared" si="1"/>
        <v>9.2415999999999998E-2</v>
      </c>
      <c r="G4" s="247">
        <f t="shared" si="1"/>
        <v>0.12531599999999998</v>
      </c>
      <c r="H4" s="247">
        <f t="shared" si="1"/>
        <v>0.16321599999999997</v>
      </c>
      <c r="I4" s="109" t="s">
        <v>89</v>
      </c>
      <c r="J4" s="144" t="s">
        <v>85</v>
      </c>
      <c r="L4" s="16"/>
      <c r="M4" s="16"/>
      <c r="N4" s="163"/>
      <c r="O4" s="163"/>
      <c r="Q4" s="126" t="s">
        <v>105</v>
      </c>
      <c r="R4" s="62">
        <f>R3^2</f>
        <v>5.2564595495909535E-4</v>
      </c>
      <c r="S4" s="62">
        <f t="shared" ref="S4:W4" si="2">S3^2</f>
        <v>1.402944130570767E-4</v>
      </c>
      <c r="T4" s="62">
        <f t="shared" si="2"/>
        <v>7.0340400294796792E-6</v>
      </c>
      <c r="U4" s="62">
        <f t="shared" si="2"/>
        <v>4.6926427504814085E-5</v>
      </c>
      <c r="V4" s="62">
        <f t="shared" si="2"/>
        <v>1.507458104730975E-4</v>
      </c>
      <c r="W4" s="63">
        <f t="shared" si="2"/>
        <v>3.3472881617242604E-4</v>
      </c>
    </row>
    <row r="5" spans="1:24" ht="15" thickBot="1" x14ac:dyDescent="0.4">
      <c r="A5" s="242" t="s">
        <v>73</v>
      </c>
      <c r="B5" s="255"/>
      <c r="C5" s="248">
        <f>'Задания 12-13'!B6</f>
        <v>2.2734469845560962E-2</v>
      </c>
      <c r="D5" s="98">
        <f>'Задания 12-13'!C6</f>
        <v>1.4211516598493804E-2</v>
      </c>
      <c r="E5" s="98">
        <f>'Задания 12-13'!D6</f>
        <v>8.2934438420075082E-3</v>
      </c>
      <c r="F5" s="98">
        <f>'Задания 12-13'!E6</f>
        <v>2.780248221597986E-3</v>
      </c>
      <c r="G5" s="98">
        <f>'Задания 12-13'!F6</f>
        <v>2.0568663671046536E-3</v>
      </c>
      <c r="H5" s="99">
        <f>'Задания 12-13'!G6</f>
        <v>1.4582418861438455E-3</v>
      </c>
      <c r="I5" s="115" t="s">
        <v>90</v>
      </c>
      <c r="J5" s="14" t="s">
        <v>91</v>
      </c>
      <c r="O5" s="16"/>
      <c r="Q5" s="123" t="s">
        <v>106</v>
      </c>
      <c r="R5" s="261">
        <f>SUM(R4:W4)/(R2*4)</f>
        <v>2.1749029938081001E-2</v>
      </c>
      <c r="S5" s="122"/>
      <c r="T5" s="122"/>
      <c r="U5" s="122"/>
      <c r="V5" s="123" t="s">
        <v>107</v>
      </c>
      <c r="W5" s="261">
        <f>(1/4+$C$15^2/R2)*(SUM(R4:W4)/4)</f>
        <v>2.3296360360434791E-4</v>
      </c>
    </row>
    <row r="6" spans="1:24" ht="15" thickBot="1" x14ac:dyDescent="0.4">
      <c r="A6" s="237" t="s">
        <v>94</v>
      </c>
      <c r="B6" s="238"/>
      <c r="C6" s="249">
        <f>C4-$C$15</f>
        <v>-6.1416666666666675E-2</v>
      </c>
      <c r="D6" s="249">
        <f t="shared" ref="D6:H6" si="3">D4-$C$15</f>
        <v>-4.3516666666666669E-2</v>
      </c>
      <c r="E6" s="249">
        <f t="shared" si="3"/>
        <v>-2.0616666666666672E-2</v>
      </c>
      <c r="F6" s="249">
        <f t="shared" si="3"/>
        <v>7.2833333333333222E-3</v>
      </c>
      <c r="G6" s="249">
        <f t="shared" si="3"/>
        <v>4.0183333333333307E-2</v>
      </c>
      <c r="H6" s="249">
        <f t="shared" si="3"/>
        <v>7.8083333333333296E-2</v>
      </c>
      <c r="P6" s="16"/>
      <c r="Q6" s="262" t="s">
        <v>104</v>
      </c>
      <c r="R6" s="263" t="s">
        <v>99</v>
      </c>
      <c r="S6" s="264">
        <f>2*R5</f>
        <v>4.3498059876162003E-2</v>
      </c>
      <c r="T6" s="122"/>
      <c r="U6" s="262" t="s">
        <v>59</v>
      </c>
      <c r="V6" s="263" t="s">
        <v>98</v>
      </c>
      <c r="W6" s="264">
        <f>2*W5</f>
        <v>4.6592720720869583E-4</v>
      </c>
    </row>
    <row r="7" spans="1:24" x14ac:dyDescent="0.35">
      <c r="A7" s="237" t="s">
        <v>95</v>
      </c>
      <c r="B7" s="238"/>
      <c r="C7" s="249">
        <f>C5-$C$14</f>
        <v>1.4145338718742835E-2</v>
      </c>
      <c r="D7" s="249">
        <f>D5-$C$14</f>
        <v>5.6223854716756765E-3</v>
      </c>
      <c r="E7" s="249">
        <f t="shared" ref="D7:H7" si="4">E5-$C$14</f>
        <v>-2.9568728481061887E-4</v>
      </c>
      <c r="F7" s="249">
        <f t="shared" si="4"/>
        <v>-5.8088829052201415E-3</v>
      </c>
      <c r="G7" s="249">
        <f t="shared" si="4"/>
        <v>-6.5322647597134739E-3</v>
      </c>
      <c r="H7" s="249">
        <f t="shared" si="4"/>
        <v>-7.1308892406742813E-3</v>
      </c>
      <c r="Q7" s="182"/>
      <c r="R7" s="243"/>
      <c r="S7" s="243"/>
      <c r="T7" s="243"/>
      <c r="U7" s="243"/>
      <c r="V7" s="243"/>
      <c r="W7" s="251"/>
      <c r="X7" s="58"/>
    </row>
    <row r="8" spans="1:24" x14ac:dyDescent="0.35">
      <c r="A8" s="160"/>
      <c r="B8" s="161"/>
      <c r="C8" s="249">
        <f>ABS(C6*C7)</f>
        <v>8.6875955297612256E-4</v>
      </c>
      <c r="D8" s="249">
        <f t="shared" ref="D8:H8" si="5">ABS(D6*D7)</f>
        <v>2.4466747444241987E-4</v>
      </c>
      <c r="E8" s="249">
        <f t="shared" si="5"/>
        <v>6.0960861885122604E-6</v>
      </c>
      <c r="F8" s="249">
        <f t="shared" si="5"/>
        <v>4.2308030493019963E-5</v>
      </c>
      <c r="G8" s="249">
        <f t="shared" si="5"/>
        <v>2.6248817226115294E-4</v>
      </c>
      <c r="H8" s="249">
        <f t="shared" si="5"/>
        <v>5.5680360154264992E-4</v>
      </c>
      <c r="Q8" s="185"/>
      <c r="R8" s="183"/>
      <c r="S8" s="183"/>
      <c r="T8" s="183"/>
      <c r="U8" s="183"/>
      <c r="V8" s="183"/>
      <c r="W8" s="184"/>
      <c r="X8" s="58"/>
    </row>
    <row r="9" spans="1:24" x14ac:dyDescent="0.35">
      <c r="A9" s="237" t="s">
        <v>96</v>
      </c>
      <c r="B9" s="238"/>
      <c r="C9" s="249">
        <f>C6^2</f>
        <v>3.7720069444444454E-3</v>
      </c>
      <c r="D9" s="137">
        <f t="shared" ref="D9:H9" si="6">D6^2</f>
        <v>1.8937002777777779E-3</v>
      </c>
      <c r="E9" s="137">
        <f t="shared" si="6"/>
        <v>4.2504694444444468E-4</v>
      </c>
      <c r="F9" s="137">
        <f t="shared" si="6"/>
        <v>5.3046944444444282E-5</v>
      </c>
      <c r="G9" s="137">
        <f t="shared" si="6"/>
        <v>1.6147002777777758E-3</v>
      </c>
      <c r="H9" s="143">
        <f t="shared" si="6"/>
        <v>6.0970069444444388E-3</v>
      </c>
      <c r="Q9" s="185"/>
      <c r="R9" s="183"/>
      <c r="S9" s="183"/>
      <c r="T9" s="183"/>
      <c r="U9" s="183"/>
      <c r="V9" s="183"/>
      <c r="W9" s="184"/>
    </row>
    <row r="10" spans="1:24" ht="15" thickBot="1" x14ac:dyDescent="0.4">
      <c r="A10" s="239" t="s">
        <v>97</v>
      </c>
      <c r="B10" s="241"/>
      <c r="C10" s="250">
        <f>$C$17+4*$C$16*C3</f>
        <v>-1.9250018885691922E-4</v>
      </c>
      <c r="D10" s="145">
        <f t="shared" ref="D10:H10" si="7">$C$17+4*$C$16*D3</f>
        <v>2.366922343852715E-3</v>
      </c>
      <c r="E10" s="145">
        <f t="shared" si="7"/>
        <v>5.6412673717326361E-3</v>
      </c>
      <c r="F10" s="145">
        <f t="shared" si="7"/>
        <v>9.6305348947828447E-3</v>
      </c>
      <c r="G10" s="145">
        <f t="shared" si="7"/>
        <v>1.4334724913003343E-2</v>
      </c>
      <c r="H10" s="146">
        <f t="shared" si="7"/>
        <v>1.9753837426394128E-2</v>
      </c>
      <c r="Q10" s="185"/>
      <c r="R10" s="183"/>
      <c r="S10" s="183"/>
      <c r="T10" s="183"/>
      <c r="U10" s="183"/>
      <c r="V10" s="183"/>
      <c r="W10" s="184"/>
    </row>
    <row r="11" spans="1:24" x14ac:dyDescent="0.35">
      <c r="A11" s="234"/>
      <c r="B11" s="168"/>
      <c r="C11" s="235"/>
      <c r="D11" s="235"/>
      <c r="E11" s="235"/>
      <c r="F11" s="235"/>
      <c r="G11" s="235"/>
      <c r="H11" s="236"/>
      <c r="Q11" s="185"/>
      <c r="R11" s="183"/>
      <c r="S11" s="183"/>
      <c r="T11" s="183"/>
      <c r="U11" s="183"/>
      <c r="V11" s="183"/>
      <c r="W11" s="184"/>
    </row>
    <row r="12" spans="1:24" x14ac:dyDescent="0.35">
      <c r="A12" s="237"/>
      <c r="B12" s="167"/>
      <c r="C12" s="167"/>
      <c r="D12" s="167"/>
      <c r="E12" s="167"/>
      <c r="F12" s="167"/>
      <c r="G12" s="167"/>
      <c r="H12" s="238"/>
      <c r="I12" s="136"/>
      <c r="J12" s="136"/>
      <c r="Q12" s="185"/>
      <c r="R12" s="183"/>
      <c r="S12" s="183"/>
      <c r="T12" s="183"/>
      <c r="U12" s="183"/>
      <c r="V12" s="183"/>
      <c r="W12" s="184"/>
    </row>
    <row r="13" spans="1:24" ht="15" thickBot="1" x14ac:dyDescent="0.4">
      <c r="A13" s="239"/>
      <c r="B13" s="240"/>
      <c r="C13" s="240"/>
      <c r="D13" s="240"/>
      <c r="E13" s="240"/>
      <c r="F13" s="240"/>
      <c r="G13" s="240"/>
      <c r="H13" s="241"/>
      <c r="I13" s="136"/>
      <c r="J13" s="136"/>
      <c r="Q13" s="185"/>
      <c r="R13" s="183"/>
      <c r="S13" s="183"/>
      <c r="T13" s="183"/>
      <c r="U13" s="183"/>
      <c r="V13" s="183"/>
      <c r="W13" s="184"/>
    </row>
    <row r="14" spans="1:24" ht="14.5" customHeight="1" thickBot="1" x14ac:dyDescent="0.4">
      <c r="A14" s="138" t="s">
        <v>92</v>
      </c>
      <c r="B14" s="139" t="s">
        <v>65</v>
      </c>
      <c r="C14" s="140">
        <f>SUM(C5:H5)/6</f>
        <v>8.589131126818127E-3</v>
      </c>
      <c r="D14" s="164"/>
      <c r="E14" s="164"/>
      <c r="F14" s="164"/>
      <c r="G14" s="164"/>
      <c r="H14" s="136"/>
      <c r="I14" s="136"/>
      <c r="J14" s="136"/>
      <c r="Q14" s="186"/>
      <c r="R14" s="187"/>
      <c r="S14" s="187"/>
      <c r="T14" s="187"/>
      <c r="U14" s="187"/>
      <c r="V14" s="187"/>
      <c r="W14" s="188"/>
    </row>
    <row r="15" spans="1:24" x14ac:dyDescent="0.35">
      <c r="A15" s="141" t="s">
        <v>93</v>
      </c>
      <c r="B15" s="108" t="s">
        <v>64</v>
      </c>
      <c r="C15" s="142">
        <f>SUM(C4:H4)/6</f>
        <v>8.5132666666666676E-2</v>
      </c>
      <c r="D15" s="16"/>
      <c r="E15" s="16"/>
      <c r="F15" s="16"/>
      <c r="G15" s="16"/>
      <c r="H15" s="136"/>
      <c r="I15" s="58"/>
      <c r="J15" s="58"/>
    </row>
    <row r="16" spans="1:24" x14ac:dyDescent="0.35">
      <c r="A16" s="116" t="s">
        <v>85</v>
      </c>
      <c r="B16" s="108" t="s">
        <v>81</v>
      </c>
      <c r="C16" s="113">
        <f>SUM(C8:H8)/SUM(C9:H9)</f>
        <v>0.14298449903405772</v>
      </c>
      <c r="D16" s="16"/>
      <c r="E16" s="16"/>
      <c r="F16" s="163"/>
      <c r="G16" s="163"/>
      <c r="H16" s="58"/>
    </row>
    <row r="17" spans="1:7" ht="15" thickBot="1" x14ac:dyDescent="0.4">
      <c r="A17" s="83" t="s">
        <v>84</v>
      </c>
      <c r="B17" s="13" t="s">
        <v>17</v>
      </c>
      <c r="C17" s="130">
        <f>C14-C16*C15</f>
        <v>-3.5835205679486323E-3</v>
      </c>
      <c r="D17" s="16"/>
      <c r="E17" s="16"/>
      <c r="F17" s="163"/>
      <c r="G17" s="163"/>
    </row>
    <row r="18" spans="1:7" x14ac:dyDescent="0.35">
      <c r="D18" s="16"/>
      <c r="E18" s="16"/>
      <c r="F18" s="16"/>
      <c r="G18" s="16"/>
    </row>
    <row r="19" spans="1:7" x14ac:dyDescent="0.35">
      <c r="D19" s="16"/>
      <c r="E19" s="16"/>
      <c r="F19" s="147"/>
      <c r="G19" s="147"/>
    </row>
    <row r="20" spans="1:7" x14ac:dyDescent="0.35">
      <c r="D20" s="16"/>
      <c r="E20" s="16"/>
      <c r="F20" s="147"/>
      <c r="G20" s="147"/>
    </row>
    <row r="21" spans="1:7" x14ac:dyDescent="0.35">
      <c r="D21" s="16"/>
      <c r="E21" s="16"/>
      <c r="F21" s="16"/>
      <c r="G21" s="16"/>
    </row>
    <row r="22" spans="1:7" x14ac:dyDescent="0.35">
      <c r="D22" s="16"/>
      <c r="E22" s="16"/>
      <c r="F22" s="16"/>
      <c r="G22" s="16"/>
    </row>
    <row r="23" spans="1:7" x14ac:dyDescent="0.35">
      <c r="D23" s="16"/>
      <c r="E23" s="16"/>
      <c r="F23" s="16"/>
      <c r="G23" s="16"/>
    </row>
    <row r="24" spans="1:7" x14ac:dyDescent="0.35">
      <c r="D24" s="16"/>
      <c r="E24" s="16"/>
      <c r="F24" s="16"/>
      <c r="G24" s="16"/>
    </row>
    <row r="25" spans="1:7" x14ac:dyDescent="0.35">
      <c r="D25" s="58"/>
      <c r="E25" s="58"/>
      <c r="F25" s="58"/>
      <c r="G25" s="58"/>
    </row>
  </sheetData>
  <mergeCells count="12">
    <mergeCell ref="Q1:W1"/>
    <mergeCell ref="Q7:W14"/>
    <mergeCell ref="A4:B4"/>
    <mergeCell ref="A11:H13"/>
    <mergeCell ref="A10:B10"/>
    <mergeCell ref="C1:H1"/>
    <mergeCell ref="A3:B3"/>
    <mergeCell ref="A5:B5"/>
    <mergeCell ref="A6:B6"/>
    <mergeCell ref="A9:B9"/>
    <mergeCell ref="A7:B7"/>
    <mergeCell ref="A1:B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Данные об установке</vt:lpstr>
      <vt:lpstr>Задания 2-7 (Измерения)</vt:lpstr>
      <vt:lpstr>Задания 8-9</vt:lpstr>
      <vt:lpstr>Задания 10-11 (МНК)</vt:lpstr>
      <vt:lpstr>Задания 12-13</vt:lpstr>
      <vt:lpstr>Задания 14-15 (МНК)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Синюта</dc:creator>
  <cp:lastModifiedBy>Анастасия Синюта</cp:lastModifiedBy>
  <dcterms:created xsi:type="dcterms:W3CDTF">2022-04-06T10:07:35Z</dcterms:created>
  <dcterms:modified xsi:type="dcterms:W3CDTF">2022-04-22T20:23:16Z</dcterms:modified>
</cp:coreProperties>
</file>