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FEB9A58-5A6B-49BF-8149-4B2A626D8276}" xr6:coauthVersionLast="47" xr6:coauthVersionMax="47" xr10:uidLastSave="{00000000-0000-0000-0000-000000000000}"/>
  <bookViews>
    <workbookView xWindow="-105" yWindow="450" windowWidth="11355" windowHeight="13530" firstSheet="1" activeTab="5" xr2:uid="{00000000-000D-0000-FFFF-FFFF00000000}"/>
  </bookViews>
  <sheets>
    <sheet name="Лекция 1" sheetId="1" r:id="rId1"/>
    <sheet name="Лекция 2" sheetId="3" r:id="rId2"/>
    <sheet name="Семинар 1" sheetId="2" r:id="rId3"/>
    <sheet name="семинар 2" sheetId="4" r:id="rId4"/>
    <sheet name="Лекция3" sheetId="6" r:id="rId5"/>
    <sheet name="ДЗ_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D19" i="5" s="1"/>
  <c r="C18" i="5"/>
  <c r="B65" i="5"/>
  <c r="B61" i="5"/>
  <c r="B57" i="5"/>
  <c r="B60" i="5"/>
  <c r="C60" i="5" s="1"/>
  <c r="D60" i="5" s="1"/>
  <c r="E60" i="5" s="1"/>
  <c r="F60" i="5" s="1"/>
  <c r="G60" i="5" s="1"/>
  <c r="B56" i="5"/>
  <c r="C56" i="5" s="1"/>
  <c r="D56" i="5" s="1"/>
  <c r="E56" i="5" s="1"/>
  <c r="F56" i="5" s="1"/>
  <c r="G56" i="5" s="1"/>
  <c r="B66" i="5"/>
  <c r="C64" i="5"/>
  <c r="C66" i="5" s="1"/>
  <c r="C5" i="5"/>
  <c r="D5" i="5" s="1"/>
  <c r="E5" i="5" s="1"/>
  <c r="F5" i="5" s="1"/>
  <c r="G5" i="5" s="1"/>
  <c r="C6" i="5"/>
  <c r="C19" i="5"/>
  <c r="B19" i="5"/>
  <c r="B31" i="5"/>
  <c r="C27" i="5" s="1"/>
  <c r="C28" i="5" s="1"/>
  <c r="B8" i="5"/>
  <c r="D6" i="5"/>
  <c r="E6" i="5"/>
  <c r="F6" i="5"/>
  <c r="G6" i="5"/>
  <c r="B6" i="5"/>
  <c r="D16" i="6"/>
  <c r="E16" i="6" s="1"/>
  <c r="F16" i="6" s="1"/>
  <c r="G16" i="6" s="1"/>
  <c r="H16" i="6" s="1"/>
  <c r="I16" i="6" s="1"/>
  <c r="C16" i="6"/>
  <c r="B44" i="5"/>
  <c r="B43" i="5"/>
  <c r="C42" i="5"/>
  <c r="D42" i="5" s="1"/>
  <c r="E42" i="5" s="1"/>
  <c r="F42" i="5" s="1"/>
  <c r="G42" i="5" s="1"/>
  <c r="G44" i="5" s="1"/>
  <c r="B29" i="5"/>
  <c r="B5" i="6"/>
  <c r="B6" i="6" s="1"/>
  <c r="B25" i="2"/>
  <c r="A8" i="4"/>
  <c r="A7" i="4"/>
  <c r="A3" i="4"/>
  <c r="C63" i="3"/>
  <c r="D63" i="3"/>
  <c r="D62" i="3" s="1"/>
  <c r="D61" i="3" s="1"/>
  <c r="C61" i="3"/>
  <c r="D64" i="3"/>
  <c r="E64" i="3"/>
  <c r="F64" i="3"/>
  <c r="G64" i="3"/>
  <c r="H64" i="3"/>
  <c r="C64" i="3"/>
  <c r="A53" i="3"/>
  <c r="A49" i="3"/>
  <c r="A45" i="3"/>
  <c r="B38" i="3"/>
  <c r="E38" i="3"/>
  <c r="D38" i="3"/>
  <c r="C38" i="3"/>
  <c r="C37" i="3"/>
  <c r="B31" i="3"/>
  <c r="A31" i="3"/>
  <c r="A25" i="3"/>
  <c r="A22" i="3"/>
  <c r="C15" i="3"/>
  <c r="A15" i="3"/>
  <c r="A10" i="3"/>
  <c r="B5" i="3"/>
  <c r="A5" i="3"/>
  <c r="B3" i="3"/>
  <c r="A3" i="3"/>
  <c r="B73" i="2"/>
  <c r="B72" i="2"/>
  <c r="B65" i="2"/>
  <c r="B58" i="2"/>
  <c r="B59" i="2" s="1"/>
  <c r="B44" i="2"/>
  <c r="B45" i="2" s="1"/>
  <c r="B54" i="2"/>
  <c r="B53" i="2"/>
  <c r="B37" i="2"/>
  <c r="B34" i="2"/>
  <c r="B26" i="2"/>
  <c r="C21" i="2"/>
  <c r="B21" i="2"/>
  <c r="B20" i="2"/>
  <c r="C17" i="2"/>
  <c r="B17" i="2"/>
  <c r="B16" i="2"/>
  <c r="B12" i="2"/>
  <c r="B7" i="2"/>
  <c r="C3" i="2"/>
  <c r="C2" i="2"/>
  <c r="E24" i="1"/>
  <c r="D24" i="1"/>
  <c r="B20" i="1"/>
  <c r="B15" i="1"/>
  <c r="B16" i="1"/>
  <c r="B11" i="1"/>
  <c r="B10" i="1"/>
  <c r="D3" i="1"/>
  <c r="A6" i="1"/>
  <c r="A5" i="1"/>
  <c r="D2" i="1"/>
  <c r="E18" i="5" l="1"/>
  <c r="F18" i="5" s="1"/>
  <c r="G18" i="5" s="1"/>
  <c r="H18" i="5" s="1"/>
  <c r="C65" i="5"/>
  <c r="C57" i="5" s="1"/>
  <c r="C61" i="5"/>
  <c r="D64" i="5"/>
  <c r="D65" i="5" s="1"/>
  <c r="E43" i="5"/>
  <c r="D43" i="5"/>
  <c r="G43" i="5"/>
  <c r="E44" i="5"/>
  <c r="D44" i="5"/>
  <c r="F43" i="5"/>
  <c r="C43" i="5"/>
  <c r="C44" i="5"/>
  <c r="F44" i="5"/>
  <c r="H27" i="5"/>
  <c r="G27" i="5"/>
  <c r="B27" i="5"/>
  <c r="F27" i="5"/>
  <c r="E27" i="5"/>
  <c r="D27" i="5"/>
  <c r="D28" i="5" s="1"/>
  <c r="C29" i="5"/>
  <c r="C5" i="6"/>
  <c r="B7" i="5"/>
  <c r="E63" i="3"/>
  <c r="E62" i="3" s="1"/>
  <c r="E61" i="3"/>
  <c r="C62" i="3"/>
  <c r="D66" i="5" l="1"/>
  <c r="D61" i="5" s="1"/>
  <c r="D57" i="5"/>
  <c r="E64" i="5"/>
  <c r="E65" i="5" s="1"/>
  <c r="B45" i="5"/>
  <c r="B47" i="5" s="1"/>
  <c r="B46" i="5"/>
  <c r="B48" i="5" s="1"/>
  <c r="E28" i="5"/>
  <c r="F28" i="5" s="1"/>
  <c r="D29" i="5"/>
  <c r="C6" i="6"/>
  <c r="D5" i="6"/>
  <c r="F63" i="3"/>
  <c r="F62" i="3" s="1"/>
  <c r="F61" i="3" s="1"/>
  <c r="F64" i="5" l="1"/>
  <c r="F65" i="5" s="1"/>
  <c r="E57" i="5"/>
  <c r="E66" i="5"/>
  <c r="E61" i="5" s="1"/>
  <c r="E29" i="5"/>
  <c r="F29" i="5"/>
  <c r="G28" i="5"/>
  <c r="E19" i="5"/>
  <c r="E5" i="6"/>
  <c r="D6" i="6"/>
  <c r="G61" i="3"/>
  <c r="G63" i="3"/>
  <c r="G62" i="3" s="1"/>
  <c r="G64" i="5" l="1"/>
  <c r="G65" i="5" s="1"/>
  <c r="F57" i="5"/>
  <c r="F66" i="5"/>
  <c r="F61" i="5" s="1"/>
  <c r="G29" i="5"/>
  <c r="H28" i="5"/>
  <c r="H29" i="5" s="1"/>
  <c r="F19" i="5"/>
  <c r="F5" i="6"/>
  <c r="E6" i="6"/>
  <c r="H61" i="3"/>
  <c r="H63" i="3"/>
  <c r="H62" i="3" s="1"/>
  <c r="G66" i="5" l="1"/>
  <c r="G61" i="5" s="1"/>
  <c r="G57" i="5"/>
  <c r="B30" i="5"/>
  <c r="H19" i="5"/>
  <c r="G19" i="5"/>
  <c r="G5" i="6"/>
  <c r="F6" i="6"/>
  <c r="B20" i="5" l="1"/>
  <c r="H5" i="6"/>
  <c r="H6" i="6" s="1"/>
  <c r="G6" i="6"/>
  <c r="B7" i="6" s="1"/>
</calcChain>
</file>

<file path=xl/sharedStrings.xml><?xml version="1.0" encoding="utf-8"?>
<sst xmlns="http://schemas.openxmlformats.org/spreadsheetml/2006/main" count="179" uniqueCount="125">
  <si>
    <t>PV  - стоимость в прошлом (или сейчас)</t>
  </si>
  <si>
    <t>% ставка (или доходность) в год</t>
  </si>
  <si>
    <t>FV</t>
  </si>
  <si>
    <t>Комментарий</t>
  </si>
  <si>
    <t>i - Срок вклада/кредита (год)</t>
  </si>
  <si>
    <t>Если в начале срока я положу деньги под 10% годовых под простые проценты</t>
  </si>
  <si>
    <t>Если в начале срока я положу деньги под 10% годовых под сложные проценты</t>
  </si>
  <si>
    <t>Если в начале срока я положу деньги под 10% годовых под сложные проценты.Т.е. изначальная сумма умножается на 1 (получаем её же) и на процент. Это суммируется и получается итог (изначальные деньги +10%). Далее если следовать этой же логике мы должны полученную сумму опять умножить на 1 и прибавить 10%. По законам математики это: PV*(1+j)*(1+J). А это равно возведению в степень</t>
  </si>
  <si>
    <t>Задача 1. Пусть мы вкладываем 1 000 рублей под 12% годовых на 3 года. Сколько мы получим при начислении простых и сложных процентов?</t>
  </si>
  <si>
    <t>Простые:</t>
  </si>
  <si>
    <t>Сложные:</t>
  </si>
  <si>
    <r>
      <t xml:space="preserve">45 рублей разницы – это эффект </t>
    </r>
    <r>
      <rPr>
        <b/>
        <sz val="11"/>
        <color theme="1"/>
        <rFont val="Calibri"/>
        <family val="2"/>
        <charset val="204"/>
        <scheme val="minor"/>
      </rPr>
      <t>капитализации</t>
    </r>
    <r>
      <rPr>
        <sz val="11"/>
        <color theme="1"/>
        <rFont val="Calibri"/>
        <family val="2"/>
        <scheme val="minor"/>
      </rPr>
      <t xml:space="preserve"> за 3 года.</t>
    </r>
  </si>
  <si>
    <t>Задача 2. Человек хочет иметь возможность через 16 лет оплатить образование своему ребенку. 
Он планирует, что для оплаты учебы в университете, нужно будет иметь $100 тыс. Если текущая доходность банковского депозита равна 4% годовых, то сколько нужно положить в банк сейчас, чтобы через 16 лет получить нужную сумму?</t>
  </si>
  <si>
    <r>
      <t>Задача 3</t>
    </r>
    <r>
      <rPr>
        <sz val="14"/>
        <color theme="1"/>
        <rFont val="Arial"/>
        <family val="2"/>
        <charset val="204"/>
      </rPr>
      <t>.</t>
    </r>
    <r>
      <rPr>
        <sz val="10"/>
        <color theme="1"/>
        <rFont val="Arial"/>
        <family val="2"/>
        <charset val="204"/>
      </rPr>
      <t xml:space="preserve"> Если инвестор получил наследство в размере $125 тыс и хочет вложить его в акции на фондовом рынке, то какую сумму он может ожидать получить через 20 лет, если средняя доходность фондового рынка ожидается 7% годовых?</t>
    </r>
  </si>
  <si>
    <t>Начисление процентов происходит 1 раз в год</t>
  </si>
  <si>
    <t>Начисление процентов происходит несколько раз в год</t>
  </si>
  <si>
    <t xml:space="preserve">В договоре прописана ставка 15% годовых. Если начисление процентов происходит ежемесячно, какова эффективная ставка по кредиту? </t>
  </si>
  <si>
    <t>Номинальная % ставка (или доходность) в год</t>
  </si>
  <si>
    <t>Эффективная % ставка</t>
  </si>
  <si>
    <t>Задача 1</t>
  </si>
  <si>
    <t>Задача 2</t>
  </si>
  <si>
    <t>Банк предлагает 2 варианта депозита в размере 1 млн. руб на 3 года: под 15% с капитализацией или под 20% без капитализации. Что выгоднее?</t>
  </si>
  <si>
    <t>Решение</t>
  </si>
  <si>
    <t xml:space="preserve">Простые проценты: </t>
  </si>
  <si>
    <t>Сложные проценты:</t>
  </si>
  <si>
    <t>Инвестор хочет через 25 лет выйти на пенсию и купить дом за 350 тыс. Банковская доходность депозита: 3% годовых. Сколько нужно положить сейчас?</t>
  </si>
  <si>
    <t>Задача 3</t>
  </si>
  <si>
    <t>Банк предлагает положить депозит 3 млн на 6 лет, обещая выплатить 1.5 млн процентов в конце срока. Какую процентную ставку предлагает банк по сложной ставке</t>
  </si>
  <si>
    <t>4,5 = 3 *(1+x)^6; 
4,5/3 = (1+x)^6;
(4,5/3)^(1/6)=1+x;
(4,5/3)^(1/6)-1=x;</t>
  </si>
  <si>
    <t xml:space="preserve">Ответ: </t>
  </si>
  <si>
    <t>Задача 4</t>
  </si>
  <si>
    <t>Кредит: 150 тыс на 2 года под 14% годовых с ежегодным начислением процентов и возвратом всех накопленных процентов в конце срока. Определить величину переплаты</t>
  </si>
  <si>
    <t>Задача 5</t>
  </si>
  <si>
    <t>Кредит 150 тыс. на 2 года под 14% годовых с ежемесячным начислением процентов и возвратом кредита и процентов в конце срока. Определить величину переплаты</t>
  </si>
  <si>
    <t>Задача 6</t>
  </si>
  <si>
    <t>Вкладчик внес x сумму на депозит под 12% годовых с капитализацией раз в квартал. Через 7 лет у него оказалось 30 млн. Какую сумму положил?</t>
  </si>
  <si>
    <t>Задача 7</t>
  </si>
  <si>
    <t>Какая доходность должна быть у инвестиций, чтобы они позволили инвестору увеличить свои вложения в 2 раза на горизонте 5 лет</t>
  </si>
  <si>
    <t>FV/PV = 2</t>
  </si>
  <si>
    <t>n = 5</t>
  </si>
  <si>
    <t>2 = (1 + x)^5</t>
  </si>
  <si>
    <t>2^(1/5)-1 = x</t>
  </si>
  <si>
    <t>Ответ</t>
  </si>
  <si>
    <t>Задача 8</t>
  </si>
  <si>
    <t>Инвестиция на фондовом рынке 2.5 млн на 15 лет со ставкой 12% годовых</t>
  </si>
  <si>
    <t>БЛОК 2. ЭФФЕКТИВНАЯ СТАВКА</t>
  </si>
  <si>
    <t>Микрофинансовая организация начисляет 0.5% за каждый день пользования кредитов (365 дней в году). Какая эффективная ставка по кредиту</t>
  </si>
  <si>
    <t>Эффективная ставка = FV/PV - 1</t>
  </si>
  <si>
    <t>Инвестиции принесли доходность 18%. Инфляция составила 7%. Какая реальная доходность инвестиции</t>
  </si>
  <si>
    <t>1+0,18 =( 1+х)*(1+0,07)</t>
  </si>
  <si>
    <t>1,18 = 1,07 + 1,07х</t>
  </si>
  <si>
    <t>1,18 = 1,07 (1 + х)</t>
  </si>
  <si>
    <t>1,18/1,07 =1+х</t>
  </si>
  <si>
    <t xml:space="preserve">Если по депозиту предполагается ежеквартальное начисление процентов по ставке 10% годовых, то какова эффективная ставка? </t>
  </si>
  <si>
    <t>Номинальная доходность инвестиций: 12% за год, реальная 8.5 какая инфляция?</t>
  </si>
  <si>
    <t>1+12% = (1+8,5%)*(1+х)</t>
  </si>
  <si>
    <t>1,12 = 1,085*(1+х)</t>
  </si>
  <si>
    <t>БЛОК №3. АННУИТЕТЫ</t>
  </si>
  <si>
    <t>По договору накопительной пенсии гарантируются выплаты 250 тыс. в год в течение 15 лет. Стоимость денег равга 10% годовых. Сколько будет стоить такое контракт сегодня?</t>
  </si>
  <si>
    <t>Задача 1. Человек заключил договор ренты на 20 лет, с ежемесячным платежом 30 тыс.руб. Первый платеж ожидается через месяц. Если стоимость денег равна 10% годовых, то сколько стоит такой договор? Сколько нужно заплатить в момент его заключения?</t>
  </si>
  <si>
    <t>Комментарий: данное решение в двух вариантах предполагает олну выплату в конце года</t>
  </si>
  <si>
    <t>Правильное решение</t>
  </si>
  <si>
    <t>Задача 2. Если рента в предыдущем примере будет бесконечной, то сколько нужно заплатить в момент заключения договора?</t>
  </si>
  <si>
    <t>Задача 3. Вы инвестировали 1 000 000 рублей на следующих условиях: в течение 10 лет вам будут возвращать вашу инвестицию из расчета доходности 12% годовых. Какой размер платежа будет у этого аннуитета?</t>
  </si>
  <si>
    <t>Задача 4. Если класть в банк по $1000 в течение 4 лет, начиная с текущего момента, и банк при этом начисляет 6% годовых, то какая сумма получится на конец 6-го года?</t>
  </si>
  <si>
    <t>Комментарий: формула пренумеранда</t>
  </si>
  <si>
    <t>Стоимость в конце 4 года</t>
  </si>
  <si>
    <t>Стоимость в конце 6 года</t>
  </si>
  <si>
    <t>Комментарий: обычная формула наращения без аннуента</t>
  </si>
  <si>
    <t>Задача 5. Найти текущую стоимость четырех платежей по $100, если первый платеж будет получен через 3 года, а стоимость денег равна 9%.</t>
  </si>
  <si>
    <t>Есть 5-ти летняя облигация, номиналом €1000 и с купоном 7%, уплачиваемым 1 раз в год. Пусть стоимость денег для держателя облигации равна 8% годовых. Какова справедливая цена облигации?</t>
  </si>
  <si>
    <t>Купон:</t>
  </si>
  <si>
    <t>Справедливая цена облигации</t>
  </si>
  <si>
    <t>Задача 7. Есть 5-ти летняя облигация, номиналом €1000 и купоном 7%, уплачиваемым 1 раз в год. Текущая цена равна €900. Какова доходность этой облигации?</t>
  </si>
  <si>
    <t>Купон</t>
  </si>
  <si>
    <t>900 = (70*(((1+х)^-5)-1)/х)+ (1000*(1+х)^5)</t>
  </si>
  <si>
    <t>Какова справедливая цена 3-летней бескупонной облигации с номиналом €1000, если требуемая доходность для инвестора составляет 12% годовых?</t>
  </si>
  <si>
    <t>Задача 9. Есть 5-ти летняя облигация, номиналом €1000 и годовым купоном 7%, уплачиваемым 2 раза в год. Текущая цена равна €900. Какова доходность этой облигации?</t>
  </si>
  <si>
    <t>КРЕДИТЫ</t>
  </si>
  <si>
    <t>Задача 10. Банк выдает заемщику кредит в размере 3 млн.руб. на 6 лет под 14% годовых. Сделаем график платежей по кредиту с выделением процентов и основной суммы долга в двух вариантах:
1.	если платежи аннуитетные
2.	если основной долг гасится равномерными годовыми платежами, начиная со 2-го года</t>
  </si>
  <si>
    <t>Баланс</t>
  </si>
  <si>
    <t>Погашение ОД</t>
  </si>
  <si>
    <t>Погашение процентов</t>
  </si>
  <si>
    <t>Итоговый платеж</t>
  </si>
  <si>
    <t>АННУИТЕТ</t>
  </si>
  <si>
    <t>Задача 1. По договору накопительной пенсии гарантируются выплаты в 250 тыс./год на 15 лет. Стоимость денег равна 10 % годовых. Сколько будет стоить пенсионный контракт сейчас</t>
  </si>
  <si>
    <t>Приведенная стоимость аннуитета</t>
  </si>
  <si>
    <t>Задача 2. Если класть в банк 100 руб ежемесячно в т.ч. 10 лет начиная со следующего месяца, а банк начисляет 8% годовых, то какая сумма получится через 20 лет?</t>
  </si>
  <si>
    <t>первые 10 лет с учетом аннуентов</t>
  </si>
  <si>
    <t>оставшиеся 10 лет на предыдущую сумму</t>
  </si>
  <si>
    <t xml:space="preserve">Задача 3. </t>
  </si>
  <si>
    <t xml:space="preserve">Задача 2. 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 </t>
  </si>
  <si>
    <t>Задача 3. Для проекта из задачи 2 найти внутреннюю норму доходности.</t>
  </si>
  <si>
    <t>Есть два инвестиционных проекта со следующими денежными потоками: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</si>
  <si>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Задача 5. 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</si>
  <si>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Задача 1. Есть инвестиционный проект с денежными потоками по кварталам:
Необходимо принять решение, инвестируем в проект или нет, если ставка дисконтирования 15% годовых</t>
  </si>
  <si>
    <t>Квартал</t>
  </si>
  <si>
    <t>денежный поток</t>
  </si>
  <si>
    <t>Ставка дисконтирования</t>
  </si>
  <si>
    <t>Дисконтирующий множитель</t>
  </si>
  <si>
    <t>Дисконтированние денежные потоки</t>
  </si>
  <si>
    <t>NPV</t>
  </si>
  <si>
    <t>Дисконтированный множитель</t>
  </si>
  <si>
    <t>Год</t>
  </si>
  <si>
    <t>год</t>
  </si>
  <si>
    <t>Денежные потоки</t>
  </si>
  <si>
    <t>Ставка</t>
  </si>
  <si>
    <t>Дисконтированные денежные потоки</t>
  </si>
  <si>
    <t>IRR</t>
  </si>
  <si>
    <t>денежный поток 1</t>
  </si>
  <si>
    <t>денежный поток 2</t>
  </si>
  <si>
    <t>Дисконтированние денежные потоки 1</t>
  </si>
  <si>
    <t>Дисконтированние денежные потоки 2</t>
  </si>
  <si>
    <t>NPV 1</t>
  </si>
  <si>
    <t>NPV 2</t>
  </si>
  <si>
    <t>PI 1</t>
  </si>
  <si>
    <t>PI 2</t>
  </si>
  <si>
    <t>Ответ: должен выбрать 2 проект</t>
  </si>
  <si>
    <t>NPV по ЧПС</t>
  </si>
  <si>
    <t>Ответ: т.к. NPV положительно, можно инвестировать</t>
  </si>
  <si>
    <t>Проект А</t>
  </si>
  <si>
    <t>обыкновенный</t>
  </si>
  <si>
    <t>кумулятивный</t>
  </si>
  <si>
    <t>Проект Б</t>
  </si>
  <si>
    <t>Ответ. По обыкновенной: окупаются оба на 4 год. По дисконтированной: окупается быстрее проект Б - на 4, а проект - 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</si>
</sst>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8" formatCode="#,##0.00\ &quot;₽&quot;;[Red]\-#,##0.00\ &quot;₽&quot;"/>
    <numFmt numFmtId="43" formatCode="_-* #,##0.00_-;\-* #,##0.00_-;_-* &quot;-&quot;??_-;_-@_-"/>
    <numFmt numFmtId="164" formatCode="0.0%"/>
    <numFmt numFmtId="175" formatCode="0.0"/>
    <numFmt numFmtId="182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left" vertical="center"/>
    </xf>
    <xf numFmtId="164" fontId="0" fillId="0" borderId="0" xfId="2" applyNumberFormat="1" applyFont="1" applyAlignment="1">
      <alignment horizontal="left" vertical="center" wrapText="1"/>
    </xf>
    <xf numFmtId="4" fontId="0" fillId="0" borderId="0" xfId="0" applyNumberFormat="1"/>
    <xf numFmtId="9" fontId="0" fillId="0" borderId="0" xfId="2" applyFont="1"/>
    <xf numFmtId="9" fontId="0" fillId="0" borderId="0" xfId="2" applyFont="1" applyAlignment="1">
      <alignment wrapText="1"/>
    </xf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left"/>
    </xf>
    <xf numFmtId="164" fontId="0" fillId="0" borderId="0" xfId="2" applyNumberFormat="1" applyFont="1"/>
    <xf numFmtId="43" fontId="0" fillId="0" borderId="0" xfId="1" applyFont="1" applyAlignment="1">
      <alignment vertical="center"/>
    </xf>
    <xf numFmtId="10" fontId="0" fillId="0" borderId="0" xfId="2" applyNumberFormat="1" applyFont="1"/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8" fontId="0" fillId="0" borderId="0" xfId="0" applyNumberFormat="1"/>
    <xf numFmtId="0" fontId="6" fillId="0" borderId="0" xfId="0" applyFont="1"/>
    <xf numFmtId="164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1" fontId="0" fillId="0" borderId="0" xfId="0" applyNumberFormat="1" applyAlignment="1">
      <alignment horizontal="left"/>
    </xf>
    <xf numFmtId="6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 wrapText="1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9" fontId="7" fillId="0" borderId="5" xfId="0" applyNumberFormat="1" applyFont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0" fontId="7" fillId="0" borderId="5" xfId="0" applyNumberFormat="1" applyFont="1" applyBorder="1" applyAlignment="1">
      <alignment horizontal="right" vertical="center"/>
    </xf>
    <xf numFmtId="0" fontId="8" fillId="4" borderId="4" xfId="0" applyFont="1" applyFill="1" applyBorder="1" applyAlignment="1">
      <alignment vertical="center"/>
    </xf>
    <xf numFmtId="2" fontId="7" fillId="0" borderId="5" xfId="0" applyNumberFormat="1" applyFont="1" applyBorder="1" applyAlignment="1">
      <alignment horizontal="right" vertical="center"/>
    </xf>
    <xf numFmtId="175" fontId="7" fillId="0" borderId="5" xfId="0" applyNumberFormat="1" applyFont="1" applyBorder="1" applyAlignment="1">
      <alignment horizontal="right" vertical="center"/>
    </xf>
    <xf numFmtId="175" fontId="8" fillId="4" borderId="5" xfId="0" applyNumberFormat="1" applyFont="1" applyFill="1" applyBorder="1" applyAlignment="1">
      <alignment horizontal="right" vertical="center"/>
    </xf>
    <xf numFmtId="0" fontId="0" fillId="5" borderId="1" xfId="0" applyFill="1" applyBorder="1"/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wrapText="1"/>
    </xf>
    <xf numFmtId="10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6" borderId="1" xfId="0" applyFill="1" applyBorder="1"/>
    <xf numFmtId="0" fontId="0" fillId="0" borderId="1" xfId="0" applyBorder="1" applyAlignment="1">
      <alignment horizontal="right" vertical="center"/>
    </xf>
    <xf numFmtId="9" fontId="0" fillId="0" borderId="1" xfId="0" applyNumberFormat="1" applyBorder="1"/>
    <xf numFmtId="1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/>
    <xf numFmtId="2" fontId="0" fillId="6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182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6" borderId="6" xfId="0" applyFill="1" applyBorder="1"/>
    <xf numFmtId="2" fontId="0" fillId="0" borderId="6" xfId="0" applyNumberFormat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2" fontId="0" fillId="8" borderId="1" xfId="0" applyNumberFormat="1" applyFill="1" applyBorder="1"/>
    <xf numFmtId="0" fontId="0" fillId="5" borderId="0" xfId="0" applyFill="1" applyBorder="1" applyAlignment="1">
      <alignment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4" workbookViewId="0">
      <selection activeCell="E24" sqref="E24"/>
    </sheetView>
  </sheetViews>
  <sheetFormatPr defaultRowHeight="15" x14ac:dyDescent="0.25"/>
  <cols>
    <col min="1" max="1" width="22.140625" style="3" customWidth="1"/>
    <col min="2" max="2" width="15.5703125" customWidth="1"/>
    <col min="3" max="3" width="16.7109375" customWidth="1"/>
    <col min="4" max="4" width="20.140625" customWidth="1"/>
    <col min="5" max="5" width="35.140625" customWidth="1"/>
    <col min="6" max="6" width="19.42578125" customWidth="1"/>
  </cols>
  <sheetData>
    <row r="1" spans="1:7" ht="45" x14ac:dyDescent="0.25">
      <c r="A1" s="8" t="s">
        <v>0</v>
      </c>
      <c r="B1" s="8" t="s">
        <v>4</v>
      </c>
      <c r="C1" s="8" t="s">
        <v>1</v>
      </c>
      <c r="D1" s="8" t="s">
        <v>2</v>
      </c>
      <c r="E1" s="8" t="s">
        <v>3</v>
      </c>
    </row>
    <row r="2" spans="1:7" ht="45" x14ac:dyDescent="0.25">
      <c r="A2" s="6">
        <v>50000</v>
      </c>
      <c r="B2" s="6">
        <v>5</v>
      </c>
      <c r="C2" s="6">
        <v>10</v>
      </c>
      <c r="D2" s="6">
        <f>A2*(1+B2*C2/100)</f>
        <v>75000</v>
      </c>
      <c r="E2" s="9" t="s">
        <v>5</v>
      </c>
      <c r="F2" s="22" t="s">
        <v>14</v>
      </c>
    </row>
    <row r="3" spans="1:7" ht="195" x14ac:dyDescent="0.25">
      <c r="A3" s="6">
        <v>50000</v>
      </c>
      <c r="B3" s="6">
        <v>5</v>
      </c>
      <c r="C3" s="6">
        <v>10</v>
      </c>
      <c r="D3" s="6">
        <f>A3*(1+C3/100)^B3</f>
        <v>80525.500000000029</v>
      </c>
      <c r="E3" s="9" t="s">
        <v>7</v>
      </c>
      <c r="F3" s="22"/>
    </row>
    <row r="4" spans="1:7" x14ac:dyDescent="0.25">
      <c r="A4" s="6"/>
      <c r="B4" s="6"/>
      <c r="C4" s="6"/>
      <c r="D4" s="6"/>
      <c r="E4" s="9"/>
      <c r="F4" s="22"/>
    </row>
    <row r="5" spans="1:7" ht="45" x14ac:dyDescent="0.25">
      <c r="A5" s="6">
        <f>D5/(1+B5*C5/100)</f>
        <v>50000</v>
      </c>
      <c r="B5" s="6">
        <v>5</v>
      </c>
      <c r="C5" s="6">
        <v>10</v>
      </c>
      <c r="D5" s="6">
        <v>75000</v>
      </c>
      <c r="E5" s="9" t="s">
        <v>5</v>
      </c>
      <c r="F5" s="22"/>
    </row>
    <row r="6" spans="1:7" ht="45" x14ac:dyDescent="0.25">
      <c r="A6" s="6">
        <f>D6/(1+C6/100)^B6</f>
        <v>50000.310460661509</v>
      </c>
      <c r="B6" s="6">
        <v>5</v>
      </c>
      <c r="C6" s="6">
        <v>10</v>
      </c>
      <c r="D6" s="6">
        <v>80526</v>
      </c>
      <c r="E6" s="9" t="s">
        <v>6</v>
      </c>
      <c r="F6" s="22"/>
    </row>
    <row r="7" spans="1:7" x14ac:dyDescent="0.25">
      <c r="A7" s="6"/>
      <c r="B7" s="6"/>
      <c r="C7" s="6"/>
      <c r="D7" s="6"/>
      <c r="E7" s="9"/>
    </row>
    <row r="8" spans="1:7" x14ac:dyDescent="0.25">
      <c r="A8" s="6" t="s">
        <v>8</v>
      </c>
      <c r="B8" s="6"/>
      <c r="C8" s="6"/>
      <c r="D8" s="6"/>
      <c r="E8" s="9"/>
    </row>
    <row r="9" spans="1:7" x14ac:dyDescent="0.25">
      <c r="A9" s="6"/>
      <c r="B9" s="6"/>
      <c r="C9" s="6"/>
      <c r="D9" s="6"/>
      <c r="E9" s="9"/>
    </row>
    <row r="10" spans="1:7" x14ac:dyDescent="0.25">
      <c r="A10" s="6" t="s">
        <v>9</v>
      </c>
      <c r="B10" s="6">
        <f>1000*(1+0.12*3)</f>
        <v>1359.9999999999998</v>
      </c>
      <c r="C10" s="6"/>
      <c r="D10" s="6" t="s">
        <v>11</v>
      </c>
      <c r="E10" s="9"/>
    </row>
    <row r="11" spans="1:7" x14ac:dyDescent="0.25">
      <c r="A11" s="6" t="s">
        <v>10</v>
      </c>
      <c r="B11" s="6">
        <f>1000*(1+0.12)^3</f>
        <v>1404.9280000000003</v>
      </c>
      <c r="C11" s="6"/>
      <c r="D11" s="6"/>
      <c r="E11" s="9"/>
    </row>
    <row r="12" spans="1:7" x14ac:dyDescent="0.25">
      <c r="A12" s="6"/>
      <c r="B12" s="6"/>
      <c r="C12" s="6"/>
      <c r="D12" s="6"/>
      <c r="E12" s="9"/>
    </row>
    <row r="13" spans="1:7" ht="49.5" customHeight="1" x14ac:dyDescent="0.25">
      <c r="A13" s="21" t="s">
        <v>12</v>
      </c>
      <c r="B13" s="21"/>
      <c r="C13" s="21"/>
      <c r="D13" s="21"/>
      <c r="E13" s="21"/>
      <c r="F13" s="21"/>
      <c r="G13" s="21"/>
    </row>
    <row r="14" spans="1:7" x14ac:dyDescent="0.25">
      <c r="A14" s="6"/>
      <c r="B14" s="6"/>
      <c r="C14" s="6"/>
      <c r="D14" s="6"/>
      <c r="E14" s="9"/>
    </row>
    <row r="15" spans="1:7" x14ac:dyDescent="0.25">
      <c r="A15" s="6" t="s">
        <v>9</v>
      </c>
      <c r="B15" s="6">
        <f>100000/(1+0.04*16)</f>
        <v>60975.609756097554</v>
      </c>
      <c r="C15" s="6"/>
      <c r="D15" s="6"/>
      <c r="E15" s="9"/>
    </row>
    <row r="16" spans="1:7" x14ac:dyDescent="0.25">
      <c r="A16" s="6" t="s">
        <v>10</v>
      </c>
      <c r="B16" s="6">
        <f>100000/(1+0.04)^16</f>
        <v>53390.817568584105</v>
      </c>
      <c r="C16" s="6"/>
      <c r="D16" s="6"/>
      <c r="E16" s="9"/>
    </row>
    <row r="17" spans="1:7" x14ac:dyDescent="0.25">
      <c r="A17" s="6"/>
      <c r="B17" s="6"/>
      <c r="C17" s="6"/>
      <c r="D17" s="6"/>
      <c r="E17" s="9"/>
    </row>
    <row r="18" spans="1:7" ht="42.75" customHeight="1" x14ac:dyDescent="0.25">
      <c r="A18" s="21" t="s">
        <v>13</v>
      </c>
      <c r="B18" s="21"/>
      <c r="C18" s="21"/>
      <c r="D18" s="21"/>
      <c r="E18" s="21"/>
      <c r="F18" s="21"/>
      <c r="G18" s="21"/>
    </row>
    <row r="19" spans="1:7" x14ac:dyDescent="0.25">
      <c r="A19" s="6"/>
      <c r="B19" s="6"/>
      <c r="C19" s="6"/>
      <c r="D19" s="6"/>
      <c r="E19" s="9"/>
    </row>
    <row r="20" spans="1:7" x14ac:dyDescent="0.25">
      <c r="A20" s="6" t="s">
        <v>10</v>
      </c>
      <c r="B20" s="6">
        <f>125000*(1+0.07)^20</f>
        <v>483710.55781077244</v>
      </c>
      <c r="C20" s="6"/>
      <c r="D20" s="6"/>
      <c r="E20" s="9"/>
    </row>
    <row r="21" spans="1:7" x14ac:dyDescent="0.25">
      <c r="A21" s="6"/>
      <c r="B21" s="6"/>
      <c r="C21" s="6"/>
      <c r="D21" s="6"/>
      <c r="E21" s="9"/>
    </row>
    <row r="22" spans="1:7" x14ac:dyDescent="0.25">
      <c r="A22" s="6"/>
      <c r="B22" s="6"/>
      <c r="C22" s="6"/>
      <c r="D22" s="6"/>
      <c r="E22" s="9"/>
    </row>
    <row r="23" spans="1:7" ht="60" x14ac:dyDescent="0.25">
      <c r="A23" s="8" t="s">
        <v>0</v>
      </c>
      <c r="B23" s="8" t="s">
        <v>4</v>
      </c>
      <c r="C23" s="8" t="s">
        <v>17</v>
      </c>
      <c r="D23" s="8" t="s">
        <v>2</v>
      </c>
      <c r="E23" s="8" t="s">
        <v>18</v>
      </c>
    </row>
    <row r="24" spans="1:7" ht="60" x14ac:dyDescent="0.25">
      <c r="A24" s="3">
        <v>100</v>
      </c>
      <c r="B24" s="7">
        <v>1</v>
      </c>
      <c r="C24" s="11">
        <v>0.15</v>
      </c>
      <c r="D24" s="10">
        <f>A24*(1+C24/12)^(B24*12)</f>
        <v>116.07545177229986</v>
      </c>
      <c r="E24" s="12">
        <f>EFFECT(15%,12)</f>
        <v>0.16075451772299854</v>
      </c>
      <c r="F24" s="1" t="s">
        <v>15</v>
      </c>
    </row>
    <row r="25" spans="1:7" x14ac:dyDescent="0.25">
      <c r="B25" s="7"/>
      <c r="C25" s="11"/>
      <c r="D25" s="10"/>
      <c r="F25" s="1"/>
    </row>
    <row r="27" spans="1:7" ht="120" x14ac:dyDescent="0.25">
      <c r="A27" s="2" t="s">
        <v>16</v>
      </c>
    </row>
  </sheetData>
  <mergeCells count="3">
    <mergeCell ref="A13:G13"/>
    <mergeCell ref="A18:G18"/>
    <mergeCell ref="F2:F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2B90-8C39-4D0C-9F95-6A87636EF028}">
  <dimension ref="A1:I64"/>
  <sheetViews>
    <sheetView topLeftCell="B42" workbookViewId="0">
      <selection activeCell="F73" sqref="F73"/>
    </sheetView>
  </sheetViews>
  <sheetFormatPr defaultRowHeight="15" x14ac:dyDescent="0.25"/>
  <cols>
    <col min="1" max="1" width="22.7109375" customWidth="1"/>
    <col min="2" max="2" width="13.85546875" bestFit="1" customWidth="1"/>
    <col min="3" max="3" width="12.28515625" bestFit="1" customWidth="1"/>
    <col min="4" max="4" width="11.42578125" customWidth="1"/>
    <col min="5" max="5" width="12.85546875" customWidth="1"/>
    <col min="6" max="8" width="11.42578125" customWidth="1"/>
  </cols>
  <sheetData>
    <row r="1" spans="1:9" ht="60" customHeight="1" x14ac:dyDescent="0.25">
      <c r="A1" s="23" t="s">
        <v>59</v>
      </c>
      <c r="B1" s="23"/>
      <c r="C1" s="23"/>
      <c r="D1" s="23"/>
      <c r="E1" s="23"/>
      <c r="F1" s="23"/>
      <c r="G1" s="23"/>
      <c r="H1" s="23"/>
      <c r="I1" s="23"/>
    </row>
    <row r="3" spans="1:9" x14ac:dyDescent="0.25">
      <c r="A3">
        <f>(30000*12)*((1-((1+0.1)^-20))/0.1)</f>
        <v>3064882.9391130833</v>
      </c>
      <c r="B3" s="25">
        <f>PV(10%,20,30000*12)</f>
        <v>-3064882.9391130833</v>
      </c>
      <c r="D3" t="s">
        <v>60</v>
      </c>
    </row>
    <row r="5" spans="1:9" x14ac:dyDescent="0.25">
      <c r="A5">
        <f>30000*(1-(1+0.1/12)^(-20*12))/(0.1/12)</f>
        <v>3108738.5607500281</v>
      </c>
      <c r="B5" s="25">
        <f>PV(10%/12,20*12,30000)</f>
        <v>-3108738.5607500286</v>
      </c>
      <c r="D5" t="s">
        <v>61</v>
      </c>
    </row>
    <row r="8" spans="1:9" ht="32.25" customHeight="1" x14ac:dyDescent="0.25">
      <c r="A8" s="23" t="s">
        <v>62</v>
      </c>
      <c r="B8" s="23"/>
      <c r="C8" s="23"/>
      <c r="D8" s="23"/>
      <c r="E8" s="23"/>
      <c r="F8" s="23"/>
      <c r="G8" s="23"/>
      <c r="H8" s="23"/>
      <c r="I8" s="23"/>
    </row>
    <row r="10" spans="1:9" x14ac:dyDescent="0.25">
      <c r="A10">
        <f xml:space="preserve"> 30000 * 12 / 10%</f>
        <v>3600000</v>
      </c>
    </row>
    <row r="13" spans="1:9" ht="43.5" customHeight="1" x14ac:dyDescent="0.25">
      <c r="A13" s="23" t="s">
        <v>63</v>
      </c>
      <c r="B13" s="23"/>
      <c r="C13" s="23"/>
      <c r="D13" s="23"/>
      <c r="E13" s="23"/>
      <c r="F13" s="23"/>
      <c r="G13" s="23"/>
      <c r="H13" s="23"/>
      <c r="I13" s="23"/>
    </row>
    <row r="15" spans="1:9" x14ac:dyDescent="0.25">
      <c r="A15">
        <f>1000000/((1-(1+0.12)^-10)/0.12)</f>
        <v>176984.16415984405</v>
      </c>
      <c r="C15" s="25">
        <f>PMT(12%,10,-1000000)</f>
        <v>176984.16415984411</v>
      </c>
    </row>
    <row r="19" spans="1:9" ht="35.25" customHeight="1" x14ac:dyDescent="0.25">
      <c r="A19" s="23" t="s">
        <v>64</v>
      </c>
      <c r="B19" s="23"/>
      <c r="C19" s="23"/>
      <c r="D19" s="23"/>
      <c r="E19" s="23"/>
      <c r="F19" s="23"/>
      <c r="G19" s="23"/>
      <c r="H19" s="23"/>
      <c r="I19" s="23"/>
    </row>
    <row r="21" spans="1:9" x14ac:dyDescent="0.25">
      <c r="A21" t="s">
        <v>66</v>
      </c>
    </row>
    <row r="22" spans="1:9" x14ac:dyDescent="0.25">
      <c r="A22">
        <f>1000*(((1+0.06)^4)-1)/0.06*(0.06+1)</f>
        <v>4637.0929600000063</v>
      </c>
      <c r="C22" t="s">
        <v>65</v>
      </c>
    </row>
    <row r="24" spans="1:9" x14ac:dyDescent="0.25">
      <c r="A24" t="s">
        <v>67</v>
      </c>
    </row>
    <row r="25" spans="1:9" x14ac:dyDescent="0.25">
      <c r="A25">
        <f>A22*(1+0.06)^2</f>
        <v>5210.2376498560079</v>
      </c>
      <c r="C25" t="s">
        <v>68</v>
      </c>
    </row>
    <row r="29" spans="1:9" ht="27" customHeight="1" x14ac:dyDescent="0.25">
      <c r="A29" s="23" t="s">
        <v>69</v>
      </c>
      <c r="B29" s="23"/>
      <c r="C29" s="23"/>
      <c r="D29" s="23"/>
      <c r="E29" s="23"/>
      <c r="F29" s="23"/>
      <c r="G29" s="23"/>
      <c r="H29" s="23"/>
    </row>
    <row r="31" spans="1:9" x14ac:dyDescent="0.25">
      <c r="A31">
        <f>100*(1-((1+0.09)^-4))/0.09</f>
        <v>323.97198770533731</v>
      </c>
      <c r="B31">
        <f>A31/((1+0.09)^2)</f>
        <v>272.68074043038234</v>
      </c>
    </row>
    <row r="35" spans="1:8" ht="45" customHeight="1" x14ac:dyDescent="0.25">
      <c r="A35" s="23" t="s">
        <v>70</v>
      </c>
      <c r="B35" s="23"/>
      <c r="C35" s="23"/>
      <c r="D35" s="23"/>
      <c r="E35" s="23"/>
      <c r="F35" s="23"/>
      <c r="G35" s="23"/>
      <c r="H35" s="23"/>
    </row>
    <row r="37" spans="1:8" x14ac:dyDescent="0.25">
      <c r="A37" t="s">
        <v>71</v>
      </c>
      <c r="B37">
        <v>70</v>
      </c>
      <c r="C37">
        <f>B37*4+1070</f>
        <v>1350</v>
      </c>
    </row>
    <row r="38" spans="1:8" ht="30" x14ac:dyDescent="0.25">
      <c r="A38" s="1" t="s">
        <v>72</v>
      </c>
      <c r="B38">
        <f>70*(((1+0.08)^-5)-1)/0.08</f>
        <v>-279.4897025954661</v>
      </c>
      <c r="C38">
        <f>1000/((1+0.08)^5)</f>
        <v>680.58319703375298</v>
      </c>
      <c r="D38">
        <f>C38-B38</f>
        <v>960.07289962921914</v>
      </c>
      <c r="E38" s="25">
        <f>PV(8%,5,-70,-1000)</f>
        <v>960.07289962921914</v>
      </c>
    </row>
    <row r="41" spans="1:8" ht="32.25" customHeight="1" x14ac:dyDescent="0.25">
      <c r="A41" s="23" t="s">
        <v>73</v>
      </c>
      <c r="B41" s="23"/>
      <c r="C41" s="23"/>
      <c r="D41" s="23"/>
      <c r="E41" s="23"/>
      <c r="F41" s="23"/>
      <c r="G41" s="23"/>
      <c r="H41" s="23"/>
    </row>
    <row r="43" spans="1:8" x14ac:dyDescent="0.25">
      <c r="A43" t="s">
        <v>74</v>
      </c>
      <c r="B43">
        <v>70</v>
      </c>
    </row>
    <row r="44" spans="1:8" x14ac:dyDescent="0.25">
      <c r="A44" t="s">
        <v>75</v>
      </c>
    </row>
    <row r="45" spans="1:8" x14ac:dyDescent="0.25">
      <c r="A45" s="28">
        <f>RATE(5,70,-900,1000)</f>
        <v>9.6118693764766547E-2</v>
      </c>
    </row>
    <row r="47" spans="1:8" s="7" customFormat="1" ht="42" customHeight="1" x14ac:dyDescent="0.25">
      <c r="A47" s="29" t="s">
        <v>76</v>
      </c>
      <c r="B47" s="29"/>
      <c r="C47" s="29"/>
      <c r="D47" s="29"/>
      <c r="E47" s="29"/>
      <c r="F47" s="29"/>
      <c r="G47" s="29"/>
      <c r="H47" s="29"/>
    </row>
    <row r="49" spans="1:8" x14ac:dyDescent="0.25">
      <c r="A49" s="31">
        <f>1000/(1+0.12)^3</f>
        <v>711.78024781341082</v>
      </c>
    </row>
    <row r="51" spans="1:8" ht="35.25" customHeight="1" x14ac:dyDescent="0.25">
      <c r="A51" s="23" t="s">
        <v>77</v>
      </c>
      <c r="B51" s="23"/>
      <c r="C51" s="23"/>
      <c r="D51" s="23"/>
      <c r="E51" s="23"/>
      <c r="F51" s="23"/>
      <c r="G51" s="23"/>
      <c r="H51" s="23"/>
    </row>
    <row r="53" spans="1:8" x14ac:dyDescent="0.25">
      <c r="A53" s="27">
        <f>RATE(10,35,-900,1000)*2</f>
        <v>9.5626584127314992E-2</v>
      </c>
    </row>
    <row r="56" spans="1:8" x14ac:dyDescent="0.25">
      <c r="A56" t="s">
        <v>78</v>
      </c>
    </row>
    <row r="58" spans="1:8" ht="57.75" customHeight="1" x14ac:dyDescent="0.25">
      <c r="A58" s="23" t="s">
        <v>79</v>
      </c>
      <c r="B58" s="23"/>
      <c r="C58" s="23"/>
      <c r="D58" s="23"/>
      <c r="E58" s="23"/>
      <c r="F58" s="23"/>
      <c r="G58" s="23"/>
      <c r="H58" s="23"/>
    </row>
    <row r="60" spans="1:8" x14ac:dyDescent="0.25">
      <c r="A60" t="s">
        <v>84</v>
      </c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  <c r="H60">
        <v>6</v>
      </c>
    </row>
    <row r="61" spans="1:8" x14ac:dyDescent="0.25">
      <c r="A61" t="s">
        <v>80</v>
      </c>
      <c r="B61">
        <v>3000</v>
      </c>
      <c r="C61" s="32">
        <f>B61-C62</f>
        <v>2648.5275130265295</v>
      </c>
      <c r="D61" s="32">
        <f t="shared" ref="D61:H61" si="0">C61-D62</f>
        <v>2247.8488778767728</v>
      </c>
      <c r="E61" s="32">
        <f t="shared" si="0"/>
        <v>1791.0752338060502</v>
      </c>
      <c r="F61" s="32">
        <f t="shared" si="0"/>
        <v>1270.3532795654264</v>
      </c>
      <c r="G61" s="32">
        <f t="shared" si="0"/>
        <v>676.73025173111546</v>
      </c>
      <c r="H61" s="32">
        <f t="shared" si="0"/>
        <v>9.0949470177292824E-13</v>
      </c>
    </row>
    <row r="62" spans="1:8" x14ac:dyDescent="0.25">
      <c r="A62" t="s">
        <v>81</v>
      </c>
      <c r="C62" s="32">
        <f>C64-C63</f>
        <v>351.47248697347067</v>
      </c>
      <c r="D62" s="32">
        <f t="shared" ref="D62:H62" si="1">D64-D63</f>
        <v>400.67863514975653</v>
      </c>
      <c r="E62" s="32">
        <f t="shared" si="1"/>
        <v>456.77364407072253</v>
      </c>
      <c r="F62" s="32">
        <f t="shared" si="1"/>
        <v>520.72195424062375</v>
      </c>
      <c r="G62" s="32">
        <f t="shared" si="1"/>
        <v>593.62302783431096</v>
      </c>
      <c r="H62" s="32">
        <f t="shared" si="1"/>
        <v>676.73025173111455</v>
      </c>
    </row>
    <row r="63" spans="1:8" x14ac:dyDescent="0.25">
      <c r="A63" t="s">
        <v>82</v>
      </c>
      <c r="C63" s="32">
        <f>14%*B61</f>
        <v>420.00000000000006</v>
      </c>
      <c r="D63" s="32">
        <f t="shared" ref="D63:H63" si="2">14%*C61</f>
        <v>370.79385182371419</v>
      </c>
      <c r="E63" s="32">
        <f t="shared" si="2"/>
        <v>314.6988429027482</v>
      </c>
      <c r="F63" s="32">
        <f t="shared" si="2"/>
        <v>250.75053273284703</v>
      </c>
      <c r="G63" s="32">
        <f t="shared" si="2"/>
        <v>177.84945913915971</v>
      </c>
      <c r="H63" s="32">
        <f t="shared" si="2"/>
        <v>94.742235242356173</v>
      </c>
    </row>
    <row r="64" spans="1:8" x14ac:dyDescent="0.25">
      <c r="A64" t="s">
        <v>83</v>
      </c>
      <c r="C64" s="32">
        <f>-PMT(14%,6,3000)</f>
        <v>771.47248697347072</v>
      </c>
      <c r="D64" s="32">
        <f t="shared" ref="D64:H64" si="3">-PMT(14%,6,3000)</f>
        <v>771.47248697347072</v>
      </c>
      <c r="E64" s="32">
        <f t="shared" si="3"/>
        <v>771.47248697347072</v>
      </c>
      <c r="F64" s="32">
        <f t="shared" si="3"/>
        <v>771.47248697347072</v>
      </c>
      <c r="G64" s="32">
        <f t="shared" si="3"/>
        <v>771.47248697347072</v>
      </c>
      <c r="H64" s="32">
        <f t="shared" si="3"/>
        <v>771.47248697347072</v>
      </c>
    </row>
  </sheetData>
  <mergeCells count="10">
    <mergeCell ref="A35:H35"/>
    <mergeCell ref="A41:H41"/>
    <mergeCell ref="A47:H47"/>
    <mergeCell ref="A51:H51"/>
    <mergeCell ref="A58:H58"/>
    <mergeCell ref="A1:I1"/>
    <mergeCell ref="A8:I8"/>
    <mergeCell ref="A13:I13"/>
    <mergeCell ref="A19:I19"/>
    <mergeCell ref="A29:H2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4F4F-FBBC-4754-A32A-CD0AC4EAC9F9}">
  <dimension ref="A1:C73"/>
  <sheetViews>
    <sheetView topLeftCell="A19" workbookViewId="0">
      <selection activeCell="B26" sqref="B26"/>
    </sheetView>
  </sheetViews>
  <sheetFormatPr defaultRowHeight="15" x14ac:dyDescent="0.25"/>
  <cols>
    <col min="1" max="1" width="11.85546875" customWidth="1"/>
    <col min="2" max="2" width="62.140625" customWidth="1"/>
    <col min="3" max="3" width="11.42578125" bestFit="1" customWidth="1"/>
  </cols>
  <sheetData>
    <row r="1" spans="1:3" ht="45" x14ac:dyDescent="0.25">
      <c r="A1" s="4" t="s">
        <v>19</v>
      </c>
      <c r="B1" s="1" t="s">
        <v>21</v>
      </c>
    </row>
    <row r="2" spans="1:3" x14ac:dyDescent="0.25">
      <c r="A2" s="4" t="s">
        <v>22</v>
      </c>
      <c r="B2" t="s">
        <v>23</v>
      </c>
      <c r="C2" s="13">
        <f>1000000*(1+20%*3)</f>
        <v>1600000</v>
      </c>
    </row>
    <row r="3" spans="1:3" x14ac:dyDescent="0.25">
      <c r="A3" s="4"/>
      <c r="B3" t="s">
        <v>24</v>
      </c>
      <c r="C3" s="13">
        <f>1000000*(1+15%)^3</f>
        <v>1520874.9999999995</v>
      </c>
    </row>
    <row r="4" spans="1:3" x14ac:dyDescent="0.25">
      <c r="A4" s="4"/>
    </row>
    <row r="5" spans="1:3" x14ac:dyDescent="0.25">
      <c r="A5" s="4"/>
    </row>
    <row r="6" spans="1:3" ht="45" x14ac:dyDescent="0.25">
      <c r="A6" s="4" t="s">
        <v>20</v>
      </c>
      <c r="B6" s="1" t="s">
        <v>25</v>
      </c>
    </row>
    <row r="7" spans="1:3" x14ac:dyDescent="0.25">
      <c r="A7" s="4" t="s">
        <v>22</v>
      </c>
      <c r="B7" s="13">
        <f>350000/(1+0.03)^25</f>
        <v>167161.94924158088</v>
      </c>
    </row>
    <row r="8" spans="1:3" x14ac:dyDescent="0.25">
      <c r="A8" s="4"/>
    </row>
    <row r="9" spans="1:3" x14ac:dyDescent="0.25">
      <c r="A9" s="4"/>
    </row>
    <row r="10" spans="1:3" ht="45" x14ac:dyDescent="0.25">
      <c r="A10" s="4" t="s">
        <v>26</v>
      </c>
      <c r="B10" s="1" t="s">
        <v>27</v>
      </c>
    </row>
    <row r="11" spans="1:3" ht="60" x14ac:dyDescent="0.25">
      <c r="A11" s="4" t="s">
        <v>22</v>
      </c>
      <c r="B11" s="15" t="s">
        <v>28</v>
      </c>
    </row>
    <row r="12" spans="1:3" x14ac:dyDescent="0.25">
      <c r="A12" s="4" t="s">
        <v>29</v>
      </c>
      <c r="B12" s="14">
        <f>(4.5/3)^(1/6)-1</f>
        <v>6.991319393366302E-2</v>
      </c>
    </row>
    <row r="13" spans="1:3" x14ac:dyDescent="0.25">
      <c r="A13" s="4"/>
    </row>
    <row r="14" spans="1:3" x14ac:dyDescent="0.25">
      <c r="A14" s="4"/>
    </row>
    <row r="15" spans="1:3" ht="45" x14ac:dyDescent="0.25">
      <c r="A15" s="4" t="s">
        <v>30</v>
      </c>
      <c r="B15" s="1" t="s">
        <v>31</v>
      </c>
    </row>
    <row r="16" spans="1:3" x14ac:dyDescent="0.25">
      <c r="A16" s="4" t="s">
        <v>22</v>
      </c>
      <c r="B16" s="13">
        <f>150000*(1+0.14)^2</f>
        <v>194940.00000000006</v>
      </c>
    </row>
    <row r="17" spans="1:3" x14ac:dyDescent="0.25">
      <c r="A17" s="4" t="s">
        <v>29</v>
      </c>
      <c r="B17" s="13">
        <f>150000-B16</f>
        <v>-44940.000000000058</v>
      </c>
      <c r="C17" s="14">
        <f>B17/150000*-1</f>
        <v>0.29960000000000037</v>
      </c>
    </row>
    <row r="18" spans="1:3" x14ac:dyDescent="0.25">
      <c r="A18" s="4"/>
    </row>
    <row r="19" spans="1:3" ht="45" x14ac:dyDescent="0.25">
      <c r="A19" s="4" t="s">
        <v>32</v>
      </c>
      <c r="B19" s="1" t="s">
        <v>33</v>
      </c>
    </row>
    <row r="20" spans="1:3" x14ac:dyDescent="0.25">
      <c r="A20" s="4" t="s">
        <v>22</v>
      </c>
      <c r="B20" s="13">
        <f>150000*(1+0.14/12)^(2*12)</f>
        <v>198148.06501530399</v>
      </c>
    </row>
    <row r="21" spans="1:3" x14ac:dyDescent="0.25">
      <c r="A21" s="4" t="s">
        <v>29</v>
      </c>
      <c r="B21" s="13">
        <f>B20-150000</f>
        <v>48148.06501530399</v>
      </c>
      <c r="C21" s="14">
        <f>B21/150000</f>
        <v>0.32098710010202658</v>
      </c>
    </row>
    <row r="22" spans="1:3" x14ac:dyDescent="0.25">
      <c r="A22" s="4"/>
    </row>
    <row r="23" spans="1:3" x14ac:dyDescent="0.25">
      <c r="A23" s="4"/>
    </row>
    <row r="24" spans="1:3" ht="45" x14ac:dyDescent="0.25">
      <c r="A24" s="4" t="s">
        <v>34</v>
      </c>
      <c r="B24" s="1" t="s">
        <v>35</v>
      </c>
    </row>
    <row r="25" spans="1:3" x14ac:dyDescent="0.25">
      <c r="A25" s="4" t="s">
        <v>22</v>
      </c>
      <c r="B25" s="13">
        <f>30000000/(1+0.12/4)^(7*4)</f>
        <v>13112302.595112767</v>
      </c>
    </row>
    <row r="26" spans="1:3" x14ac:dyDescent="0.25">
      <c r="A26" s="4" t="s">
        <v>29</v>
      </c>
      <c r="B26" s="13">
        <f>B25</f>
        <v>13112302.595112767</v>
      </c>
    </row>
    <row r="27" spans="1:3" x14ac:dyDescent="0.25">
      <c r="A27" s="4"/>
    </row>
    <row r="28" spans="1:3" x14ac:dyDescent="0.25">
      <c r="A28" s="4"/>
    </row>
    <row r="29" spans="1:3" ht="45" x14ac:dyDescent="0.25">
      <c r="A29" s="4" t="s">
        <v>36</v>
      </c>
      <c r="B29" s="1" t="s">
        <v>37</v>
      </c>
    </row>
    <row r="30" spans="1:3" x14ac:dyDescent="0.25">
      <c r="A30" s="4" t="s">
        <v>22</v>
      </c>
      <c r="B30" t="s">
        <v>38</v>
      </c>
    </row>
    <row r="31" spans="1:3" x14ac:dyDescent="0.25">
      <c r="A31" s="4"/>
      <c r="B31" t="s">
        <v>39</v>
      </c>
    </row>
    <row r="32" spans="1:3" x14ac:dyDescent="0.25">
      <c r="A32" s="4"/>
      <c r="B32" t="s">
        <v>40</v>
      </c>
    </row>
    <row r="33" spans="1:2" x14ac:dyDescent="0.25">
      <c r="B33" t="s">
        <v>41</v>
      </c>
    </row>
    <row r="34" spans="1:2" x14ac:dyDescent="0.25">
      <c r="A34" t="s">
        <v>42</v>
      </c>
      <c r="B34" s="17">
        <f>2^(1/5)-1</f>
        <v>0.1486983549970351</v>
      </c>
    </row>
    <row r="36" spans="1:2" ht="30" x14ac:dyDescent="0.25">
      <c r="A36" t="s">
        <v>43</v>
      </c>
      <c r="B36" s="1" t="s">
        <v>44</v>
      </c>
    </row>
    <row r="37" spans="1:2" x14ac:dyDescent="0.25">
      <c r="A37" s="4" t="s">
        <v>22</v>
      </c>
      <c r="B37" s="13">
        <f>2.5*(1+0.12)^15</f>
        <v>13.683914398142607</v>
      </c>
    </row>
    <row r="40" spans="1:2" x14ac:dyDescent="0.25">
      <c r="A40" t="s">
        <v>45</v>
      </c>
    </row>
    <row r="42" spans="1:2" ht="45" x14ac:dyDescent="0.25">
      <c r="A42" s="4" t="s">
        <v>19</v>
      </c>
      <c r="B42" s="1" t="s">
        <v>46</v>
      </c>
    </row>
    <row r="43" spans="1:2" x14ac:dyDescent="0.25">
      <c r="A43" t="s">
        <v>22</v>
      </c>
      <c r="B43" t="s">
        <v>47</v>
      </c>
    </row>
    <row r="44" spans="1:2" x14ac:dyDescent="0.25">
      <c r="B44" s="13">
        <f>1*(1+0.005)^(1*365)</f>
        <v>6.1746527834309033</v>
      </c>
    </row>
    <row r="45" spans="1:2" x14ac:dyDescent="0.25">
      <c r="A45" t="s">
        <v>42</v>
      </c>
      <c r="B45" s="14">
        <f>B44/1-1</f>
        <v>5.1746527834309033</v>
      </c>
    </row>
    <row r="48" spans="1:2" ht="30" x14ac:dyDescent="0.25">
      <c r="A48" s="4" t="s">
        <v>20</v>
      </c>
      <c r="B48" s="1" t="s">
        <v>48</v>
      </c>
    </row>
    <row r="49" spans="1:2" x14ac:dyDescent="0.25">
      <c r="A49" t="s">
        <v>22</v>
      </c>
      <c r="B49" t="s">
        <v>49</v>
      </c>
    </row>
    <row r="50" spans="1:2" x14ac:dyDescent="0.25">
      <c r="B50" t="s">
        <v>50</v>
      </c>
    </row>
    <row r="51" spans="1:2" x14ac:dyDescent="0.25">
      <c r="B51" t="s">
        <v>51</v>
      </c>
    </row>
    <row r="52" spans="1:2" x14ac:dyDescent="0.25">
      <c r="B52" t="s">
        <v>52</v>
      </c>
    </row>
    <row r="53" spans="1:2" x14ac:dyDescent="0.25">
      <c r="B53" s="19">
        <f>1.18/1.07</f>
        <v>1.1028037383177569</v>
      </c>
    </row>
    <row r="54" spans="1:2" x14ac:dyDescent="0.25">
      <c r="A54" t="s">
        <v>42</v>
      </c>
      <c r="B54" s="18">
        <f>B53-1</f>
        <v>0.10280373831775691</v>
      </c>
    </row>
    <row r="57" spans="1:2" ht="33.75" customHeight="1" x14ac:dyDescent="0.25">
      <c r="A57" s="4" t="s">
        <v>26</v>
      </c>
      <c r="B57" s="5" t="s">
        <v>53</v>
      </c>
    </row>
    <row r="58" spans="1:2" x14ac:dyDescent="0.25">
      <c r="B58" s="13">
        <f>1*(1+0.1/4)^4</f>
        <v>1.1038128906249998</v>
      </c>
    </row>
    <row r="59" spans="1:2" x14ac:dyDescent="0.25">
      <c r="B59" s="20">
        <f>(B58/1)-1</f>
        <v>0.10381289062499977</v>
      </c>
    </row>
    <row r="62" spans="1:2" x14ac:dyDescent="0.25">
      <c r="A62" t="s">
        <v>30</v>
      </c>
      <c r="B62" t="s">
        <v>54</v>
      </c>
    </row>
    <row r="63" spans="1:2" x14ac:dyDescent="0.25">
      <c r="B63" t="s">
        <v>55</v>
      </c>
    </row>
    <row r="64" spans="1:2" x14ac:dyDescent="0.25">
      <c r="B64" t="s">
        <v>56</v>
      </c>
    </row>
    <row r="65" spans="1:2" x14ac:dyDescent="0.25">
      <c r="B65" s="20">
        <f>(1.12/1.085)-1</f>
        <v>3.2258064516129226E-2</v>
      </c>
    </row>
    <row r="68" spans="1:2" x14ac:dyDescent="0.25">
      <c r="A68" t="s">
        <v>57</v>
      </c>
    </row>
    <row r="70" spans="1:2" ht="45" x14ac:dyDescent="0.25">
      <c r="A70" t="s">
        <v>19</v>
      </c>
      <c r="B70" s="1" t="s">
        <v>58</v>
      </c>
    </row>
    <row r="72" spans="1:2" x14ac:dyDescent="0.25">
      <c r="B72" s="16">
        <f>250000*15</f>
        <v>3750000</v>
      </c>
    </row>
    <row r="73" spans="1:2" x14ac:dyDescent="0.25">
      <c r="B73" s="16">
        <f>B72*(1+0.1)^15</f>
        <v>15664680.635308707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A5AE-BE76-4D4D-AD53-B218202CA62B}">
  <dimension ref="A1:J10"/>
  <sheetViews>
    <sheetView workbookViewId="0">
      <selection activeCell="E14" sqref="E14"/>
    </sheetView>
  </sheetViews>
  <sheetFormatPr defaultRowHeight="15" x14ac:dyDescent="0.25"/>
  <cols>
    <col min="1" max="1" width="19" customWidth="1"/>
  </cols>
  <sheetData>
    <row r="1" spans="1:10" ht="35.25" customHeight="1" x14ac:dyDescent="0.25">
      <c r="A1" s="29" t="s">
        <v>85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25">
      <c r="A3">
        <f>250*(((1+0.1)^-15)-1)/0.1</f>
        <v>-1901.5198765770915</v>
      </c>
      <c r="B3" t="s">
        <v>86</v>
      </c>
    </row>
    <row r="5" spans="1:10" ht="30" customHeight="1" x14ac:dyDescent="0.25">
      <c r="A5" s="23" t="s">
        <v>87</v>
      </c>
      <c r="B5" s="23"/>
      <c r="C5" s="23"/>
      <c r="D5" s="23"/>
      <c r="E5" s="23"/>
      <c r="F5" s="23"/>
      <c r="G5" s="23"/>
      <c r="H5" s="23"/>
      <c r="I5" s="23"/>
      <c r="J5" s="23"/>
    </row>
    <row r="7" spans="1:10" x14ac:dyDescent="0.25">
      <c r="A7">
        <f>100*((1-(1+0.08/12)^(10*12))/(0.08/12))</f>
        <v>-18294.603518170716</v>
      </c>
      <c r="B7" t="s">
        <v>88</v>
      </c>
    </row>
    <row r="8" spans="1:10" x14ac:dyDescent="0.25">
      <c r="A8">
        <f>-A7*(1+0.08/12)^(10*12)</f>
        <v>40607.438043975002</v>
      </c>
      <c r="B8" t="s">
        <v>89</v>
      </c>
    </row>
    <row r="10" spans="1:10" x14ac:dyDescent="0.25">
      <c r="A10" t="s">
        <v>90</v>
      </c>
    </row>
  </sheetData>
  <mergeCells count="2">
    <mergeCell ref="A1:J1"/>
    <mergeCell ref="A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8A63-0E19-4061-BF20-F7D77E5841C5}">
  <dimension ref="A1:I18"/>
  <sheetViews>
    <sheetView workbookViewId="0">
      <selection activeCell="E25" sqref="E25"/>
    </sheetView>
  </sheetViews>
  <sheetFormatPr defaultRowHeight="15" x14ac:dyDescent="0.25"/>
  <cols>
    <col min="1" max="1" width="24.140625" customWidth="1"/>
    <col min="3" max="3" width="9.5703125" bestFit="1" customWidth="1"/>
  </cols>
  <sheetData>
    <row r="1" spans="1:9" ht="15.75" thickBot="1" x14ac:dyDescent="0.3"/>
    <row r="2" spans="1:9" ht="15.75" thickBot="1" x14ac:dyDescent="0.3">
      <c r="A2" s="35" t="s">
        <v>104</v>
      </c>
      <c r="B2" s="36">
        <v>0</v>
      </c>
      <c r="C2" s="36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</row>
    <row r="3" spans="1:9" ht="15.75" thickBot="1" x14ac:dyDescent="0.3">
      <c r="A3" s="37" t="s">
        <v>105</v>
      </c>
      <c r="B3" s="24">
        <v>-1500</v>
      </c>
      <c r="C3" s="24">
        <v>100</v>
      </c>
      <c r="D3" s="24">
        <v>200</v>
      </c>
      <c r="E3" s="24">
        <v>300</v>
      </c>
      <c r="F3" s="24">
        <v>400</v>
      </c>
      <c r="G3" s="24">
        <v>500</v>
      </c>
      <c r="H3" s="24">
        <v>600</v>
      </c>
    </row>
    <row r="4" spans="1:9" ht="15.75" thickBot="1" x14ac:dyDescent="0.3">
      <c r="A4" s="37" t="s">
        <v>106</v>
      </c>
      <c r="B4" s="34">
        <v>0.2</v>
      </c>
      <c r="C4" s="34">
        <v>0.2</v>
      </c>
      <c r="D4" s="34">
        <v>0.15</v>
      </c>
      <c r="E4" s="34">
        <v>0.15</v>
      </c>
      <c r="F4" s="34">
        <v>0.1</v>
      </c>
      <c r="G4" s="34">
        <v>0.1</v>
      </c>
      <c r="H4" s="34">
        <v>0.1</v>
      </c>
    </row>
    <row r="5" spans="1:9" ht="15.75" thickBot="1" x14ac:dyDescent="0.3">
      <c r="A5" s="37" t="s">
        <v>99</v>
      </c>
      <c r="B5" s="38">
        <f>1</f>
        <v>1</v>
      </c>
      <c r="C5" s="43">
        <f>B5/(1+C4)</f>
        <v>0.83333333333333337</v>
      </c>
      <c r="D5" s="43">
        <f t="shared" ref="D5:H5" si="0">C5/(1+D4)</f>
        <v>0.7246376811594204</v>
      </c>
      <c r="E5" s="43">
        <f t="shared" si="0"/>
        <v>0.63011972274732209</v>
      </c>
      <c r="F5" s="43">
        <f t="shared" si="0"/>
        <v>0.57283611158847458</v>
      </c>
      <c r="G5" s="43">
        <f t="shared" si="0"/>
        <v>0.52076010144406781</v>
      </c>
      <c r="H5" s="43">
        <f t="shared" si="0"/>
        <v>0.47341827404006159</v>
      </c>
    </row>
    <row r="6" spans="1:9" ht="15.75" thickBot="1" x14ac:dyDescent="0.3">
      <c r="A6" s="37" t="s">
        <v>107</v>
      </c>
      <c r="B6" s="44">
        <f>B3*B5</f>
        <v>-1500</v>
      </c>
      <c r="C6" s="44">
        <f t="shared" ref="C6:H6" si="1">C3*C5</f>
        <v>83.333333333333343</v>
      </c>
      <c r="D6" s="44">
        <f t="shared" si="1"/>
        <v>144.92753623188409</v>
      </c>
      <c r="E6" s="44">
        <f t="shared" si="1"/>
        <v>189.03591682419662</v>
      </c>
      <c r="F6" s="44">
        <f t="shared" si="1"/>
        <v>229.13444463538983</v>
      </c>
      <c r="G6" s="44">
        <f t="shared" si="1"/>
        <v>260.3800507220339</v>
      </c>
      <c r="H6" s="44">
        <f t="shared" si="1"/>
        <v>284.05096442403698</v>
      </c>
    </row>
    <row r="7" spans="1:9" ht="15.75" thickBot="1" x14ac:dyDescent="0.3">
      <c r="A7" s="42" t="s">
        <v>101</v>
      </c>
      <c r="B7" s="45">
        <f>SUM(B6:H6)</f>
        <v>-309.1377538291253</v>
      </c>
      <c r="C7" s="26"/>
      <c r="D7" s="26"/>
      <c r="E7" s="26"/>
      <c r="F7" s="26"/>
      <c r="G7" s="26"/>
      <c r="H7" s="26"/>
    </row>
    <row r="12" spans="1:9" ht="15.75" thickBot="1" x14ac:dyDescent="0.3"/>
    <row r="13" spans="1:9" ht="15.75" thickBot="1" x14ac:dyDescent="0.3">
      <c r="A13" s="35" t="s">
        <v>104</v>
      </c>
      <c r="B13" s="36">
        <v>0</v>
      </c>
      <c r="C13" s="36">
        <v>1</v>
      </c>
      <c r="D13" s="36">
        <v>2</v>
      </c>
      <c r="E13" s="36">
        <v>3</v>
      </c>
      <c r="F13" s="36">
        <v>4</v>
      </c>
      <c r="G13" s="36">
        <v>5</v>
      </c>
      <c r="H13" s="36">
        <v>6</v>
      </c>
      <c r="I13" s="36">
        <v>7</v>
      </c>
    </row>
    <row r="14" spans="1:9" ht="15.75" thickBot="1" x14ac:dyDescent="0.3">
      <c r="A14" s="37" t="s">
        <v>105</v>
      </c>
      <c r="B14" s="38">
        <v>-100</v>
      </c>
      <c r="C14" s="38">
        <v>10</v>
      </c>
      <c r="D14" s="38">
        <v>15</v>
      </c>
      <c r="E14" s="38">
        <v>20</v>
      </c>
      <c r="F14" s="38">
        <v>25</v>
      </c>
      <c r="G14" s="38">
        <v>35</v>
      </c>
      <c r="H14" s="38">
        <v>50</v>
      </c>
      <c r="I14" s="38">
        <v>50</v>
      </c>
    </row>
    <row r="15" spans="1:9" ht="15.75" thickBot="1" x14ac:dyDescent="0.3">
      <c r="A15" s="37" t="s">
        <v>106</v>
      </c>
      <c r="B15" s="39">
        <v>0.12</v>
      </c>
      <c r="C15" s="41">
        <v>0.115</v>
      </c>
      <c r="D15" s="41">
        <v>0.11</v>
      </c>
      <c r="E15" s="41">
        <v>0.105</v>
      </c>
      <c r="F15" s="41">
        <v>0.1</v>
      </c>
      <c r="G15" s="41">
        <v>9.5000000000000001E-2</v>
      </c>
      <c r="H15" s="41">
        <v>0.09</v>
      </c>
      <c r="I15" s="41">
        <v>8.5000000000000006E-2</v>
      </c>
    </row>
    <row r="16" spans="1:9" ht="15.75" thickBot="1" x14ac:dyDescent="0.3">
      <c r="A16" s="37" t="s">
        <v>99</v>
      </c>
      <c r="B16" s="38">
        <v>1</v>
      </c>
      <c r="C16" s="43">
        <f>B16/(1+C15)</f>
        <v>0.89686098654708524</v>
      </c>
      <c r="D16" s="43">
        <f t="shared" ref="D16:I16" si="2">C16/(1+D15)</f>
        <v>0.80798287076313979</v>
      </c>
      <c r="E16" s="43">
        <f t="shared" si="2"/>
        <v>0.73120621788519435</v>
      </c>
      <c r="F16" s="43">
        <f t="shared" si="2"/>
        <v>0.66473292535017658</v>
      </c>
      <c r="G16" s="43">
        <f t="shared" si="2"/>
        <v>0.60706203228326627</v>
      </c>
      <c r="H16" s="43">
        <f t="shared" si="2"/>
        <v>0.55693764429657455</v>
      </c>
      <c r="I16" s="43">
        <f t="shared" si="2"/>
        <v>0.51330658460513789</v>
      </c>
    </row>
    <row r="17" spans="1:9" ht="15.75" thickBot="1" x14ac:dyDescent="0.3">
      <c r="A17" s="37" t="s">
        <v>107</v>
      </c>
      <c r="B17" s="38">
        <v>-100</v>
      </c>
      <c r="C17" s="38">
        <v>9</v>
      </c>
      <c r="D17" s="38">
        <v>12.1</v>
      </c>
      <c r="E17" s="38">
        <v>14.6</v>
      </c>
      <c r="F17" s="38">
        <v>16.600000000000001</v>
      </c>
      <c r="G17" s="38">
        <v>21.2</v>
      </c>
      <c r="H17" s="38">
        <v>27.8</v>
      </c>
      <c r="I17" s="38">
        <v>25.7</v>
      </c>
    </row>
    <row r="18" spans="1:9" ht="15.75" thickBot="1" x14ac:dyDescent="0.3">
      <c r="A18" s="42" t="s">
        <v>101</v>
      </c>
      <c r="B18" s="40">
        <v>27.1</v>
      </c>
      <c r="C18" s="26"/>
      <c r="D18" s="26"/>
      <c r="E18" s="26"/>
      <c r="F18" s="26"/>
      <c r="G18" s="26"/>
      <c r="H18" s="26"/>
      <c r="I1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1130-DEE1-488C-9FF0-F8F6F128368E}">
  <dimension ref="A1:N68"/>
  <sheetViews>
    <sheetView tabSelected="1" workbookViewId="0">
      <selection activeCell="F20" sqref="F20"/>
    </sheetView>
  </sheetViews>
  <sheetFormatPr defaultRowHeight="15" x14ac:dyDescent="0.25"/>
  <cols>
    <col min="1" max="1" width="23.85546875" customWidth="1"/>
    <col min="2" max="2" width="11.28515625" bestFit="1" customWidth="1"/>
    <col min="3" max="3" width="12.5703125" bestFit="1" customWidth="1"/>
    <col min="4" max="7" width="9.5703125" bestFit="1" customWidth="1"/>
  </cols>
  <sheetData>
    <row r="1" spans="1:13" ht="43.5" customHeight="1" x14ac:dyDescent="0.25">
      <c r="A1" s="29" t="s">
        <v>95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x14ac:dyDescent="0.25">
      <c r="A2" s="46" t="s">
        <v>96</v>
      </c>
      <c r="B2" s="61">
        <v>0</v>
      </c>
      <c r="C2" s="61">
        <v>1</v>
      </c>
      <c r="D2" s="61">
        <v>2</v>
      </c>
      <c r="E2" s="61">
        <v>3</v>
      </c>
      <c r="F2" s="61">
        <v>4</v>
      </c>
      <c r="G2" s="61">
        <v>5</v>
      </c>
    </row>
    <row r="3" spans="1:13" x14ac:dyDescent="0.25">
      <c r="A3" s="48" t="s">
        <v>97</v>
      </c>
      <c r="B3" s="55">
        <v>-1200</v>
      </c>
      <c r="C3" s="55">
        <v>100</v>
      </c>
      <c r="D3" s="55">
        <v>200</v>
      </c>
      <c r="E3" s="55">
        <v>300</v>
      </c>
      <c r="F3" s="55">
        <v>400</v>
      </c>
      <c r="G3" s="55">
        <v>500</v>
      </c>
    </row>
    <row r="4" spans="1:13" x14ac:dyDescent="0.25">
      <c r="A4" s="46" t="s">
        <v>98</v>
      </c>
      <c r="B4" s="56">
        <v>0.15</v>
      </c>
      <c r="C4" s="56">
        <v>0.15</v>
      </c>
      <c r="D4" s="56">
        <v>0.15</v>
      </c>
      <c r="E4" s="56">
        <v>0.15</v>
      </c>
      <c r="F4" s="56">
        <v>0.15</v>
      </c>
      <c r="G4" s="56">
        <v>0.15</v>
      </c>
    </row>
    <row r="5" spans="1:13" ht="30" x14ac:dyDescent="0.25">
      <c r="A5" s="48" t="s">
        <v>102</v>
      </c>
      <c r="B5" s="57">
        <v>1</v>
      </c>
      <c r="C5" s="58">
        <f>B5/(1+C4/4)</f>
        <v>0.96385542168674687</v>
      </c>
      <c r="D5" s="58">
        <f>C5/(1+D4/4)</f>
        <v>0.92901727391493671</v>
      </c>
      <c r="E5" s="58">
        <f>D5/(1+E4/4)</f>
        <v>0.89543833630355341</v>
      </c>
      <c r="F5" s="58">
        <f>E5/(1+F4/4)</f>
        <v>0.86307309523234055</v>
      </c>
      <c r="G5" s="58">
        <f>F5/(1+G4/4)</f>
        <v>0.83187768215165347</v>
      </c>
    </row>
    <row r="6" spans="1:13" ht="30" x14ac:dyDescent="0.25">
      <c r="A6" s="48" t="s">
        <v>100</v>
      </c>
      <c r="B6" s="52">
        <f>B3/(1+B4/4)^(B2*4)</f>
        <v>-1200</v>
      </c>
      <c r="C6" s="52">
        <f>C3/(1+C4/4)^(C2)</f>
        <v>96.385542168674689</v>
      </c>
      <c r="D6" s="52">
        <f t="shared" ref="D6:G6" si="0">D3/(1+D4/4)^(D2)</f>
        <v>185.80345478298733</v>
      </c>
      <c r="E6" s="52">
        <f t="shared" si="0"/>
        <v>268.63150089106603</v>
      </c>
      <c r="F6" s="52">
        <f t="shared" si="0"/>
        <v>345.22923809293616</v>
      </c>
      <c r="G6" s="52">
        <f t="shared" si="0"/>
        <v>415.93884107582664</v>
      </c>
    </row>
    <row r="7" spans="1:13" x14ac:dyDescent="0.25">
      <c r="A7" s="54" t="s">
        <v>101</v>
      </c>
      <c r="B7" s="60">
        <f>SUM(B6:G6)</f>
        <v>111.98857701149075</v>
      </c>
    </row>
    <row r="8" spans="1:13" x14ac:dyDescent="0.25">
      <c r="A8" s="54" t="s">
        <v>118</v>
      </c>
      <c r="B8" s="60">
        <f>NPV(0.15/4,C3:G3)+B3</f>
        <v>111.98857701149109</v>
      </c>
    </row>
    <row r="10" spans="1:13" x14ac:dyDescent="0.25">
      <c r="A10" t="s">
        <v>119</v>
      </c>
      <c r="B10" s="25"/>
    </row>
    <row r="11" spans="1:13" x14ac:dyDescent="0.25">
      <c r="B11" s="25"/>
    </row>
    <row r="12" spans="1:13" x14ac:dyDescent="0.25">
      <c r="B12" s="25"/>
      <c r="C12" s="30"/>
      <c r="D12" s="30"/>
      <c r="E12" s="30"/>
      <c r="F12" s="30"/>
      <c r="G12" s="30"/>
    </row>
    <row r="13" spans="1:13" ht="69" customHeight="1" x14ac:dyDescent="0.25">
      <c r="A13" s="29" t="s">
        <v>91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25">
      <c r="A15" s="46" t="s">
        <v>103</v>
      </c>
      <c r="B15" s="53">
        <v>0</v>
      </c>
      <c r="C15" s="53">
        <v>1</v>
      </c>
      <c r="D15" s="53">
        <v>2</v>
      </c>
      <c r="E15" s="53">
        <v>3</v>
      </c>
      <c r="F15" s="53">
        <v>4</v>
      </c>
      <c r="G15" s="53">
        <v>5</v>
      </c>
      <c r="H15" s="53">
        <v>6</v>
      </c>
      <c r="I15" s="24"/>
      <c r="J15" s="24"/>
      <c r="K15" s="24"/>
      <c r="L15" s="24"/>
      <c r="M15" s="24"/>
    </row>
    <row r="16" spans="1:13" x14ac:dyDescent="0.25">
      <c r="A16" s="48" t="s">
        <v>97</v>
      </c>
      <c r="B16" s="47">
        <v>-1500</v>
      </c>
      <c r="C16" s="47">
        <v>100</v>
      </c>
      <c r="D16" s="47">
        <v>200</v>
      </c>
      <c r="E16" s="47">
        <v>300</v>
      </c>
      <c r="F16" s="47">
        <v>400</v>
      </c>
      <c r="G16" s="47">
        <v>500</v>
      </c>
      <c r="H16" s="47">
        <v>600</v>
      </c>
      <c r="I16" s="24"/>
      <c r="J16" s="24"/>
      <c r="K16" s="24"/>
      <c r="L16" s="24"/>
      <c r="M16" s="24"/>
    </row>
    <row r="17" spans="1:14" x14ac:dyDescent="0.25">
      <c r="A17" s="46" t="s">
        <v>98</v>
      </c>
      <c r="B17" s="49">
        <v>0.2</v>
      </c>
      <c r="C17" s="49">
        <v>0.2</v>
      </c>
      <c r="D17" s="49">
        <v>0.15</v>
      </c>
      <c r="E17" s="49">
        <v>0.15</v>
      </c>
      <c r="F17" s="49">
        <v>0.1</v>
      </c>
      <c r="G17" s="49">
        <v>0.1</v>
      </c>
      <c r="H17" s="49">
        <v>0.1</v>
      </c>
      <c r="I17" s="24"/>
      <c r="J17" s="24"/>
      <c r="K17" s="24"/>
      <c r="L17" s="24"/>
      <c r="M17" s="24"/>
    </row>
    <row r="18" spans="1:14" ht="30" x14ac:dyDescent="0.25">
      <c r="A18" s="48" t="s">
        <v>102</v>
      </c>
      <c r="B18" s="47">
        <v>1</v>
      </c>
      <c r="C18" s="50">
        <f>B18/(1+C17)</f>
        <v>0.83333333333333337</v>
      </c>
      <c r="D18" s="50">
        <f t="shared" ref="D18:H18" si="1">C18/(1+D17)</f>
        <v>0.7246376811594204</v>
      </c>
      <c r="E18" s="50">
        <f t="shared" si="1"/>
        <v>0.63011972274732209</v>
      </c>
      <c r="F18" s="50">
        <f t="shared" si="1"/>
        <v>0.57283611158847458</v>
      </c>
      <c r="G18" s="50">
        <f t="shared" si="1"/>
        <v>0.52076010144406781</v>
      </c>
      <c r="H18" s="50">
        <f t="shared" si="1"/>
        <v>0.47341827404006159</v>
      </c>
      <c r="I18" s="24"/>
      <c r="J18" s="24"/>
      <c r="K18" s="24"/>
      <c r="L18" s="24"/>
      <c r="M18" s="24"/>
    </row>
    <row r="19" spans="1:14" ht="30" x14ac:dyDescent="0.25">
      <c r="A19" s="48" t="s">
        <v>100</v>
      </c>
      <c r="B19" s="51">
        <f>B16*B18</f>
        <v>-1500</v>
      </c>
      <c r="C19" s="52">
        <f>C16*C18</f>
        <v>83.333333333333343</v>
      </c>
      <c r="D19" s="52">
        <f>D16*D18</f>
        <v>144.92753623188409</v>
      </c>
      <c r="E19" s="52">
        <f t="shared" ref="E19:H19" si="2">E16*E18</f>
        <v>189.03591682419662</v>
      </c>
      <c r="F19" s="52">
        <f t="shared" si="2"/>
        <v>229.13444463538983</v>
      </c>
      <c r="G19" s="52">
        <f t="shared" si="2"/>
        <v>260.3800507220339</v>
      </c>
      <c r="H19" s="52">
        <f t="shared" si="2"/>
        <v>284.05096442403698</v>
      </c>
    </row>
    <row r="20" spans="1:14" x14ac:dyDescent="0.25">
      <c r="A20" s="54" t="s">
        <v>101</v>
      </c>
      <c r="B20" s="51">
        <f>SUM(B19:H19)</f>
        <v>-309.1377538291253</v>
      </c>
    </row>
    <row r="22" spans="1:14" x14ac:dyDescent="0.25">
      <c r="A22" s="33" t="s">
        <v>92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5" spans="1:14" x14ac:dyDescent="0.25">
      <c r="A25" s="46" t="s">
        <v>103</v>
      </c>
      <c r="B25" s="53">
        <v>0</v>
      </c>
      <c r="C25" s="53">
        <v>1</v>
      </c>
      <c r="D25" s="53">
        <v>2</v>
      </c>
      <c r="E25" s="53">
        <v>3</v>
      </c>
      <c r="F25" s="53">
        <v>4</v>
      </c>
      <c r="G25" s="53">
        <v>5</v>
      </c>
      <c r="H25" s="53">
        <v>6</v>
      </c>
    </row>
    <row r="26" spans="1:14" x14ac:dyDescent="0.25">
      <c r="A26" s="48" t="s">
        <v>97</v>
      </c>
      <c r="B26" s="47">
        <v>-1500</v>
      </c>
      <c r="C26" s="47">
        <v>100</v>
      </c>
      <c r="D26" s="47">
        <v>200</v>
      </c>
      <c r="E26" s="47">
        <v>300</v>
      </c>
      <c r="F26" s="47">
        <v>400</v>
      </c>
      <c r="G26" s="47">
        <v>500</v>
      </c>
      <c r="H26" s="47">
        <v>600</v>
      </c>
    </row>
    <row r="27" spans="1:14" x14ac:dyDescent="0.25">
      <c r="A27" s="46" t="s">
        <v>98</v>
      </c>
      <c r="B27" s="49">
        <f>$B$31</f>
        <v>8.2523831241376966E-2</v>
      </c>
      <c r="C27" s="49">
        <f>$B$31</f>
        <v>8.2523831241376966E-2</v>
      </c>
      <c r="D27" s="49">
        <f>$B$31</f>
        <v>8.2523831241376966E-2</v>
      </c>
      <c r="E27" s="49">
        <f>$B$31</f>
        <v>8.2523831241376966E-2</v>
      </c>
      <c r="F27" s="49">
        <f>$B$31</f>
        <v>8.2523831241376966E-2</v>
      </c>
      <c r="G27" s="49">
        <f>$B$31</f>
        <v>8.2523831241376966E-2</v>
      </c>
      <c r="H27" s="49">
        <f>$B$31</f>
        <v>8.2523831241376966E-2</v>
      </c>
    </row>
    <row r="28" spans="1:14" ht="30" x14ac:dyDescent="0.25">
      <c r="A28" s="48" t="s">
        <v>102</v>
      </c>
      <c r="B28" s="47">
        <v>1</v>
      </c>
      <c r="C28" s="50">
        <f>B28/(1+C27)</f>
        <v>0.92376719213031711</v>
      </c>
      <c r="D28" s="50">
        <f t="shared" ref="D28" si="3">C28/(1+D27)</f>
        <v>0.85334582525633018</v>
      </c>
      <c r="E28" s="50">
        <f t="shared" ref="E28" si="4">D28/(1+E27)</f>
        <v>0.78829287691316829</v>
      </c>
      <c r="F28" s="50">
        <f t="shared" ref="F28" si="5">E28/(1+F27)</f>
        <v>0.72819909748240708</v>
      </c>
      <c r="G28" s="50">
        <f t="shared" ref="G28" si="6">F28/(1+G27)</f>
        <v>0.67268643559315422</v>
      </c>
      <c r="H28" s="50">
        <f t="shared" ref="H28" si="7">G28/(1+H27)</f>
        <v>0.62140565979203943</v>
      </c>
    </row>
    <row r="29" spans="1:14" ht="30" x14ac:dyDescent="0.25">
      <c r="A29" s="48" t="s">
        <v>100</v>
      </c>
      <c r="B29" s="51">
        <f>B26*B28</f>
        <v>-1500</v>
      </c>
      <c r="C29" s="52">
        <f t="shared" ref="C29" si="8">C26*C28</f>
        <v>92.376719213031706</v>
      </c>
      <c r="D29" s="52">
        <f t="shared" ref="D29" si="9">D26*D28</f>
        <v>170.66916505126605</v>
      </c>
      <c r="E29" s="52">
        <f t="shared" ref="E29" si="10">E26*E28</f>
        <v>236.48786307395048</v>
      </c>
      <c r="F29" s="52">
        <f t="shared" ref="F29" si="11">F26*F28</f>
        <v>291.27963899296282</v>
      </c>
      <c r="G29" s="52">
        <f t="shared" ref="G29" si="12">G26*G28</f>
        <v>336.34321779657711</v>
      </c>
      <c r="H29" s="52">
        <f t="shared" ref="H29" si="13">H26*H28</f>
        <v>372.84339587522368</v>
      </c>
    </row>
    <row r="30" spans="1:14" x14ac:dyDescent="0.25">
      <c r="A30" s="54" t="s">
        <v>101</v>
      </c>
      <c r="B30" s="51">
        <f>SUM(B29:H29)</f>
        <v>3.0117348615021911E-9</v>
      </c>
    </row>
    <row r="31" spans="1:14" x14ac:dyDescent="0.25">
      <c r="A31" s="62" t="s">
        <v>108</v>
      </c>
      <c r="B31" s="63">
        <f>IRR(B26:H26)</f>
        <v>8.2523831241376966E-2</v>
      </c>
    </row>
    <row r="36" spans="1:12" ht="96" customHeight="1" x14ac:dyDescent="0.25">
      <c r="A36" s="29" t="s">
        <v>93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8" spans="1:12" x14ac:dyDescent="0.25">
      <c r="A38" s="46" t="s">
        <v>103</v>
      </c>
      <c r="B38" s="61">
        <v>0</v>
      </c>
      <c r="C38" s="61">
        <v>1</v>
      </c>
      <c r="D38" s="61">
        <v>2</v>
      </c>
      <c r="E38" s="61">
        <v>3</v>
      </c>
      <c r="F38" s="61">
        <v>4</v>
      </c>
      <c r="G38" s="61">
        <v>5</v>
      </c>
    </row>
    <row r="39" spans="1:12" x14ac:dyDescent="0.25">
      <c r="A39" s="48" t="s">
        <v>109</v>
      </c>
      <c r="B39" s="59">
        <v>-1000</v>
      </c>
      <c r="C39" s="59">
        <v>100</v>
      </c>
      <c r="D39" s="59">
        <v>250</v>
      </c>
      <c r="E39" s="59">
        <v>450</v>
      </c>
      <c r="F39" s="59">
        <v>500</v>
      </c>
      <c r="G39" s="59">
        <v>550</v>
      </c>
    </row>
    <row r="40" spans="1:12" x14ac:dyDescent="0.25">
      <c r="A40" s="48" t="s">
        <v>110</v>
      </c>
      <c r="B40" s="59">
        <v>-1000</v>
      </c>
      <c r="C40" s="59">
        <v>200</v>
      </c>
      <c r="D40" s="59">
        <v>300</v>
      </c>
      <c r="E40" s="59">
        <v>400</v>
      </c>
      <c r="F40" s="59">
        <v>450</v>
      </c>
      <c r="G40" s="59">
        <v>500</v>
      </c>
    </row>
    <row r="41" spans="1:12" x14ac:dyDescent="0.25">
      <c r="A41" s="46" t="s">
        <v>98</v>
      </c>
      <c r="B41" s="56">
        <v>0.1</v>
      </c>
      <c r="C41" s="56">
        <v>0.1</v>
      </c>
      <c r="D41" s="56">
        <v>0.1</v>
      </c>
      <c r="E41" s="56">
        <v>0.1</v>
      </c>
      <c r="F41" s="56">
        <v>0.1</v>
      </c>
      <c r="G41" s="56">
        <v>0.1</v>
      </c>
    </row>
    <row r="42" spans="1:12" ht="30" x14ac:dyDescent="0.25">
      <c r="A42" s="48" t="s">
        <v>102</v>
      </c>
      <c r="B42" s="59">
        <v>1</v>
      </c>
      <c r="C42" s="52">
        <f>B42/(1+C41)</f>
        <v>0.90909090909090906</v>
      </c>
      <c r="D42" s="52">
        <f t="shared" ref="D42:G42" si="14">C42/(1+D41)</f>
        <v>0.82644628099173545</v>
      </c>
      <c r="E42" s="52">
        <f t="shared" si="14"/>
        <v>0.75131480090157765</v>
      </c>
      <c r="F42" s="52">
        <f t="shared" si="14"/>
        <v>0.68301345536507052</v>
      </c>
      <c r="G42" s="52">
        <f t="shared" si="14"/>
        <v>0.62092132305915493</v>
      </c>
    </row>
    <row r="43" spans="1:12" ht="30" x14ac:dyDescent="0.25">
      <c r="A43" s="48" t="s">
        <v>111</v>
      </c>
      <c r="B43" s="52">
        <f>B39*B42</f>
        <v>-1000</v>
      </c>
      <c r="C43" s="52">
        <f t="shared" ref="C43:G43" si="15">C39*C42</f>
        <v>90.909090909090907</v>
      </c>
      <c r="D43" s="52">
        <f t="shared" si="15"/>
        <v>206.61157024793386</v>
      </c>
      <c r="E43" s="52">
        <f t="shared" si="15"/>
        <v>338.09166040570994</v>
      </c>
      <c r="F43" s="52">
        <f t="shared" si="15"/>
        <v>341.50672768253526</v>
      </c>
      <c r="G43" s="52">
        <f t="shared" si="15"/>
        <v>341.5067276825352</v>
      </c>
    </row>
    <row r="44" spans="1:12" ht="30" x14ac:dyDescent="0.25">
      <c r="A44" s="48" t="s">
        <v>112</v>
      </c>
      <c r="B44" s="52">
        <f>B40*B42</f>
        <v>-1000</v>
      </c>
      <c r="C44" s="52">
        <f t="shared" ref="C44:E44" si="16">C40*C42</f>
        <v>181.81818181818181</v>
      </c>
      <c r="D44" s="52">
        <f t="shared" si="16"/>
        <v>247.93388429752065</v>
      </c>
      <c r="E44" s="52">
        <f t="shared" si="16"/>
        <v>300.52592036063106</v>
      </c>
      <c r="F44" s="52">
        <f>F40*F42</f>
        <v>307.35605491428174</v>
      </c>
      <c r="G44" s="52">
        <f>G40*G42</f>
        <v>310.46066152957746</v>
      </c>
    </row>
    <row r="45" spans="1:12" x14ac:dyDescent="0.25">
      <c r="A45" s="66" t="s">
        <v>113</v>
      </c>
      <c r="B45" s="67">
        <f>SUM(B43:G43)</f>
        <v>318.62577692780513</v>
      </c>
      <c r="C45" s="30"/>
    </row>
    <row r="46" spans="1:12" x14ac:dyDescent="0.25">
      <c r="A46" s="54" t="s">
        <v>114</v>
      </c>
      <c r="B46" s="52">
        <f>SUM(B44:G44)</f>
        <v>348.09470292019267</v>
      </c>
    </row>
    <row r="47" spans="1:12" x14ac:dyDescent="0.25">
      <c r="A47" s="64" t="s">
        <v>115</v>
      </c>
      <c r="B47" s="52">
        <f>1+B45/(-B39)</f>
        <v>1.3186257769278051</v>
      </c>
    </row>
    <row r="48" spans="1:12" ht="14.25" customHeight="1" x14ac:dyDescent="0.25">
      <c r="A48" s="64" t="s">
        <v>116</v>
      </c>
      <c r="B48" s="52">
        <f>1+B46/(-B40)</f>
        <v>1.3480947029201926</v>
      </c>
    </row>
    <row r="49" spans="1:13" ht="30" x14ac:dyDescent="0.25">
      <c r="A49" s="65" t="s">
        <v>117</v>
      </c>
    </row>
    <row r="51" spans="1:13" ht="93.75" customHeight="1" x14ac:dyDescent="0.25">
      <c r="A51" s="23" t="s">
        <v>94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4" spans="1:13" x14ac:dyDescent="0.25">
      <c r="A54" s="46" t="s">
        <v>103</v>
      </c>
      <c r="B54" s="61">
        <v>0</v>
      </c>
      <c r="C54" s="61">
        <v>1</v>
      </c>
      <c r="D54" s="61">
        <v>2</v>
      </c>
      <c r="E54" s="61">
        <v>3</v>
      </c>
      <c r="F54" s="61">
        <v>4</v>
      </c>
      <c r="G54" s="61">
        <v>5</v>
      </c>
    </row>
    <row r="55" spans="1:13" x14ac:dyDescent="0.25">
      <c r="A55" s="48" t="s">
        <v>120</v>
      </c>
      <c r="B55" s="59">
        <v>-1000</v>
      </c>
      <c r="C55" s="59">
        <v>100</v>
      </c>
      <c r="D55" s="59">
        <v>250</v>
      </c>
      <c r="E55" s="59">
        <v>450</v>
      </c>
      <c r="F55" s="59">
        <v>500</v>
      </c>
      <c r="G55" s="59">
        <v>550</v>
      </c>
    </row>
    <row r="56" spans="1:13" x14ac:dyDescent="0.25">
      <c r="A56" s="48" t="s">
        <v>121</v>
      </c>
      <c r="B56" s="59">
        <f>B55</f>
        <v>-1000</v>
      </c>
      <c r="C56" s="59">
        <f>B56+C55</f>
        <v>-900</v>
      </c>
      <c r="D56" s="59">
        <f t="shared" ref="D56:G56" si="17">C56+D55</f>
        <v>-650</v>
      </c>
      <c r="E56" s="59">
        <f t="shared" si="17"/>
        <v>-200</v>
      </c>
      <c r="F56" s="59">
        <f t="shared" si="17"/>
        <v>300</v>
      </c>
      <c r="G56" s="59">
        <f t="shared" si="17"/>
        <v>850</v>
      </c>
    </row>
    <row r="57" spans="1:13" x14ac:dyDescent="0.25">
      <c r="A57" s="48" t="s">
        <v>122</v>
      </c>
      <c r="B57" s="59">
        <f>-1000</f>
        <v>-1000</v>
      </c>
      <c r="C57" s="52">
        <f>B57+C65</f>
        <v>-909.09090909090912</v>
      </c>
      <c r="D57" s="52">
        <f>C57+D65</f>
        <v>-702.47933884297527</v>
      </c>
      <c r="E57" s="52">
        <f>D57+E65</f>
        <v>-364.38767843726532</v>
      </c>
      <c r="F57" s="52">
        <f>E57+F65</f>
        <v>-22.880950754730065</v>
      </c>
      <c r="G57" s="52">
        <f>F57+G65</f>
        <v>318.62577692780513</v>
      </c>
    </row>
    <row r="58" spans="1:13" x14ac:dyDescent="0.25">
      <c r="A58" s="68"/>
      <c r="B58" s="69"/>
      <c r="C58" s="70"/>
      <c r="D58" s="70"/>
      <c r="E58" s="70"/>
      <c r="F58" s="70"/>
      <c r="G58" s="70"/>
    </row>
    <row r="59" spans="1:13" x14ac:dyDescent="0.25">
      <c r="A59" s="48" t="s">
        <v>123</v>
      </c>
      <c r="B59" s="59">
        <v>-1000</v>
      </c>
      <c r="C59" s="59">
        <v>200</v>
      </c>
      <c r="D59" s="59">
        <v>300</v>
      </c>
      <c r="E59" s="59">
        <v>400</v>
      </c>
      <c r="F59" s="59">
        <v>450</v>
      </c>
      <c r="G59" s="59">
        <v>500</v>
      </c>
    </row>
    <row r="60" spans="1:13" x14ac:dyDescent="0.25">
      <c r="A60" s="48" t="s">
        <v>121</v>
      </c>
      <c r="B60" s="59">
        <f>B59</f>
        <v>-1000</v>
      </c>
      <c r="C60" s="59">
        <f>B60+C59</f>
        <v>-800</v>
      </c>
      <c r="D60" s="59">
        <f t="shared" ref="D60:G60" si="18">C60+D59</f>
        <v>-500</v>
      </c>
      <c r="E60" s="59">
        <f t="shared" si="18"/>
        <v>-100</v>
      </c>
      <c r="F60" s="59">
        <f t="shared" si="18"/>
        <v>350</v>
      </c>
      <c r="G60" s="59">
        <f t="shared" si="18"/>
        <v>850</v>
      </c>
    </row>
    <row r="61" spans="1:13" x14ac:dyDescent="0.25">
      <c r="A61" s="48" t="s">
        <v>122</v>
      </c>
      <c r="B61" s="59">
        <f>-1000</f>
        <v>-1000</v>
      </c>
      <c r="C61" s="52">
        <f>B61+C66</f>
        <v>-818.18181818181824</v>
      </c>
      <c r="D61" s="52">
        <f>C61+D66</f>
        <v>-570.24793388429759</v>
      </c>
      <c r="E61" s="52">
        <f>D61+E66</f>
        <v>-269.72201352366653</v>
      </c>
      <c r="F61" s="52">
        <f>E61+F66</f>
        <v>37.634041390615209</v>
      </c>
      <c r="G61" s="52">
        <f>F61+G66</f>
        <v>348.09470292019267</v>
      </c>
    </row>
    <row r="62" spans="1:13" x14ac:dyDescent="0.25">
      <c r="A62" s="68"/>
      <c r="B62" s="69"/>
      <c r="C62" s="70"/>
      <c r="D62" s="70"/>
      <c r="E62" s="70"/>
      <c r="F62" s="70"/>
      <c r="G62" s="70"/>
    </row>
    <row r="63" spans="1:13" x14ac:dyDescent="0.25">
      <c r="A63" s="46" t="s">
        <v>98</v>
      </c>
      <c r="B63" s="56">
        <v>0.1</v>
      </c>
      <c r="C63" s="56">
        <v>0.1</v>
      </c>
      <c r="D63" s="56">
        <v>0.1</v>
      </c>
      <c r="E63" s="56">
        <v>0.1</v>
      </c>
      <c r="F63" s="56">
        <v>0.1</v>
      </c>
      <c r="G63" s="56">
        <v>0.1</v>
      </c>
    </row>
    <row r="64" spans="1:13" ht="30" x14ac:dyDescent="0.25">
      <c r="A64" s="48" t="s">
        <v>102</v>
      </c>
      <c r="B64" s="59">
        <v>1</v>
      </c>
      <c r="C64" s="52">
        <f>B64/(1+C63)</f>
        <v>0.90909090909090906</v>
      </c>
      <c r="D64" s="52">
        <f t="shared" ref="D64:G64" si="19">C64/(1+D63)</f>
        <v>0.82644628099173545</v>
      </c>
      <c r="E64" s="52">
        <f t="shared" si="19"/>
        <v>0.75131480090157765</v>
      </c>
      <c r="F64" s="52">
        <f t="shared" si="19"/>
        <v>0.68301345536507052</v>
      </c>
      <c r="G64" s="52">
        <f t="shared" si="19"/>
        <v>0.62092132305915493</v>
      </c>
    </row>
    <row r="65" spans="1:7" ht="30" x14ac:dyDescent="0.25">
      <c r="A65" s="48" t="s">
        <v>111</v>
      </c>
      <c r="B65" s="52">
        <f>B55*B64</f>
        <v>-1000</v>
      </c>
      <c r="C65" s="52">
        <f>C55*C64</f>
        <v>90.909090909090907</v>
      </c>
      <c r="D65" s="52">
        <f>D55*D64</f>
        <v>206.61157024793386</v>
      </c>
      <c r="E65" s="52">
        <f>E55*E64</f>
        <v>338.09166040570994</v>
      </c>
      <c r="F65" s="52">
        <f>F55*F64</f>
        <v>341.50672768253526</v>
      </c>
      <c r="G65" s="52">
        <f>G55*G64</f>
        <v>341.5067276825352</v>
      </c>
    </row>
    <row r="66" spans="1:7" ht="30" x14ac:dyDescent="0.25">
      <c r="A66" s="48" t="s">
        <v>112</v>
      </c>
      <c r="B66" s="52">
        <f>B59*B64</f>
        <v>-1000</v>
      </c>
      <c r="C66" s="52">
        <f>C59*C64</f>
        <v>181.81818181818181</v>
      </c>
      <c r="D66" s="52">
        <f>D59*D64</f>
        <v>247.93388429752065</v>
      </c>
      <c r="E66" s="52">
        <f>E59*E64</f>
        <v>300.52592036063106</v>
      </c>
      <c r="F66" s="52">
        <f>F59*F64</f>
        <v>307.35605491428174</v>
      </c>
      <c r="G66" s="52">
        <f>G59*G64</f>
        <v>310.46066152957746</v>
      </c>
    </row>
    <row r="68" spans="1:7" ht="105" x14ac:dyDescent="0.25">
      <c r="A68" s="71" t="s">
        <v>124</v>
      </c>
    </row>
  </sheetData>
  <mergeCells count="5">
    <mergeCell ref="A1:L1"/>
    <mergeCell ref="A13:M13"/>
    <mergeCell ref="A22:N22"/>
    <mergeCell ref="A36:L36"/>
    <mergeCell ref="A51:M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Лекция 1</vt:lpstr>
      <vt:lpstr>Лекция 2</vt:lpstr>
      <vt:lpstr>Семинар 1</vt:lpstr>
      <vt:lpstr>семинар 2</vt:lpstr>
      <vt:lpstr>Лекция3</vt:lpstr>
      <vt:lpstr>ДЗ_2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2023-03-08T16:34:33Z</dcterms:modified>
</cp:coreProperties>
</file>